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codeName="ThisWorkbook"/>
  <workbookProtection workbookPassword="CD82" lockStructure="1"/>
  <bookViews>
    <workbookView xWindow="240" yWindow="3675" windowWidth="13815" windowHeight="7905" tabRatio="923" firstSheet="1" activeTab="1"/>
  </bookViews>
  <sheets>
    <sheet name="Paramètres" sheetId="40" state="hidden" r:id="rId1"/>
    <sheet name="Recherche" sheetId="48" r:id="rId2"/>
    <sheet name="Validation Rend. Imp." sheetId="53" state="hidden" r:id="rId3"/>
    <sheet name="A) Base RI" sheetId="42" state="hidden" r:id="rId4"/>
    <sheet name="B) D RI" sheetId="19" r:id="rId5"/>
    <sheet name="C) Prél. conj." sheetId="32" r:id="rId6"/>
    <sheet name="D) Ecrêtage" sheetId="33" r:id="rId7"/>
    <sheet name="E) Fact soc" sheetId="9" r:id="rId8"/>
    <sheet name="F) Population" sheetId="36" r:id="rId9"/>
    <sheet name="G) Solidarité" sheetId="37" r:id="rId10"/>
    <sheet name="H) Péréquation directe" sheetId="34" r:id="rId11"/>
    <sheet name="I) Dépenses thématiques" sheetId="11" r:id="rId12"/>
    <sheet name="J) Plafonnement effort" sheetId="12" r:id="rId13"/>
    <sheet name="K) Plafonnement aide" sheetId="39" r:id="rId14"/>
    <sheet name="L) Plafonnement taux" sheetId="13" r:id="rId15"/>
    <sheet name="M) Police" sheetId="49" r:id="rId16"/>
    <sheet name="Synthèse" sheetId="25" r:id="rId17"/>
    <sheet name="Acomptes vs Décompte" sheetId="54" r:id="rId18"/>
    <sheet name="Feuil1" sheetId="52" r:id="rId19"/>
  </sheets>
  <definedNames>
    <definedName name="_xlnm._FilterDatabase" localSheetId="5" hidden="1">'C) Prél. conj.'!$A$3:$H$314</definedName>
    <definedName name="_xlnm._FilterDatabase" localSheetId="7" hidden="1">'E) Fact soc'!$A$9:$G$320</definedName>
    <definedName name="_xlnm._FilterDatabase" localSheetId="10" hidden="1">'H) Péréquation directe'!$A$14:$I$325</definedName>
    <definedName name="_xlnm._FilterDatabase" localSheetId="16" hidden="1">Synthèse!$A$4:$L$317</definedName>
    <definedName name="_xlnm.Database" localSheetId="2">#REF!</definedName>
    <definedName name="_xlnm.Database">#REF!</definedName>
    <definedName name="_xlnm.Print_Titles" localSheetId="5">'C) Prél. conj.'!$3:$4</definedName>
    <definedName name="_xlnm.Print_Titles" localSheetId="7">'E) Fact soc'!$9:$10</definedName>
    <definedName name="_xlnm.Print_Titles" localSheetId="11">'I) Dépenses thématiques'!$3:$4</definedName>
    <definedName name="_xlnm.Print_Titles" localSheetId="12">'J) Plafonnement effort'!$3:$4</definedName>
    <definedName name="_xlnm.Print_Titles" localSheetId="14">'L) Plafonnement taux'!$4:$5</definedName>
    <definedName name="_xlnm.Print_Titles" localSheetId="15">'M) Police'!$4:$4</definedName>
    <definedName name="_xlnm.Print_Titles" localSheetId="16">Synthèse!$4:$5</definedName>
    <definedName name="ind">2</definedName>
    <definedName name="_xlnm.Print_Area" localSheetId="3">'A) Base RI'!#REF!</definedName>
    <definedName name="_xlnm.Print_Area" localSheetId="10">'H) Péréquation directe'!$316:$347</definedName>
    <definedName name="_xlnm.Print_Area" localSheetId="14">'L) Plafonnement taux'!$A$1:$R$316</definedName>
    <definedName name="_xlnm.Print_Area" localSheetId="15">'M) Police'!$A$1:$O$315</definedName>
    <definedName name="_xlnm.Print_Area" localSheetId="1">Recherche!$B$6:$F$68</definedName>
    <definedName name="_xlnm.Print_Area" localSheetId="16">Synthèse!$A$1:$N$315</definedName>
    <definedName name="_xlnm.Print_Area" localSheetId="2">'Validation Rend. Imp.'!$B$6:$E$74</definedName>
  </definedNames>
  <calcPr calcId="145621"/>
</workbook>
</file>

<file path=xl/calcChain.xml><?xml version="1.0" encoding="utf-8"?>
<calcChain xmlns="http://schemas.openxmlformats.org/spreadsheetml/2006/main">
  <c r="G315" i="54" l="1"/>
  <c r="D61" i="53" l="1"/>
  <c r="D60" i="53"/>
  <c r="D59" i="53"/>
  <c r="D55" i="53"/>
  <c r="D54" i="53"/>
  <c r="D53" i="53"/>
  <c r="D50" i="53"/>
  <c r="D49" i="53"/>
  <c r="D48" i="53"/>
  <c r="D47" i="53"/>
  <c r="D46" i="53"/>
  <c r="D45" i="53"/>
  <c r="D44" i="53"/>
  <c r="D43" i="53"/>
  <c r="D42" i="53"/>
  <c r="D41" i="53"/>
  <c r="D40" i="53"/>
  <c r="D39" i="53"/>
  <c r="D38" i="53"/>
  <c r="D32" i="53"/>
  <c r="D31" i="53"/>
  <c r="D30" i="53"/>
  <c r="D29" i="53"/>
  <c r="D28" i="53"/>
  <c r="D27" i="53"/>
  <c r="D26" i="53"/>
  <c r="D25" i="53"/>
  <c r="D24" i="53"/>
  <c r="D23" i="53"/>
  <c r="D20" i="53"/>
  <c r="D19" i="53"/>
  <c r="D18" i="53"/>
  <c r="D17" i="53"/>
  <c r="D16" i="53"/>
  <c r="D15" i="53"/>
  <c r="D14" i="53"/>
  <c r="D13" i="53"/>
  <c r="D12" i="53"/>
  <c r="D11" i="53"/>
  <c r="B7" i="53"/>
  <c r="I315" i="54"/>
  <c r="C315" i="13" l="1"/>
  <c r="AK86" i="19" l="1"/>
  <c r="AJ86" i="19"/>
  <c r="AA8" i="19"/>
  <c r="AA9" i="19"/>
  <c r="AA10" i="19"/>
  <c r="AA11" i="19"/>
  <c r="AA12" i="19"/>
  <c r="AA13" i="19"/>
  <c r="AA14" i="19"/>
  <c r="AA15" i="19"/>
  <c r="AA16" i="19"/>
  <c r="AA17" i="19"/>
  <c r="AA18" i="19"/>
  <c r="AA19" i="19"/>
  <c r="AA20" i="19"/>
  <c r="AA21" i="19"/>
  <c r="AA22" i="19"/>
  <c r="AA23" i="19"/>
  <c r="AA24" i="19"/>
  <c r="AA25" i="19"/>
  <c r="AA26" i="19"/>
  <c r="AA27" i="19"/>
  <c r="AA28"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AA54" i="19"/>
  <c r="AA55" i="19"/>
  <c r="AA56" i="19"/>
  <c r="AA57"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AA84" i="19"/>
  <c r="AA85" i="19"/>
  <c r="AA86" i="19"/>
  <c r="AA87" i="19"/>
  <c r="AA88" i="19"/>
  <c r="AA89" i="19"/>
  <c r="AA90" i="19"/>
  <c r="AA91" i="19"/>
  <c r="AA92" i="19"/>
  <c r="AA93" i="19"/>
  <c r="AA94" i="19"/>
  <c r="AA95" i="19"/>
  <c r="AA96" i="19"/>
  <c r="AA97" i="19"/>
  <c r="AA98" i="19"/>
  <c r="AA99" i="19"/>
  <c r="AA100" i="19"/>
  <c r="AA101" i="19"/>
  <c r="AA102" i="19"/>
  <c r="AA103" i="19"/>
  <c r="AA104" i="19"/>
  <c r="AA105" i="19"/>
  <c r="AA106" i="19"/>
  <c r="AA107" i="19"/>
  <c r="AA108" i="19"/>
  <c r="AA109" i="19"/>
  <c r="AA110" i="19"/>
  <c r="AA111" i="19"/>
  <c r="AA112" i="19"/>
  <c r="AA113" i="19"/>
  <c r="AA114" i="19"/>
  <c r="AA115" i="19"/>
  <c r="AA116" i="19"/>
  <c r="AA117" i="19"/>
  <c r="AA118" i="19"/>
  <c r="AA119" i="19"/>
  <c r="AA120" i="19"/>
  <c r="AA121" i="19"/>
  <c r="AA122" i="19"/>
  <c r="AA123" i="19"/>
  <c r="AA124" i="19"/>
  <c r="AA125" i="19"/>
  <c r="AA126" i="19"/>
  <c r="AA127" i="19"/>
  <c r="AA128" i="19"/>
  <c r="AA129" i="19"/>
  <c r="AA130" i="19"/>
  <c r="AA131" i="19"/>
  <c r="AA132" i="19"/>
  <c r="AA133" i="19"/>
  <c r="AA134" i="19"/>
  <c r="AA135" i="19"/>
  <c r="AA136" i="19"/>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66" i="19"/>
  <c r="AA167" i="19"/>
  <c r="AA168" i="19"/>
  <c r="AA169"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A245" i="19"/>
  <c r="AA246" i="19"/>
  <c r="AA247" i="19"/>
  <c r="AA248" i="19"/>
  <c r="AA249"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AA277" i="19"/>
  <c r="AA278" i="19"/>
  <c r="AA279" i="19"/>
  <c r="AA280" i="19"/>
  <c r="AA281" i="19"/>
  <c r="AA282" i="19"/>
  <c r="AA283" i="19"/>
  <c r="AA284" i="19"/>
  <c r="AA285" i="19"/>
  <c r="AA286" i="19"/>
  <c r="AA287" i="19"/>
  <c r="AA288" i="19"/>
  <c r="AA289" i="19"/>
  <c r="AA290" i="19"/>
  <c r="AA291" i="19"/>
  <c r="AA292" i="19"/>
  <c r="AA293" i="19"/>
  <c r="AA294" i="19"/>
  <c r="AA295" i="19"/>
  <c r="AA296" i="19"/>
  <c r="AA297" i="19"/>
  <c r="AA298" i="19"/>
  <c r="AA299" i="19"/>
  <c r="AA300" i="19"/>
  <c r="AA301" i="19"/>
  <c r="AA302" i="19"/>
  <c r="AA303" i="19"/>
  <c r="AA304" i="19"/>
  <c r="AA305" i="19"/>
  <c r="AA306" i="19"/>
  <c r="AA307" i="19"/>
  <c r="AA308" i="19"/>
  <c r="AA309" i="19"/>
  <c r="AA310" i="19"/>
  <c r="AA311" i="19"/>
  <c r="AA312" i="19"/>
  <c r="AA313" i="19"/>
  <c r="AA314" i="19"/>
  <c r="AA315" i="19"/>
  <c r="AA7" i="19"/>
  <c r="AG8" i="19"/>
  <c r="AG9" i="19"/>
  <c r="AG10" i="19"/>
  <c r="AG11" i="19"/>
  <c r="AG12" i="19"/>
  <c r="AG13" i="19"/>
  <c r="AG14" i="19"/>
  <c r="AG15" i="19"/>
  <c r="AG16" i="19"/>
  <c r="AG17" i="19"/>
  <c r="AG18" i="19"/>
  <c r="AG19" i="19"/>
  <c r="AG20" i="19"/>
  <c r="AG21" i="19"/>
  <c r="AG22" i="19"/>
  <c r="AG23" i="19"/>
  <c r="AG24" i="19"/>
  <c r="AG25" i="19"/>
  <c r="AG26" i="19"/>
  <c r="AG27" i="19"/>
  <c r="AG28" i="19"/>
  <c r="AG29" i="19"/>
  <c r="AG30" i="19"/>
  <c r="AG31" i="19"/>
  <c r="AG32" i="19"/>
  <c r="AG33" i="19"/>
  <c r="AG34" i="19"/>
  <c r="AG35" i="19"/>
  <c r="AG36" i="19"/>
  <c r="AG37" i="19"/>
  <c r="AG38" i="19"/>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5" i="19"/>
  <c r="AG96" i="19"/>
  <c r="AG97" i="19"/>
  <c r="AG98" i="19"/>
  <c r="AG99" i="19"/>
  <c r="AG100" i="19"/>
  <c r="AG101" i="19"/>
  <c r="AG102" i="19"/>
  <c r="AG103" i="19"/>
  <c r="AG104" i="19"/>
  <c r="AG105" i="19"/>
  <c r="AG106" i="19"/>
  <c r="AG107" i="19"/>
  <c r="AG108" i="19"/>
  <c r="AG109" i="19"/>
  <c r="AG110" i="19"/>
  <c r="AG111" i="19"/>
  <c r="AG112" i="19"/>
  <c r="AG113" i="19"/>
  <c r="AG114" i="19"/>
  <c r="AG115" i="19"/>
  <c r="AG116" i="19"/>
  <c r="AG117" i="19"/>
  <c r="AG118" i="19"/>
  <c r="AG119" i="19"/>
  <c r="AG120" i="19"/>
  <c r="AG121" i="19"/>
  <c r="AG122" i="19"/>
  <c r="AG123" i="19"/>
  <c r="AG124" i="19"/>
  <c r="AG125" i="19"/>
  <c r="AG126" i="19"/>
  <c r="AG127" i="19"/>
  <c r="AG128" i="19"/>
  <c r="AG129" i="19"/>
  <c r="AG130" i="19"/>
  <c r="AG131" i="19"/>
  <c r="AG132" i="19"/>
  <c r="AG133" i="19"/>
  <c r="AG134" i="19"/>
  <c r="AG135" i="19"/>
  <c r="AG136" i="19"/>
  <c r="AG137" i="19"/>
  <c r="AG138" i="19"/>
  <c r="AG139" i="19"/>
  <c r="AG140" i="19"/>
  <c r="AG141" i="19"/>
  <c r="AG142" i="19"/>
  <c r="AG143" i="19"/>
  <c r="AG144" i="19"/>
  <c r="AG145" i="19"/>
  <c r="AG146" i="19"/>
  <c r="AG147" i="19"/>
  <c r="AG148" i="19"/>
  <c r="AG149" i="19"/>
  <c r="AG150" i="19"/>
  <c r="AG151" i="19"/>
  <c r="AG152" i="19"/>
  <c r="AG153" i="19"/>
  <c r="AG154" i="19"/>
  <c r="AG155" i="19"/>
  <c r="AG156" i="19"/>
  <c r="AG157" i="19"/>
  <c r="AG158" i="19"/>
  <c r="AG159" i="19"/>
  <c r="AG160" i="19"/>
  <c r="AG161" i="19"/>
  <c r="AG162" i="19"/>
  <c r="AG163" i="19"/>
  <c r="AG164" i="19"/>
  <c r="AG165" i="19"/>
  <c r="AG166" i="19"/>
  <c r="AG167" i="19"/>
  <c r="AG168" i="19"/>
  <c r="AG169"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8"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G245" i="19"/>
  <c r="AG246" i="19"/>
  <c r="AG247" i="19"/>
  <c r="AG248" i="19"/>
  <c r="AG249" i="19"/>
  <c r="AG250" i="19"/>
  <c r="AG251" i="19"/>
  <c r="AG252" i="19"/>
  <c r="AG253" i="19"/>
  <c r="AG254" i="19"/>
  <c r="AG255" i="19"/>
  <c r="AG256" i="19"/>
  <c r="AG257" i="19"/>
  <c r="AG258" i="19"/>
  <c r="AG259" i="19"/>
  <c r="AG260" i="19"/>
  <c r="AG261" i="19"/>
  <c r="AG262" i="19"/>
  <c r="AG263" i="19"/>
  <c r="AG264" i="19"/>
  <c r="AG265" i="19"/>
  <c r="AG266" i="19"/>
  <c r="AG267" i="19"/>
  <c r="AG268" i="19"/>
  <c r="AG269" i="19"/>
  <c r="AG270" i="19"/>
  <c r="AG271" i="19"/>
  <c r="AG272" i="19"/>
  <c r="AG273" i="19"/>
  <c r="AG274" i="19"/>
  <c r="AG275" i="19"/>
  <c r="AG276" i="19"/>
  <c r="AG277" i="19"/>
  <c r="AG278" i="19"/>
  <c r="AG279" i="19"/>
  <c r="AG280" i="19"/>
  <c r="AG281" i="19"/>
  <c r="AG282" i="19"/>
  <c r="AG283" i="19"/>
  <c r="AG284" i="19"/>
  <c r="AG285" i="19"/>
  <c r="AG286" i="19"/>
  <c r="AG287" i="19"/>
  <c r="AG288" i="19"/>
  <c r="AG289" i="19"/>
  <c r="AG290" i="19"/>
  <c r="AG291" i="19"/>
  <c r="AG292" i="19"/>
  <c r="AG293" i="19"/>
  <c r="AG294" i="19"/>
  <c r="AG295" i="19"/>
  <c r="AG296" i="19"/>
  <c r="AG297" i="19"/>
  <c r="AG298" i="19"/>
  <c r="AG299" i="19"/>
  <c r="AG300" i="19"/>
  <c r="AG301" i="19"/>
  <c r="AG302" i="19"/>
  <c r="AG303" i="19"/>
  <c r="AG304" i="19"/>
  <c r="AG305" i="19"/>
  <c r="AG306" i="19"/>
  <c r="AG307" i="19"/>
  <c r="AG308" i="19"/>
  <c r="AG309" i="19"/>
  <c r="AG310" i="19"/>
  <c r="AG311" i="19"/>
  <c r="AG312" i="19"/>
  <c r="AG313" i="19"/>
  <c r="AG314" i="19"/>
  <c r="AG315" i="19"/>
  <c r="AG7" i="19"/>
  <c r="AL8" i="42"/>
  <c r="AL9" i="42"/>
  <c r="AL10" i="42"/>
  <c r="AL11" i="42"/>
  <c r="AL12" i="42"/>
  <c r="AL13" i="42"/>
  <c r="AL14" i="42"/>
  <c r="AL15" i="42"/>
  <c r="AL16" i="42"/>
  <c r="AL17" i="42"/>
  <c r="AL18" i="42"/>
  <c r="AL19" i="42"/>
  <c r="AL20" i="42"/>
  <c r="AL21" i="42"/>
  <c r="AL22" i="42"/>
  <c r="AL23" i="42"/>
  <c r="AL24" i="42"/>
  <c r="AL25" i="42"/>
  <c r="AL26" i="42"/>
  <c r="AL27" i="42"/>
  <c r="AL28" i="42"/>
  <c r="AL29" i="42"/>
  <c r="AL30" i="42"/>
  <c r="AL31" i="42"/>
  <c r="AL32" i="42"/>
  <c r="AL33" i="42"/>
  <c r="AL34" i="42"/>
  <c r="AL35" i="42"/>
  <c r="AL36" i="42"/>
  <c r="AL37" i="42"/>
  <c r="AL38" i="42"/>
  <c r="AL39" i="42"/>
  <c r="AL40" i="42"/>
  <c r="AL41" i="42"/>
  <c r="AL42" i="42"/>
  <c r="AL43" i="42"/>
  <c r="AL44" i="42"/>
  <c r="AL45" i="42"/>
  <c r="AL46" i="42"/>
  <c r="AL47" i="42"/>
  <c r="AL48" i="42"/>
  <c r="AL49" i="42"/>
  <c r="AL50" i="42"/>
  <c r="AL51" i="42"/>
  <c r="AL52" i="42"/>
  <c r="AL53" i="42"/>
  <c r="AL54" i="42"/>
  <c r="AL55" i="42"/>
  <c r="AL56" i="42"/>
  <c r="AL57" i="42"/>
  <c r="AL58" i="42"/>
  <c r="AL59" i="42"/>
  <c r="AL60" i="42"/>
  <c r="AL61" i="42"/>
  <c r="AL62" i="42"/>
  <c r="AL63" i="42"/>
  <c r="AL64" i="42"/>
  <c r="AL65" i="42"/>
  <c r="AL66" i="42"/>
  <c r="AL67" i="42"/>
  <c r="AL68" i="42"/>
  <c r="AL69" i="42"/>
  <c r="AL70" i="42"/>
  <c r="AL71" i="42"/>
  <c r="AL72" i="42"/>
  <c r="AL73" i="42"/>
  <c r="AL74" i="42"/>
  <c r="AL75" i="42"/>
  <c r="AL76" i="42"/>
  <c r="AL77" i="42"/>
  <c r="AL78" i="42"/>
  <c r="AL79" i="42"/>
  <c r="AL80" i="42"/>
  <c r="AL81" i="42"/>
  <c r="AL82" i="42"/>
  <c r="AL83" i="42"/>
  <c r="AL84" i="42"/>
  <c r="AL85" i="42"/>
  <c r="AL86" i="42"/>
  <c r="AL87" i="42"/>
  <c r="AL88" i="42"/>
  <c r="AL89" i="42"/>
  <c r="AL90" i="42"/>
  <c r="AL91" i="42"/>
  <c r="AL92" i="42"/>
  <c r="AL93" i="42"/>
  <c r="AL94" i="42"/>
  <c r="AL95" i="42"/>
  <c r="AL96" i="42"/>
  <c r="AL97" i="42"/>
  <c r="AL98" i="42"/>
  <c r="AL99" i="42"/>
  <c r="AL100" i="42"/>
  <c r="AL101" i="42"/>
  <c r="AL102" i="42"/>
  <c r="AL103" i="42"/>
  <c r="AL104" i="42"/>
  <c r="AL105" i="42"/>
  <c r="AL106" i="42"/>
  <c r="AL107" i="42"/>
  <c r="AL108" i="42"/>
  <c r="AL109" i="42"/>
  <c r="AL110" i="42"/>
  <c r="AL111" i="42"/>
  <c r="AL112" i="42"/>
  <c r="AL113" i="42"/>
  <c r="AL114" i="42"/>
  <c r="AL115" i="42"/>
  <c r="AL116" i="42"/>
  <c r="AL117" i="42"/>
  <c r="AL118" i="42"/>
  <c r="AL119" i="42"/>
  <c r="AL120" i="42"/>
  <c r="AL121" i="42"/>
  <c r="AL122" i="42"/>
  <c r="AL123" i="42"/>
  <c r="AL124" i="42"/>
  <c r="AL125" i="42"/>
  <c r="AL126" i="42"/>
  <c r="AL127" i="42"/>
  <c r="AL128" i="42"/>
  <c r="AL129" i="42"/>
  <c r="AL130" i="42"/>
  <c r="AL131" i="42"/>
  <c r="AL132" i="42"/>
  <c r="AL133" i="42"/>
  <c r="AL134" i="42"/>
  <c r="AL135" i="42"/>
  <c r="AL136" i="42"/>
  <c r="AL137" i="42"/>
  <c r="AL138" i="42"/>
  <c r="AL139" i="42"/>
  <c r="AL140" i="42"/>
  <c r="AL141" i="42"/>
  <c r="AL142" i="42"/>
  <c r="AL143" i="42"/>
  <c r="AL144" i="42"/>
  <c r="AL145" i="42"/>
  <c r="AL146" i="42"/>
  <c r="AL147" i="42"/>
  <c r="AL148" i="42"/>
  <c r="AL149" i="42"/>
  <c r="AL150" i="42"/>
  <c r="AL151" i="42"/>
  <c r="AL152" i="42"/>
  <c r="AL153" i="42"/>
  <c r="AL154" i="42"/>
  <c r="AL155" i="42"/>
  <c r="AL156" i="42"/>
  <c r="AL157" i="42"/>
  <c r="AL158" i="42"/>
  <c r="AL159" i="42"/>
  <c r="AL160" i="42"/>
  <c r="AL161" i="42"/>
  <c r="AL162" i="42"/>
  <c r="AL163" i="42"/>
  <c r="AL164" i="42"/>
  <c r="AL165" i="42"/>
  <c r="AL166" i="42"/>
  <c r="AL167" i="42"/>
  <c r="AL168" i="42"/>
  <c r="AL169" i="42"/>
  <c r="AL170" i="42"/>
  <c r="AL171" i="42"/>
  <c r="AL172" i="42"/>
  <c r="AL173" i="42"/>
  <c r="AL174" i="42"/>
  <c r="AL175" i="42"/>
  <c r="AL176" i="42"/>
  <c r="AL177" i="42"/>
  <c r="AL178" i="42"/>
  <c r="AL179" i="42"/>
  <c r="AL180" i="42"/>
  <c r="AL181" i="42"/>
  <c r="AL182" i="42"/>
  <c r="AL183" i="42"/>
  <c r="AL184" i="42"/>
  <c r="AL185" i="42"/>
  <c r="AL186" i="42"/>
  <c r="AL187" i="42"/>
  <c r="AL188" i="42"/>
  <c r="AL189" i="42"/>
  <c r="AL190" i="42"/>
  <c r="AL191" i="42"/>
  <c r="AL192" i="42"/>
  <c r="AL193" i="42"/>
  <c r="AL194" i="42"/>
  <c r="AL195" i="42"/>
  <c r="AL196" i="42"/>
  <c r="AL197" i="42"/>
  <c r="AL198" i="42"/>
  <c r="AL199" i="42"/>
  <c r="AL200" i="42"/>
  <c r="AL201" i="42"/>
  <c r="AL202" i="42"/>
  <c r="AL203" i="42"/>
  <c r="AL204" i="42"/>
  <c r="AL205" i="42"/>
  <c r="AL206" i="42"/>
  <c r="AL207" i="42"/>
  <c r="AL208" i="42"/>
  <c r="AL209" i="42"/>
  <c r="AL210" i="42"/>
  <c r="AL211"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5" i="42"/>
  <c r="AL236" i="42"/>
  <c r="AL237" i="42"/>
  <c r="AL238" i="42"/>
  <c r="AL239" i="42"/>
  <c r="AL240" i="42"/>
  <c r="AL241" i="42"/>
  <c r="AL242" i="42"/>
  <c r="AL243" i="42"/>
  <c r="AL244" i="42"/>
  <c r="AL245" i="42"/>
  <c r="AL246" i="42"/>
  <c r="AL247" i="42"/>
  <c r="AL248" i="42"/>
  <c r="AL249" i="42"/>
  <c r="AL250" i="42"/>
  <c r="AL251" i="42"/>
  <c r="AL252" i="42"/>
  <c r="AL253" i="42"/>
  <c r="AL254" i="42"/>
  <c r="AL255" i="42"/>
  <c r="AL256" i="42"/>
  <c r="AL257" i="42"/>
  <c r="AL258" i="42"/>
  <c r="AL259" i="42"/>
  <c r="AL260" i="42"/>
  <c r="AL261" i="42"/>
  <c r="AL262" i="42"/>
  <c r="AL263" i="42"/>
  <c r="AL264" i="42"/>
  <c r="AL265" i="42"/>
  <c r="AL266" i="42"/>
  <c r="AL267" i="42"/>
  <c r="AL268" i="42"/>
  <c r="AL269" i="42"/>
  <c r="AL270" i="42"/>
  <c r="AL271" i="42"/>
  <c r="AL272" i="42"/>
  <c r="AL273" i="42"/>
  <c r="AL274" i="42"/>
  <c r="AL275" i="42"/>
  <c r="AL276" i="42"/>
  <c r="AL277" i="42"/>
  <c r="AL278" i="42"/>
  <c r="AL279" i="42"/>
  <c r="AL280" i="42"/>
  <c r="AL281" i="42"/>
  <c r="AL282" i="42"/>
  <c r="AL283" i="42"/>
  <c r="AL284" i="42"/>
  <c r="AL285" i="42"/>
  <c r="AL286" i="42"/>
  <c r="AL287" i="42"/>
  <c r="AL288" i="42"/>
  <c r="AL289" i="42"/>
  <c r="AL290" i="42"/>
  <c r="AL291" i="42"/>
  <c r="AL292" i="42"/>
  <c r="AL293" i="42"/>
  <c r="AL294" i="42"/>
  <c r="AL295" i="42"/>
  <c r="AL296" i="42"/>
  <c r="AL297" i="42"/>
  <c r="AL298" i="42"/>
  <c r="AL299" i="42"/>
  <c r="AL300" i="42"/>
  <c r="AL301" i="42"/>
  <c r="AL302" i="42"/>
  <c r="AL303" i="42"/>
  <c r="AL304" i="42"/>
  <c r="AL305" i="42"/>
  <c r="AL306" i="42"/>
  <c r="AL307" i="42"/>
  <c r="AL308" i="42"/>
  <c r="AL309" i="42"/>
  <c r="AL310" i="42"/>
  <c r="AL311" i="42"/>
  <c r="AL312" i="42"/>
  <c r="AL313" i="42"/>
  <c r="AL314" i="42"/>
  <c r="AL315" i="42"/>
  <c r="T170" i="13" l="1"/>
  <c r="T219" i="13"/>
  <c r="T244" i="13"/>
  <c r="B67" i="53" l="1"/>
  <c r="E8" i="53"/>
  <c r="B66" i="53" l="1"/>
  <c r="D33" i="53" l="1"/>
  <c r="D21" i="53"/>
  <c r="D51" i="53"/>
  <c r="D34" i="53" l="1"/>
  <c r="M170" i="42" l="1"/>
  <c r="G6" i="37" l="1"/>
  <c r="G7" i="37"/>
  <c r="G8" i="37"/>
  <c r="G9" i="37"/>
  <c r="G10" i="37"/>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302" i="37"/>
  <c r="G303" i="37"/>
  <c r="G304" i="37"/>
  <c r="G305" i="37"/>
  <c r="G306" i="37"/>
  <c r="G307" i="37"/>
  <c r="G308" i="37"/>
  <c r="G309" i="37"/>
  <c r="G310" i="37"/>
  <c r="G311" i="37"/>
  <c r="G312" i="37"/>
  <c r="G313" i="37"/>
  <c r="G5" i="37"/>
  <c r="S8" i="19"/>
  <c r="S9" i="19"/>
  <c r="S10" i="19"/>
  <c r="S11" i="19"/>
  <c r="S12" i="19"/>
  <c r="S13" i="19"/>
  <c r="S14" i="19"/>
  <c r="S15" i="19"/>
  <c r="S16" i="19"/>
  <c r="S17" i="19"/>
  <c r="S18"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71" i="19"/>
  <c r="S272" i="19"/>
  <c r="S273" i="19"/>
  <c r="S274" i="19"/>
  <c r="S275" i="19"/>
  <c r="S276" i="19"/>
  <c r="S277" i="19"/>
  <c r="S278" i="19"/>
  <c r="S279" i="19"/>
  <c r="S280" i="19"/>
  <c r="S281" i="19"/>
  <c r="S282" i="19"/>
  <c r="S283" i="19"/>
  <c r="S284" i="19"/>
  <c r="S285" i="19"/>
  <c r="S286" i="19"/>
  <c r="S287" i="19"/>
  <c r="S288" i="19"/>
  <c r="S289" i="19"/>
  <c r="S290" i="19"/>
  <c r="S291" i="19"/>
  <c r="S292" i="19"/>
  <c r="S293" i="19"/>
  <c r="S294" i="19"/>
  <c r="S295" i="19"/>
  <c r="S296" i="19"/>
  <c r="S297" i="19"/>
  <c r="S298" i="19"/>
  <c r="S299" i="19"/>
  <c r="S300" i="19"/>
  <c r="S301" i="19"/>
  <c r="S302" i="19"/>
  <c r="S303" i="19"/>
  <c r="S304" i="19"/>
  <c r="S305" i="19"/>
  <c r="S306" i="19"/>
  <c r="S307" i="19"/>
  <c r="S308" i="19"/>
  <c r="S309" i="19"/>
  <c r="S310" i="19"/>
  <c r="S311" i="19"/>
  <c r="S312" i="19"/>
  <c r="S313" i="19"/>
  <c r="S314" i="19"/>
  <c r="S315" i="19"/>
  <c r="S7" i="19"/>
  <c r="AE212" i="42" l="1"/>
  <c r="Z212" i="42"/>
  <c r="AL212" i="42" s="1"/>
  <c r="C78" i="19" l="1"/>
  <c r="T316" i="42" l="1"/>
  <c r="U316" i="42"/>
  <c r="AB24" i="19"/>
  <c r="AC24" i="19"/>
  <c r="AD24" i="19"/>
  <c r="AE24" i="19"/>
  <c r="AF24" i="19"/>
  <c r="AH24" i="19"/>
  <c r="AI24" i="19"/>
  <c r="AJ24" i="19"/>
  <c r="AK24" i="19"/>
  <c r="AL24" i="19"/>
  <c r="AM24" i="19"/>
  <c r="AN24" i="19"/>
  <c r="AO24" i="19"/>
  <c r="AP24" i="19"/>
  <c r="AQ24" i="19"/>
  <c r="AB25" i="19"/>
  <c r="AC25" i="19"/>
  <c r="AD25" i="19"/>
  <c r="AE25" i="19"/>
  <c r="AF25" i="19"/>
  <c r="AH25" i="19"/>
  <c r="AI25" i="19"/>
  <c r="AJ25" i="19"/>
  <c r="AK25" i="19"/>
  <c r="AL25" i="19"/>
  <c r="AM25" i="19"/>
  <c r="AN25" i="19"/>
  <c r="AO25" i="19"/>
  <c r="AP25" i="19"/>
  <c r="AQ25" i="19"/>
  <c r="AB26" i="19"/>
  <c r="AC26" i="19"/>
  <c r="AD26" i="19"/>
  <c r="AE26" i="19"/>
  <c r="AF26" i="19"/>
  <c r="AH26" i="19"/>
  <c r="AI26" i="19"/>
  <c r="AJ26" i="19"/>
  <c r="AK26" i="19"/>
  <c r="AL26" i="19"/>
  <c r="AM26" i="19"/>
  <c r="AN26" i="19"/>
  <c r="AO26" i="19"/>
  <c r="AP26" i="19"/>
  <c r="AQ26" i="19"/>
  <c r="AB27" i="19"/>
  <c r="AC27" i="19"/>
  <c r="AD27" i="19"/>
  <c r="AE27" i="19"/>
  <c r="AF27" i="19"/>
  <c r="AH27" i="19"/>
  <c r="AI27" i="19"/>
  <c r="AJ27" i="19"/>
  <c r="AK27" i="19"/>
  <c r="AL27" i="19"/>
  <c r="AM27" i="19"/>
  <c r="AN27" i="19"/>
  <c r="AO27" i="19"/>
  <c r="AP27" i="19"/>
  <c r="AQ27" i="19"/>
  <c r="AB28" i="19"/>
  <c r="AC28" i="19"/>
  <c r="AD28" i="19"/>
  <c r="AE28" i="19"/>
  <c r="AF28" i="19"/>
  <c r="AH28" i="19"/>
  <c r="AI28" i="19"/>
  <c r="AJ28" i="19"/>
  <c r="AK28" i="19"/>
  <c r="AL28" i="19"/>
  <c r="AM28" i="19"/>
  <c r="AN28" i="19"/>
  <c r="AO28" i="19"/>
  <c r="AP28" i="19"/>
  <c r="AQ28" i="19"/>
  <c r="AB29" i="19"/>
  <c r="AC29" i="19"/>
  <c r="AD29" i="19"/>
  <c r="AE29" i="19"/>
  <c r="AF29" i="19"/>
  <c r="AH29" i="19"/>
  <c r="AI29" i="19"/>
  <c r="AJ29" i="19"/>
  <c r="AK29" i="19"/>
  <c r="AL29" i="19"/>
  <c r="AM29" i="19"/>
  <c r="AN29" i="19"/>
  <c r="AO29" i="19"/>
  <c r="AP29" i="19"/>
  <c r="AQ29" i="19"/>
  <c r="AB30" i="19"/>
  <c r="AC30" i="19"/>
  <c r="AD30" i="19"/>
  <c r="AE30" i="19"/>
  <c r="AF30" i="19"/>
  <c r="AH30" i="19"/>
  <c r="AI30" i="19"/>
  <c r="AJ30" i="19"/>
  <c r="AK30" i="19"/>
  <c r="AL30" i="19"/>
  <c r="AM30" i="19"/>
  <c r="AN30" i="19"/>
  <c r="AO30" i="19"/>
  <c r="AP30" i="19"/>
  <c r="AQ30" i="19"/>
  <c r="AB31" i="19"/>
  <c r="AC31" i="19"/>
  <c r="AD31" i="19"/>
  <c r="AE31" i="19"/>
  <c r="AF31" i="19"/>
  <c r="AH31" i="19"/>
  <c r="AI31" i="19"/>
  <c r="AJ31" i="19"/>
  <c r="AK31" i="19"/>
  <c r="AL31" i="19"/>
  <c r="AM31" i="19"/>
  <c r="AN31" i="19"/>
  <c r="AO31" i="19"/>
  <c r="AP31" i="19"/>
  <c r="AQ31" i="19"/>
  <c r="AB32" i="19"/>
  <c r="AC32" i="19"/>
  <c r="AD32" i="19"/>
  <c r="AE32" i="19"/>
  <c r="AF32" i="19"/>
  <c r="AH32" i="19"/>
  <c r="AI32" i="19"/>
  <c r="AJ32" i="19"/>
  <c r="AK32" i="19"/>
  <c r="AL32" i="19"/>
  <c r="AM32" i="19"/>
  <c r="AN32" i="19"/>
  <c r="AO32" i="19"/>
  <c r="AP32" i="19"/>
  <c r="AQ32" i="19"/>
  <c r="AB33" i="19"/>
  <c r="AC33" i="19"/>
  <c r="AD33" i="19"/>
  <c r="AE33" i="19"/>
  <c r="AF33" i="19"/>
  <c r="AH33" i="19"/>
  <c r="AI33" i="19"/>
  <c r="AJ33" i="19"/>
  <c r="AK33" i="19"/>
  <c r="AL33" i="19"/>
  <c r="AM33" i="19"/>
  <c r="AN33" i="19"/>
  <c r="AO33" i="19"/>
  <c r="AP33" i="19"/>
  <c r="AQ33" i="19"/>
  <c r="AB34" i="19"/>
  <c r="AC34" i="19"/>
  <c r="AD34" i="19"/>
  <c r="AE34" i="19"/>
  <c r="AF34" i="19"/>
  <c r="AH34" i="19"/>
  <c r="AI34" i="19"/>
  <c r="AJ34" i="19"/>
  <c r="AK34" i="19"/>
  <c r="AL34" i="19"/>
  <c r="AM34" i="19"/>
  <c r="AN34" i="19"/>
  <c r="AO34" i="19"/>
  <c r="AP34" i="19"/>
  <c r="AQ34" i="19"/>
  <c r="AB35" i="19"/>
  <c r="AC35" i="19"/>
  <c r="AD35" i="19"/>
  <c r="AE35" i="19"/>
  <c r="AF35" i="19"/>
  <c r="AH35" i="19"/>
  <c r="AI35" i="19"/>
  <c r="AJ35" i="19"/>
  <c r="AK35" i="19"/>
  <c r="AL35" i="19"/>
  <c r="AM35" i="19"/>
  <c r="AN35" i="19"/>
  <c r="AO35" i="19"/>
  <c r="AP35" i="19"/>
  <c r="AQ35" i="19"/>
  <c r="AB36" i="19"/>
  <c r="AC36" i="19"/>
  <c r="AD36" i="19"/>
  <c r="AE36" i="19"/>
  <c r="AF36" i="19"/>
  <c r="AH36" i="19"/>
  <c r="AI36" i="19"/>
  <c r="AJ36" i="19"/>
  <c r="AK36" i="19"/>
  <c r="AL36" i="19"/>
  <c r="AM36" i="19"/>
  <c r="AN36" i="19"/>
  <c r="AO36" i="19"/>
  <c r="AP36" i="19"/>
  <c r="AQ36" i="19"/>
  <c r="AB37" i="19"/>
  <c r="AC37" i="19"/>
  <c r="AD37" i="19"/>
  <c r="AE37" i="19"/>
  <c r="AF37" i="19"/>
  <c r="AH37" i="19"/>
  <c r="AI37" i="19"/>
  <c r="AJ37" i="19"/>
  <c r="AK37" i="19"/>
  <c r="AL37" i="19"/>
  <c r="AM37" i="19"/>
  <c r="AN37" i="19"/>
  <c r="AO37" i="19"/>
  <c r="AP37" i="19"/>
  <c r="AQ37" i="19"/>
  <c r="AB38" i="19"/>
  <c r="AC38" i="19"/>
  <c r="AD38" i="19"/>
  <c r="AE38" i="19"/>
  <c r="AF38" i="19"/>
  <c r="AH38" i="19"/>
  <c r="AI38" i="19"/>
  <c r="AJ38" i="19"/>
  <c r="AK38" i="19"/>
  <c r="AL38" i="19"/>
  <c r="AM38" i="19"/>
  <c r="AN38" i="19"/>
  <c r="AO38" i="19"/>
  <c r="AP38" i="19"/>
  <c r="AQ38" i="19"/>
  <c r="AB39" i="19"/>
  <c r="AC39" i="19"/>
  <c r="AD39" i="19"/>
  <c r="AE39" i="19"/>
  <c r="AF39" i="19"/>
  <c r="AH39" i="19"/>
  <c r="AI39" i="19"/>
  <c r="AJ39" i="19"/>
  <c r="AK39" i="19"/>
  <c r="AL39" i="19"/>
  <c r="AM39" i="19"/>
  <c r="AN39" i="19"/>
  <c r="AO39" i="19"/>
  <c r="AP39" i="19"/>
  <c r="AQ39" i="19"/>
  <c r="AB40" i="19"/>
  <c r="AC40" i="19"/>
  <c r="AD40" i="19"/>
  <c r="AE40" i="19"/>
  <c r="AF40" i="19"/>
  <c r="AH40" i="19"/>
  <c r="AI40" i="19"/>
  <c r="AJ40" i="19"/>
  <c r="AK40" i="19"/>
  <c r="AL40" i="19"/>
  <c r="AM40" i="19"/>
  <c r="AN40" i="19"/>
  <c r="AO40" i="19"/>
  <c r="AP40" i="19"/>
  <c r="AQ40" i="19"/>
  <c r="AB41" i="19"/>
  <c r="AC41" i="19"/>
  <c r="AD41" i="19"/>
  <c r="AE41" i="19"/>
  <c r="AF41" i="19"/>
  <c r="AH41" i="19"/>
  <c r="AI41" i="19"/>
  <c r="AJ41" i="19"/>
  <c r="AK41" i="19"/>
  <c r="AL41" i="19"/>
  <c r="AM41" i="19"/>
  <c r="AN41" i="19"/>
  <c r="AO41" i="19"/>
  <c r="AP41" i="19"/>
  <c r="AQ41" i="19"/>
  <c r="AB42" i="19"/>
  <c r="AC42" i="19"/>
  <c r="AD42" i="19"/>
  <c r="AE42" i="19"/>
  <c r="AF42" i="19"/>
  <c r="AH42" i="19"/>
  <c r="AI42" i="19"/>
  <c r="AJ42" i="19"/>
  <c r="AK42" i="19"/>
  <c r="AL42" i="19"/>
  <c r="AM42" i="19"/>
  <c r="AN42" i="19"/>
  <c r="AO42" i="19"/>
  <c r="AP42" i="19"/>
  <c r="AQ42" i="19"/>
  <c r="AB43" i="19"/>
  <c r="AC43" i="19"/>
  <c r="AD43" i="19"/>
  <c r="AE43" i="19"/>
  <c r="AF43" i="19"/>
  <c r="AH43" i="19"/>
  <c r="AI43" i="19"/>
  <c r="AJ43" i="19"/>
  <c r="AK43" i="19"/>
  <c r="AL43" i="19"/>
  <c r="AM43" i="19"/>
  <c r="AN43" i="19"/>
  <c r="AO43" i="19"/>
  <c r="AP43" i="19"/>
  <c r="AQ43" i="19"/>
  <c r="AB44" i="19"/>
  <c r="AC44" i="19"/>
  <c r="AD44" i="19"/>
  <c r="AE44" i="19"/>
  <c r="AF44" i="19"/>
  <c r="AH44" i="19"/>
  <c r="AI44" i="19"/>
  <c r="AJ44" i="19"/>
  <c r="AK44" i="19"/>
  <c r="AL44" i="19"/>
  <c r="AM44" i="19"/>
  <c r="AN44" i="19"/>
  <c r="AO44" i="19"/>
  <c r="AP44" i="19"/>
  <c r="AQ44" i="19"/>
  <c r="AB45" i="19"/>
  <c r="AC45" i="19"/>
  <c r="AD45" i="19"/>
  <c r="AE45" i="19"/>
  <c r="AF45" i="19"/>
  <c r="AH45" i="19"/>
  <c r="AI45" i="19"/>
  <c r="AJ45" i="19"/>
  <c r="AK45" i="19"/>
  <c r="AL45" i="19"/>
  <c r="AM45" i="19"/>
  <c r="AN45" i="19"/>
  <c r="AO45" i="19"/>
  <c r="AP45" i="19"/>
  <c r="AQ45" i="19"/>
  <c r="AB46" i="19"/>
  <c r="AC46" i="19"/>
  <c r="AD46" i="19"/>
  <c r="AE46" i="19"/>
  <c r="AF46" i="19"/>
  <c r="AH46" i="19"/>
  <c r="AI46" i="19"/>
  <c r="AJ46" i="19"/>
  <c r="AK46" i="19"/>
  <c r="AL46" i="19"/>
  <c r="AM46" i="19"/>
  <c r="AN46" i="19"/>
  <c r="AO46" i="19"/>
  <c r="AP46" i="19"/>
  <c r="AQ46" i="19"/>
  <c r="AB47" i="19"/>
  <c r="AC47" i="19"/>
  <c r="AD47" i="19"/>
  <c r="AE47" i="19"/>
  <c r="AF47" i="19"/>
  <c r="AH47" i="19"/>
  <c r="AI47" i="19"/>
  <c r="AJ47" i="19"/>
  <c r="AK47" i="19"/>
  <c r="AL47" i="19"/>
  <c r="AM47" i="19"/>
  <c r="AN47" i="19"/>
  <c r="AO47" i="19"/>
  <c r="AP47" i="19"/>
  <c r="AQ47" i="19"/>
  <c r="AB48" i="19"/>
  <c r="AC48" i="19"/>
  <c r="AD48" i="19"/>
  <c r="AE48" i="19"/>
  <c r="AF48" i="19"/>
  <c r="AH48" i="19"/>
  <c r="AI48" i="19"/>
  <c r="AJ48" i="19"/>
  <c r="AK48" i="19"/>
  <c r="AL48" i="19"/>
  <c r="AM48" i="19"/>
  <c r="AN48" i="19"/>
  <c r="AO48" i="19"/>
  <c r="AP48" i="19"/>
  <c r="AQ48" i="19"/>
  <c r="AB49" i="19"/>
  <c r="AC49" i="19"/>
  <c r="AD49" i="19"/>
  <c r="AE49" i="19"/>
  <c r="AF49" i="19"/>
  <c r="AH49" i="19"/>
  <c r="AI49" i="19"/>
  <c r="AJ49" i="19"/>
  <c r="AK49" i="19"/>
  <c r="AL49" i="19"/>
  <c r="AM49" i="19"/>
  <c r="AN49" i="19"/>
  <c r="AO49" i="19"/>
  <c r="AP49" i="19"/>
  <c r="AQ49" i="19"/>
  <c r="AB50" i="19"/>
  <c r="AC50" i="19"/>
  <c r="AD50" i="19"/>
  <c r="AE50" i="19"/>
  <c r="AF50" i="19"/>
  <c r="AH50" i="19"/>
  <c r="AI50" i="19"/>
  <c r="AJ50" i="19"/>
  <c r="AK50" i="19"/>
  <c r="AL50" i="19"/>
  <c r="AM50" i="19"/>
  <c r="AN50" i="19"/>
  <c r="AO50" i="19"/>
  <c r="AP50" i="19"/>
  <c r="AQ50" i="19"/>
  <c r="AB51" i="19"/>
  <c r="AC51" i="19"/>
  <c r="AD51" i="19"/>
  <c r="AE51" i="19"/>
  <c r="AF51" i="19"/>
  <c r="AH51" i="19"/>
  <c r="AI51" i="19"/>
  <c r="AJ51" i="19"/>
  <c r="AK51" i="19"/>
  <c r="AL51" i="19"/>
  <c r="AM51" i="19"/>
  <c r="AN51" i="19"/>
  <c r="AO51" i="19"/>
  <c r="AP51" i="19"/>
  <c r="AQ51" i="19"/>
  <c r="AB52" i="19"/>
  <c r="AC52" i="19"/>
  <c r="AD52" i="19"/>
  <c r="AE52" i="19"/>
  <c r="AF52" i="19"/>
  <c r="AH52" i="19"/>
  <c r="AI52" i="19"/>
  <c r="AJ52" i="19"/>
  <c r="AK52" i="19"/>
  <c r="AL52" i="19"/>
  <c r="AM52" i="19"/>
  <c r="AN52" i="19"/>
  <c r="AO52" i="19"/>
  <c r="AP52" i="19"/>
  <c r="AQ52" i="19"/>
  <c r="AB53" i="19"/>
  <c r="AC53" i="19"/>
  <c r="AD53" i="19"/>
  <c r="AE53" i="19"/>
  <c r="AF53" i="19"/>
  <c r="AH53" i="19"/>
  <c r="AI53" i="19"/>
  <c r="AJ53" i="19"/>
  <c r="AK53" i="19"/>
  <c r="AL53" i="19"/>
  <c r="AM53" i="19"/>
  <c r="AN53" i="19"/>
  <c r="AO53" i="19"/>
  <c r="AP53" i="19"/>
  <c r="AQ53" i="19"/>
  <c r="AB54" i="19"/>
  <c r="AC54" i="19"/>
  <c r="AD54" i="19"/>
  <c r="AE54" i="19"/>
  <c r="AF54" i="19"/>
  <c r="AH54" i="19"/>
  <c r="AI54" i="19"/>
  <c r="AJ54" i="19"/>
  <c r="AK54" i="19"/>
  <c r="AL54" i="19"/>
  <c r="AM54" i="19"/>
  <c r="AN54" i="19"/>
  <c r="AO54" i="19"/>
  <c r="AP54" i="19"/>
  <c r="AQ54" i="19"/>
  <c r="AB55" i="19"/>
  <c r="AC55" i="19"/>
  <c r="AD55" i="19"/>
  <c r="AE55" i="19"/>
  <c r="AF55" i="19"/>
  <c r="AH55" i="19"/>
  <c r="AI55" i="19"/>
  <c r="AJ55" i="19"/>
  <c r="AK55" i="19"/>
  <c r="AL55" i="19"/>
  <c r="AM55" i="19"/>
  <c r="AN55" i="19"/>
  <c r="AO55" i="19"/>
  <c r="AP55" i="19"/>
  <c r="AQ55" i="19"/>
  <c r="AB56" i="19"/>
  <c r="AC56" i="19"/>
  <c r="AD56" i="19"/>
  <c r="AE56" i="19"/>
  <c r="AF56" i="19"/>
  <c r="AH56" i="19"/>
  <c r="AI56" i="19"/>
  <c r="AJ56" i="19"/>
  <c r="AK56" i="19"/>
  <c r="AL56" i="19"/>
  <c r="AM56" i="19"/>
  <c r="AN56" i="19"/>
  <c r="AO56" i="19"/>
  <c r="AP56" i="19"/>
  <c r="AQ56" i="19"/>
  <c r="AB57" i="19"/>
  <c r="AC57" i="19"/>
  <c r="AD57" i="19"/>
  <c r="AE57" i="19"/>
  <c r="AF57" i="19"/>
  <c r="AH57" i="19"/>
  <c r="AI57" i="19"/>
  <c r="AJ57" i="19"/>
  <c r="AK57" i="19"/>
  <c r="AL57" i="19"/>
  <c r="AM57" i="19"/>
  <c r="AN57" i="19"/>
  <c r="AO57" i="19"/>
  <c r="AP57" i="19"/>
  <c r="AQ57" i="19"/>
  <c r="AB58" i="19"/>
  <c r="AC58" i="19"/>
  <c r="AD58" i="19"/>
  <c r="AE58" i="19"/>
  <c r="AF58" i="19"/>
  <c r="AH58" i="19"/>
  <c r="AI58" i="19"/>
  <c r="AJ58" i="19"/>
  <c r="AK58" i="19"/>
  <c r="AL58" i="19"/>
  <c r="AM58" i="19"/>
  <c r="AN58" i="19"/>
  <c r="AO58" i="19"/>
  <c r="AP58" i="19"/>
  <c r="AQ58" i="19"/>
  <c r="AB59" i="19"/>
  <c r="AC59" i="19"/>
  <c r="AD59" i="19"/>
  <c r="AE59" i="19"/>
  <c r="AF59" i="19"/>
  <c r="AH59" i="19"/>
  <c r="AI59" i="19"/>
  <c r="AJ59" i="19"/>
  <c r="AK59" i="19"/>
  <c r="AL59" i="19"/>
  <c r="AM59" i="19"/>
  <c r="AN59" i="19"/>
  <c r="AO59" i="19"/>
  <c r="AP59" i="19"/>
  <c r="AQ59" i="19"/>
  <c r="AB60" i="19"/>
  <c r="AC60" i="19"/>
  <c r="AD60" i="19"/>
  <c r="AE60" i="19"/>
  <c r="AF60" i="19"/>
  <c r="AH60" i="19"/>
  <c r="AI60" i="19"/>
  <c r="AJ60" i="19"/>
  <c r="AK60" i="19"/>
  <c r="AL60" i="19"/>
  <c r="AM60" i="19"/>
  <c r="AN60" i="19"/>
  <c r="AO60" i="19"/>
  <c r="AP60" i="19"/>
  <c r="AQ60" i="19"/>
  <c r="AB61" i="19"/>
  <c r="AC61" i="19"/>
  <c r="AD61" i="19"/>
  <c r="AE61" i="19"/>
  <c r="AF61" i="19"/>
  <c r="AH61" i="19"/>
  <c r="AI61" i="19"/>
  <c r="AJ61" i="19"/>
  <c r="AK61" i="19"/>
  <c r="AL61" i="19"/>
  <c r="AM61" i="19"/>
  <c r="AN61" i="19"/>
  <c r="AO61" i="19"/>
  <c r="AP61" i="19"/>
  <c r="AQ61" i="19"/>
  <c r="AB62" i="19"/>
  <c r="AC62" i="19"/>
  <c r="AD62" i="19"/>
  <c r="AE62" i="19"/>
  <c r="AF62" i="19"/>
  <c r="AH62" i="19"/>
  <c r="AI62" i="19"/>
  <c r="AJ62" i="19"/>
  <c r="AK62" i="19"/>
  <c r="AL62" i="19"/>
  <c r="AM62" i="19"/>
  <c r="AN62" i="19"/>
  <c r="AO62" i="19"/>
  <c r="AP62" i="19"/>
  <c r="AQ62" i="19"/>
  <c r="AB63" i="19"/>
  <c r="AC63" i="19"/>
  <c r="AD63" i="19"/>
  <c r="AE63" i="19"/>
  <c r="AF63" i="19"/>
  <c r="AH63" i="19"/>
  <c r="AI63" i="19"/>
  <c r="AJ63" i="19"/>
  <c r="AK63" i="19"/>
  <c r="AL63" i="19"/>
  <c r="AM63" i="19"/>
  <c r="AN63" i="19"/>
  <c r="AO63" i="19"/>
  <c r="AP63" i="19"/>
  <c r="AQ63" i="19"/>
  <c r="AB64" i="19"/>
  <c r="AC64" i="19"/>
  <c r="AD64" i="19"/>
  <c r="AE64" i="19"/>
  <c r="AF64" i="19"/>
  <c r="AH64" i="19"/>
  <c r="AI64" i="19"/>
  <c r="AJ64" i="19"/>
  <c r="AK64" i="19"/>
  <c r="AL64" i="19"/>
  <c r="AM64" i="19"/>
  <c r="AN64" i="19"/>
  <c r="AO64" i="19"/>
  <c r="AP64" i="19"/>
  <c r="AQ64" i="19"/>
  <c r="AB65" i="19"/>
  <c r="AC65" i="19"/>
  <c r="AD65" i="19"/>
  <c r="AE65" i="19"/>
  <c r="AF65" i="19"/>
  <c r="AH65" i="19"/>
  <c r="AI65" i="19"/>
  <c r="AJ65" i="19"/>
  <c r="AK65" i="19"/>
  <c r="AL65" i="19"/>
  <c r="AM65" i="19"/>
  <c r="AN65" i="19"/>
  <c r="AO65" i="19"/>
  <c r="AP65" i="19"/>
  <c r="AQ65" i="19"/>
  <c r="AB66" i="19"/>
  <c r="AC66" i="19"/>
  <c r="AD66" i="19"/>
  <c r="AE66" i="19"/>
  <c r="AF66" i="19"/>
  <c r="AH66" i="19"/>
  <c r="AI66" i="19"/>
  <c r="AJ66" i="19"/>
  <c r="AK66" i="19"/>
  <c r="AL66" i="19"/>
  <c r="AM66" i="19"/>
  <c r="AN66" i="19"/>
  <c r="AO66" i="19"/>
  <c r="AP66" i="19"/>
  <c r="AQ66" i="19"/>
  <c r="AB67" i="19"/>
  <c r="AC67" i="19"/>
  <c r="AD67" i="19"/>
  <c r="AE67" i="19"/>
  <c r="AF67" i="19"/>
  <c r="AH67" i="19"/>
  <c r="AI67" i="19"/>
  <c r="AJ67" i="19"/>
  <c r="AK67" i="19"/>
  <c r="AL67" i="19"/>
  <c r="AM67" i="19"/>
  <c r="AN67" i="19"/>
  <c r="AO67" i="19"/>
  <c r="AP67" i="19"/>
  <c r="AQ67" i="19"/>
  <c r="AB68" i="19"/>
  <c r="AC68" i="19"/>
  <c r="AD68" i="19"/>
  <c r="AE68" i="19"/>
  <c r="AF68" i="19"/>
  <c r="AH68" i="19"/>
  <c r="AI68" i="19"/>
  <c r="AJ68" i="19"/>
  <c r="AK68" i="19"/>
  <c r="AL68" i="19"/>
  <c r="AM68" i="19"/>
  <c r="AN68" i="19"/>
  <c r="AO68" i="19"/>
  <c r="AP68" i="19"/>
  <c r="AQ68" i="19"/>
  <c r="AB69" i="19"/>
  <c r="AC69" i="19"/>
  <c r="AD69" i="19"/>
  <c r="AE69" i="19"/>
  <c r="AF69" i="19"/>
  <c r="AH69" i="19"/>
  <c r="AI69" i="19"/>
  <c r="AJ69" i="19"/>
  <c r="AK69" i="19"/>
  <c r="AL69" i="19"/>
  <c r="AM69" i="19"/>
  <c r="AN69" i="19"/>
  <c r="AO69" i="19"/>
  <c r="AP69" i="19"/>
  <c r="AQ69" i="19"/>
  <c r="AB70" i="19"/>
  <c r="AC70" i="19"/>
  <c r="AD70" i="19"/>
  <c r="AE70" i="19"/>
  <c r="AF70" i="19"/>
  <c r="AH70" i="19"/>
  <c r="AI70" i="19"/>
  <c r="AJ70" i="19"/>
  <c r="AK70" i="19"/>
  <c r="AL70" i="19"/>
  <c r="AM70" i="19"/>
  <c r="AN70" i="19"/>
  <c r="AO70" i="19"/>
  <c r="AP70" i="19"/>
  <c r="AQ70" i="19"/>
  <c r="AB71" i="19"/>
  <c r="AC71" i="19"/>
  <c r="AD71" i="19"/>
  <c r="AE71" i="19"/>
  <c r="AF71" i="19"/>
  <c r="AH71" i="19"/>
  <c r="AI71" i="19"/>
  <c r="AJ71" i="19"/>
  <c r="AK71" i="19"/>
  <c r="AL71" i="19"/>
  <c r="AM71" i="19"/>
  <c r="AN71" i="19"/>
  <c r="AO71" i="19"/>
  <c r="AP71" i="19"/>
  <c r="AQ71" i="19"/>
  <c r="AB72" i="19"/>
  <c r="AC72" i="19"/>
  <c r="AD72" i="19"/>
  <c r="AE72" i="19"/>
  <c r="AF72" i="19"/>
  <c r="AH72" i="19"/>
  <c r="AI72" i="19"/>
  <c r="AJ72" i="19"/>
  <c r="AK72" i="19"/>
  <c r="AL72" i="19"/>
  <c r="AM72" i="19"/>
  <c r="AN72" i="19"/>
  <c r="AO72" i="19"/>
  <c r="AP72" i="19"/>
  <c r="AQ72" i="19"/>
  <c r="AB73" i="19"/>
  <c r="AC73" i="19"/>
  <c r="AD73" i="19"/>
  <c r="AE73" i="19"/>
  <c r="AF73" i="19"/>
  <c r="AH73" i="19"/>
  <c r="AI73" i="19"/>
  <c r="AJ73" i="19"/>
  <c r="AK73" i="19"/>
  <c r="AL73" i="19"/>
  <c r="AM73" i="19"/>
  <c r="AN73" i="19"/>
  <c r="AO73" i="19"/>
  <c r="AP73" i="19"/>
  <c r="AQ73" i="19"/>
  <c r="AB74" i="19"/>
  <c r="AC74" i="19"/>
  <c r="AD74" i="19"/>
  <c r="AE74" i="19"/>
  <c r="AF74" i="19"/>
  <c r="AH74" i="19"/>
  <c r="AI74" i="19"/>
  <c r="AJ74" i="19"/>
  <c r="AK74" i="19"/>
  <c r="AL74" i="19"/>
  <c r="AM74" i="19"/>
  <c r="AN74" i="19"/>
  <c r="AO74" i="19"/>
  <c r="AP74" i="19"/>
  <c r="AQ74" i="19"/>
  <c r="AB75" i="19"/>
  <c r="AC75" i="19"/>
  <c r="AD75" i="19"/>
  <c r="AE75" i="19"/>
  <c r="AF75" i="19"/>
  <c r="AH75" i="19"/>
  <c r="AI75" i="19"/>
  <c r="AJ75" i="19"/>
  <c r="AK75" i="19"/>
  <c r="AL75" i="19"/>
  <c r="AM75" i="19"/>
  <c r="AN75" i="19"/>
  <c r="AO75" i="19"/>
  <c r="AP75" i="19"/>
  <c r="AQ75" i="19"/>
  <c r="AB76" i="19"/>
  <c r="AC76" i="19"/>
  <c r="AD76" i="19"/>
  <c r="AE76" i="19"/>
  <c r="AF76" i="19"/>
  <c r="AH76" i="19"/>
  <c r="AI76" i="19"/>
  <c r="AJ76" i="19"/>
  <c r="AK76" i="19"/>
  <c r="AL76" i="19"/>
  <c r="AM76" i="19"/>
  <c r="AN76" i="19"/>
  <c r="AO76" i="19"/>
  <c r="AP76" i="19"/>
  <c r="AQ76" i="19"/>
  <c r="AB77" i="19"/>
  <c r="AC77" i="19"/>
  <c r="AD77" i="19"/>
  <c r="AE77" i="19"/>
  <c r="AF77" i="19"/>
  <c r="AH77" i="19"/>
  <c r="AI77" i="19"/>
  <c r="AJ77" i="19"/>
  <c r="AK77" i="19"/>
  <c r="AL77" i="19"/>
  <c r="AM77" i="19"/>
  <c r="AN77" i="19"/>
  <c r="AO77" i="19"/>
  <c r="AP77" i="19"/>
  <c r="AQ77" i="19"/>
  <c r="AB78" i="19"/>
  <c r="AC78" i="19"/>
  <c r="AD78" i="19"/>
  <c r="AE78" i="19"/>
  <c r="AF78" i="19"/>
  <c r="AH78" i="19"/>
  <c r="AI78" i="19"/>
  <c r="AJ78" i="19"/>
  <c r="AK78" i="19"/>
  <c r="AL78" i="19"/>
  <c r="AM78" i="19"/>
  <c r="AN78" i="19"/>
  <c r="AO78" i="19"/>
  <c r="AP78" i="19"/>
  <c r="AQ78" i="19"/>
  <c r="AB79" i="19"/>
  <c r="AC79" i="19"/>
  <c r="AD79" i="19"/>
  <c r="AE79" i="19"/>
  <c r="AF79" i="19"/>
  <c r="AH79" i="19"/>
  <c r="AI79" i="19"/>
  <c r="AJ79" i="19"/>
  <c r="AK79" i="19"/>
  <c r="AL79" i="19"/>
  <c r="AM79" i="19"/>
  <c r="AN79" i="19"/>
  <c r="AO79" i="19"/>
  <c r="AP79" i="19"/>
  <c r="AQ79" i="19"/>
  <c r="AB80" i="19"/>
  <c r="AC80" i="19"/>
  <c r="AD80" i="19"/>
  <c r="AE80" i="19"/>
  <c r="AF80" i="19"/>
  <c r="AH80" i="19"/>
  <c r="AI80" i="19"/>
  <c r="AJ80" i="19"/>
  <c r="AK80" i="19"/>
  <c r="AL80" i="19"/>
  <c r="AM80" i="19"/>
  <c r="AN80" i="19"/>
  <c r="AO80" i="19"/>
  <c r="AP80" i="19"/>
  <c r="AQ80" i="19"/>
  <c r="AB81" i="19"/>
  <c r="AC81" i="19"/>
  <c r="AD81" i="19"/>
  <c r="AE81" i="19"/>
  <c r="AF81" i="19"/>
  <c r="AH81" i="19"/>
  <c r="AI81" i="19"/>
  <c r="AJ81" i="19"/>
  <c r="AK81" i="19"/>
  <c r="AL81" i="19"/>
  <c r="AM81" i="19"/>
  <c r="AN81" i="19"/>
  <c r="AO81" i="19"/>
  <c r="AP81" i="19"/>
  <c r="AQ81" i="19"/>
  <c r="AB82" i="19"/>
  <c r="AC82" i="19"/>
  <c r="AD82" i="19"/>
  <c r="AE82" i="19"/>
  <c r="AF82" i="19"/>
  <c r="AH82" i="19"/>
  <c r="AI82" i="19"/>
  <c r="AJ82" i="19"/>
  <c r="AK82" i="19"/>
  <c r="AL82" i="19"/>
  <c r="AM82" i="19"/>
  <c r="AN82" i="19"/>
  <c r="AO82" i="19"/>
  <c r="AP82" i="19"/>
  <c r="AQ82" i="19"/>
  <c r="AB83" i="19"/>
  <c r="AC83" i="19"/>
  <c r="AD83" i="19"/>
  <c r="AE83" i="19"/>
  <c r="AF83" i="19"/>
  <c r="AH83" i="19"/>
  <c r="AI83" i="19"/>
  <c r="AJ83" i="19"/>
  <c r="AK83" i="19"/>
  <c r="AL83" i="19"/>
  <c r="AM83" i="19"/>
  <c r="AN83" i="19"/>
  <c r="AO83" i="19"/>
  <c r="AP83" i="19"/>
  <c r="AQ83" i="19"/>
  <c r="AB84" i="19"/>
  <c r="AC84" i="19"/>
  <c r="AD84" i="19"/>
  <c r="AE84" i="19"/>
  <c r="AF84" i="19"/>
  <c r="AH84" i="19"/>
  <c r="AI84" i="19"/>
  <c r="AJ84" i="19"/>
  <c r="AK84" i="19"/>
  <c r="AL84" i="19"/>
  <c r="AM84" i="19"/>
  <c r="AN84" i="19"/>
  <c r="AO84" i="19"/>
  <c r="AP84" i="19"/>
  <c r="AQ84" i="19"/>
  <c r="AB85" i="19"/>
  <c r="AC85" i="19"/>
  <c r="AD85" i="19"/>
  <c r="AE85" i="19"/>
  <c r="AF85" i="19"/>
  <c r="AH85" i="19"/>
  <c r="AI85" i="19"/>
  <c r="AJ85" i="19"/>
  <c r="AK85" i="19"/>
  <c r="AL85" i="19"/>
  <c r="AM85" i="19"/>
  <c r="AN85" i="19"/>
  <c r="AO85" i="19"/>
  <c r="AP85" i="19"/>
  <c r="AQ85" i="19"/>
  <c r="AB86" i="19"/>
  <c r="AC86" i="19"/>
  <c r="AD86" i="19"/>
  <c r="AE86" i="19"/>
  <c r="AF86" i="19"/>
  <c r="AH86" i="19"/>
  <c r="AI86" i="19"/>
  <c r="AL86" i="19"/>
  <c r="AM86" i="19"/>
  <c r="AN86" i="19"/>
  <c r="AO86" i="19"/>
  <c r="AP86" i="19"/>
  <c r="AQ86" i="19"/>
  <c r="AB87" i="19"/>
  <c r="AC87" i="19"/>
  <c r="AD87" i="19"/>
  <c r="AE87" i="19"/>
  <c r="AF87" i="19"/>
  <c r="AH87" i="19"/>
  <c r="AI87" i="19"/>
  <c r="AJ87" i="19"/>
  <c r="AK87" i="19"/>
  <c r="AL87" i="19"/>
  <c r="AM87" i="19"/>
  <c r="AN87" i="19"/>
  <c r="AO87" i="19"/>
  <c r="AP87" i="19"/>
  <c r="AQ87" i="19"/>
  <c r="AB88" i="19"/>
  <c r="AC88" i="19"/>
  <c r="AD88" i="19"/>
  <c r="AE88" i="19"/>
  <c r="AF88" i="19"/>
  <c r="AH88" i="19"/>
  <c r="AI88" i="19"/>
  <c r="AJ88" i="19"/>
  <c r="AK88" i="19"/>
  <c r="AL88" i="19"/>
  <c r="AM88" i="19"/>
  <c r="AN88" i="19"/>
  <c r="AO88" i="19"/>
  <c r="AP88" i="19"/>
  <c r="AQ88" i="19"/>
  <c r="AB89" i="19"/>
  <c r="AC89" i="19"/>
  <c r="AD89" i="19"/>
  <c r="AE89" i="19"/>
  <c r="AF89" i="19"/>
  <c r="AH89" i="19"/>
  <c r="AI89" i="19"/>
  <c r="AJ89" i="19"/>
  <c r="AK89" i="19"/>
  <c r="AL89" i="19"/>
  <c r="AM89" i="19"/>
  <c r="AN89" i="19"/>
  <c r="AO89" i="19"/>
  <c r="AP89" i="19"/>
  <c r="AQ89" i="19"/>
  <c r="AB90" i="19"/>
  <c r="AC90" i="19"/>
  <c r="AD90" i="19"/>
  <c r="AE90" i="19"/>
  <c r="AF90" i="19"/>
  <c r="AH90" i="19"/>
  <c r="AI90" i="19"/>
  <c r="AJ90" i="19"/>
  <c r="AK90" i="19"/>
  <c r="AL90" i="19"/>
  <c r="AM90" i="19"/>
  <c r="AN90" i="19"/>
  <c r="AO90" i="19"/>
  <c r="AP90" i="19"/>
  <c r="AQ90" i="19"/>
  <c r="AB91" i="19"/>
  <c r="AC91" i="19"/>
  <c r="AD91" i="19"/>
  <c r="AE91" i="19"/>
  <c r="AF91" i="19"/>
  <c r="AH91" i="19"/>
  <c r="AI91" i="19"/>
  <c r="AJ91" i="19"/>
  <c r="AK91" i="19"/>
  <c r="AL91" i="19"/>
  <c r="AM91" i="19"/>
  <c r="AN91" i="19"/>
  <c r="AO91" i="19"/>
  <c r="AP91" i="19"/>
  <c r="AQ91" i="19"/>
  <c r="AB92" i="19"/>
  <c r="AC92" i="19"/>
  <c r="AD92" i="19"/>
  <c r="AE92" i="19"/>
  <c r="AF92" i="19"/>
  <c r="AH92" i="19"/>
  <c r="AI92" i="19"/>
  <c r="AJ92" i="19"/>
  <c r="AK92" i="19"/>
  <c r="AL92" i="19"/>
  <c r="AM92" i="19"/>
  <c r="AN92" i="19"/>
  <c r="AO92" i="19"/>
  <c r="AP92" i="19"/>
  <c r="AQ92" i="19"/>
  <c r="AB93" i="19"/>
  <c r="AC93" i="19"/>
  <c r="AD93" i="19"/>
  <c r="AE93" i="19"/>
  <c r="AF93" i="19"/>
  <c r="AH93" i="19"/>
  <c r="AI93" i="19"/>
  <c r="AJ93" i="19"/>
  <c r="AK93" i="19"/>
  <c r="AL93" i="19"/>
  <c r="AM93" i="19"/>
  <c r="AN93" i="19"/>
  <c r="AO93" i="19"/>
  <c r="AP93" i="19"/>
  <c r="AQ93" i="19"/>
  <c r="AB94" i="19"/>
  <c r="AC94" i="19"/>
  <c r="AD94" i="19"/>
  <c r="AE94" i="19"/>
  <c r="AF94" i="19"/>
  <c r="AH94" i="19"/>
  <c r="AI94" i="19"/>
  <c r="AJ94" i="19"/>
  <c r="AK94" i="19"/>
  <c r="AL94" i="19"/>
  <c r="AM94" i="19"/>
  <c r="AN94" i="19"/>
  <c r="AO94" i="19"/>
  <c r="AP94" i="19"/>
  <c r="AQ94" i="19"/>
  <c r="AB95" i="19"/>
  <c r="AC95" i="19"/>
  <c r="AD95" i="19"/>
  <c r="AE95" i="19"/>
  <c r="AF95" i="19"/>
  <c r="AH95" i="19"/>
  <c r="AI95" i="19"/>
  <c r="AJ95" i="19"/>
  <c r="AK95" i="19"/>
  <c r="AL95" i="19"/>
  <c r="AM95" i="19"/>
  <c r="AN95" i="19"/>
  <c r="AO95" i="19"/>
  <c r="AP95" i="19"/>
  <c r="AQ95" i="19"/>
  <c r="AB96" i="19"/>
  <c r="AC96" i="19"/>
  <c r="AD96" i="19"/>
  <c r="AE96" i="19"/>
  <c r="AF96" i="19"/>
  <c r="AH96" i="19"/>
  <c r="AI96" i="19"/>
  <c r="AJ96" i="19"/>
  <c r="AK96" i="19"/>
  <c r="AL96" i="19"/>
  <c r="AM96" i="19"/>
  <c r="AN96" i="19"/>
  <c r="AO96" i="19"/>
  <c r="AP96" i="19"/>
  <c r="AQ96" i="19"/>
  <c r="AB97" i="19"/>
  <c r="AC97" i="19"/>
  <c r="AD97" i="19"/>
  <c r="AE97" i="19"/>
  <c r="AF97" i="19"/>
  <c r="AH97" i="19"/>
  <c r="AI97" i="19"/>
  <c r="AJ97" i="19"/>
  <c r="AK97" i="19"/>
  <c r="AL97" i="19"/>
  <c r="AM97" i="19"/>
  <c r="AN97" i="19"/>
  <c r="AO97" i="19"/>
  <c r="AP97" i="19"/>
  <c r="AQ97" i="19"/>
  <c r="AB98" i="19"/>
  <c r="AC98" i="19"/>
  <c r="AD98" i="19"/>
  <c r="AE98" i="19"/>
  <c r="AF98" i="19"/>
  <c r="AH98" i="19"/>
  <c r="AI98" i="19"/>
  <c r="AJ98" i="19"/>
  <c r="AK98" i="19"/>
  <c r="AL98" i="19"/>
  <c r="AM98" i="19"/>
  <c r="AN98" i="19"/>
  <c r="AO98" i="19"/>
  <c r="AP98" i="19"/>
  <c r="AQ98" i="19"/>
  <c r="AB99" i="19"/>
  <c r="AC99" i="19"/>
  <c r="AD99" i="19"/>
  <c r="AE99" i="19"/>
  <c r="AF99" i="19"/>
  <c r="AH99" i="19"/>
  <c r="AI99" i="19"/>
  <c r="AJ99" i="19"/>
  <c r="AK99" i="19"/>
  <c r="AL99" i="19"/>
  <c r="AM99" i="19"/>
  <c r="AN99" i="19"/>
  <c r="AO99" i="19"/>
  <c r="AP99" i="19"/>
  <c r="AQ99" i="19"/>
  <c r="AB100" i="19"/>
  <c r="AC100" i="19"/>
  <c r="AD100" i="19"/>
  <c r="AE100" i="19"/>
  <c r="AF100" i="19"/>
  <c r="AH100" i="19"/>
  <c r="AI100" i="19"/>
  <c r="AJ100" i="19"/>
  <c r="AK100" i="19"/>
  <c r="AL100" i="19"/>
  <c r="AM100" i="19"/>
  <c r="AN100" i="19"/>
  <c r="AO100" i="19"/>
  <c r="AP100" i="19"/>
  <c r="AQ100" i="19"/>
  <c r="AB101" i="19"/>
  <c r="AC101" i="19"/>
  <c r="AD101" i="19"/>
  <c r="AE101" i="19"/>
  <c r="AF101" i="19"/>
  <c r="AH101" i="19"/>
  <c r="AI101" i="19"/>
  <c r="AJ101" i="19"/>
  <c r="AK101" i="19"/>
  <c r="AL101" i="19"/>
  <c r="AM101" i="19"/>
  <c r="AN101" i="19"/>
  <c r="AO101" i="19"/>
  <c r="AP101" i="19"/>
  <c r="AQ101" i="19"/>
  <c r="AB102" i="19"/>
  <c r="AC102" i="19"/>
  <c r="AD102" i="19"/>
  <c r="AE102" i="19"/>
  <c r="AF102" i="19"/>
  <c r="AH102" i="19"/>
  <c r="AI102" i="19"/>
  <c r="AJ102" i="19"/>
  <c r="AK102" i="19"/>
  <c r="AL102" i="19"/>
  <c r="AM102" i="19"/>
  <c r="AN102" i="19"/>
  <c r="AO102" i="19"/>
  <c r="AP102" i="19"/>
  <c r="AQ102" i="19"/>
  <c r="AB103" i="19"/>
  <c r="AC103" i="19"/>
  <c r="AD103" i="19"/>
  <c r="AE103" i="19"/>
  <c r="AF103" i="19"/>
  <c r="AH103" i="19"/>
  <c r="AI103" i="19"/>
  <c r="AJ103" i="19"/>
  <c r="AK103" i="19"/>
  <c r="AL103" i="19"/>
  <c r="AM103" i="19"/>
  <c r="AN103" i="19"/>
  <c r="AO103" i="19"/>
  <c r="AP103" i="19"/>
  <c r="AQ103" i="19"/>
  <c r="AB104" i="19"/>
  <c r="AC104" i="19"/>
  <c r="AD104" i="19"/>
  <c r="AE104" i="19"/>
  <c r="AF104" i="19"/>
  <c r="AH104" i="19"/>
  <c r="AI104" i="19"/>
  <c r="AJ104" i="19"/>
  <c r="AK104" i="19"/>
  <c r="AL104" i="19"/>
  <c r="AM104" i="19"/>
  <c r="AN104" i="19"/>
  <c r="AO104" i="19"/>
  <c r="AP104" i="19"/>
  <c r="AQ104" i="19"/>
  <c r="AB105" i="19"/>
  <c r="AC105" i="19"/>
  <c r="AD105" i="19"/>
  <c r="AE105" i="19"/>
  <c r="AF105" i="19"/>
  <c r="AH105" i="19"/>
  <c r="AI105" i="19"/>
  <c r="AJ105" i="19"/>
  <c r="AK105" i="19"/>
  <c r="AL105" i="19"/>
  <c r="AM105" i="19"/>
  <c r="AN105" i="19"/>
  <c r="AO105" i="19"/>
  <c r="AP105" i="19"/>
  <c r="AQ105" i="19"/>
  <c r="AB106" i="19"/>
  <c r="AC106" i="19"/>
  <c r="AD106" i="19"/>
  <c r="AE106" i="19"/>
  <c r="AF106" i="19"/>
  <c r="AH106" i="19"/>
  <c r="AI106" i="19"/>
  <c r="AJ106" i="19"/>
  <c r="AK106" i="19"/>
  <c r="AL106" i="19"/>
  <c r="AM106" i="19"/>
  <c r="AN106" i="19"/>
  <c r="AO106" i="19"/>
  <c r="AP106" i="19"/>
  <c r="AQ106" i="19"/>
  <c r="AB107" i="19"/>
  <c r="AC107" i="19"/>
  <c r="AD107" i="19"/>
  <c r="AE107" i="19"/>
  <c r="AF107" i="19"/>
  <c r="AH107" i="19"/>
  <c r="AI107" i="19"/>
  <c r="AJ107" i="19"/>
  <c r="AK107" i="19"/>
  <c r="AL107" i="19"/>
  <c r="AM107" i="19"/>
  <c r="AN107" i="19"/>
  <c r="AO107" i="19"/>
  <c r="AP107" i="19"/>
  <c r="AQ107" i="19"/>
  <c r="AB108" i="19"/>
  <c r="AC108" i="19"/>
  <c r="AD108" i="19"/>
  <c r="AE108" i="19"/>
  <c r="AF108" i="19"/>
  <c r="AH108" i="19"/>
  <c r="AI108" i="19"/>
  <c r="AJ108" i="19"/>
  <c r="AK108" i="19"/>
  <c r="AL108" i="19"/>
  <c r="AM108" i="19"/>
  <c r="AN108" i="19"/>
  <c r="AO108" i="19"/>
  <c r="AP108" i="19"/>
  <c r="AQ108" i="19"/>
  <c r="AB109" i="19"/>
  <c r="AC109" i="19"/>
  <c r="AD109" i="19"/>
  <c r="AE109" i="19"/>
  <c r="AF109" i="19"/>
  <c r="AH109" i="19"/>
  <c r="AI109" i="19"/>
  <c r="AJ109" i="19"/>
  <c r="AK109" i="19"/>
  <c r="AL109" i="19"/>
  <c r="AM109" i="19"/>
  <c r="AN109" i="19"/>
  <c r="AO109" i="19"/>
  <c r="AP109" i="19"/>
  <c r="AQ109" i="19"/>
  <c r="AB110" i="19"/>
  <c r="AC110" i="19"/>
  <c r="AD110" i="19"/>
  <c r="AE110" i="19"/>
  <c r="AF110" i="19"/>
  <c r="AH110" i="19"/>
  <c r="AI110" i="19"/>
  <c r="AJ110" i="19"/>
  <c r="AK110" i="19"/>
  <c r="AL110" i="19"/>
  <c r="AM110" i="19"/>
  <c r="AN110" i="19"/>
  <c r="AO110" i="19"/>
  <c r="AP110" i="19"/>
  <c r="AQ110" i="19"/>
  <c r="AB111" i="19"/>
  <c r="AC111" i="19"/>
  <c r="AD111" i="19"/>
  <c r="AE111" i="19"/>
  <c r="AF111" i="19"/>
  <c r="AH111" i="19"/>
  <c r="AI111" i="19"/>
  <c r="AJ111" i="19"/>
  <c r="AK111" i="19"/>
  <c r="AL111" i="19"/>
  <c r="AM111" i="19"/>
  <c r="AN111" i="19"/>
  <c r="AO111" i="19"/>
  <c r="AP111" i="19"/>
  <c r="AQ111" i="19"/>
  <c r="AB112" i="19"/>
  <c r="AC112" i="19"/>
  <c r="AD112" i="19"/>
  <c r="AE112" i="19"/>
  <c r="AF112" i="19"/>
  <c r="AH112" i="19"/>
  <c r="AI112" i="19"/>
  <c r="AJ112" i="19"/>
  <c r="AK112" i="19"/>
  <c r="AL112" i="19"/>
  <c r="AM112" i="19"/>
  <c r="AN112" i="19"/>
  <c r="AO112" i="19"/>
  <c r="AP112" i="19"/>
  <c r="AQ112" i="19"/>
  <c r="AB113" i="19"/>
  <c r="AC113" i="19"/>
  <c r="AD113" i="19"/>
  <c r="AE113" i="19"/>
  <c r="AF113" i="19"/>
  <c r="AH113" i="19"/>
  <c r="AI113" i="19"/>
  <c r="AJ113" i="19"/>
  <c r="AK113" i="19"/>
  <c r="AL113" i="19"/>
  <c r="AM113" i="19"/>
  <c r="AN113" i="19"/>
  <c r="AO113" i="19"/>
  <c r="AP113" i="19"/>
  <c r="AQ113" i="19"/>
  <c r="AB114" i="19"/>
  <c r="AC114" i="19"/>
  <c r="AD114" i="19"/>
  <c r="AE114" i="19"/>
  <c r="AF114" i="19"/>
  <c r="AH114" i="19"/>
  <c r="AI114" i="19"/>
  <c r="AJ114" i="19"/>
  <c r="AK114" i="19"/>
  <c r="AL114" i="19"/>
  <c r="AM114" i="19"/>
  <c r="AN114" i="19"/>
  <c r="AO114" i="19"/>
  <c r="AP114" i="19"/>
  <c r="AQ114" i="19"/>
  <c r="AB115" i="19"/>
  <c r="AC115" i="19"/>
  <c r="AD115" i="19"/>
  <c r="AE115" i="19"/>
  <c r="AF115" i="19"/>
  <c r="AH115" i="19"/>
  <c r="AI115" i="19"/>
  <c r="AJ115" i="19"/>
  <c r="AK115" i="19"/>
  <c r="AL115" i="19"/>
  <c r="AM115" i="19"/>
  <c r="AN115" i="19"/>
  <c r="AO115" i="19"/>
  <c r="AP115" i="19"/>
  <c r="AQ115" i="19"/>
  <c r="AB116" i="19"/>
  <c r="AC116" i="19"/>
  <c r="AD116" i="19"/>
  <c r="AE116" i="19"/>
  <c r="AF116" i="19"/>
  <c r="AH116" i="19"/>
  <c r="AI116" i="19"/>
  <c r="AJ116" i="19"/>
  <c r="AK116" i="19"/>
  <c r="AL116" i="19"/>
  <c r="AM116" i="19"/>
  <c r="AN116" i="19"/>
  <c r="AO116" i="19"/>
  <c r="AP116" i="19"/>
  <c r="AQ116" i="19"/>
  <c r="AB117" i="19"/>
  <c r="AC117" i="19"/>
  <c r="AD117" i="19"/>
  <c r="AE117" i="19"/>
  <c r="AF117" i="19"/>
  <c r="AH117" i="19"/>
  <c r="AI117" i="19"/>
  <c r="AJ117" i="19"/>
  <c r="AK117" i="19"/>
  <c r="AL117" i="19"/>
  <c r="AM117" i="19"/>
  <c r="AN117" i="19"/>
  <c r="AO117" i="19"/>
  <c r="AP117" i="19"/>
  <c r="AQ117" i="19"/>
  <c r="AB118" i="19"/>
  <c r="AC118" i="19"/>
  <c r="AD118" i="19"/>
  <c r="AE118" i="19"/>
  <c r="AF118" i="19"/>
  <c r="AH118" i="19"/>
  <c r="AI118" i="19"/>
  <c r="AJ118" i="19"/>
  <c r="AK118" i="19"/>
  <c r="AL118" i="19"/>
  <c r="AM118" i="19"/>
  <c r="AN118" i="19"/>
  <c r="AO118" i="19"/>
  <c r="AP118" i="19"/>
  <c r="AQ118" i="19"/>
  <c r="AB119" i="19"/>
  <c r="AC119" i="19"/>
  <c r="AD119" i="19"/>
  <c r="AE119" i="19"/>
  <c r="AF119" i="19"/>
  <c r="AH119" i="19"/>
  <c r="AI119" i="19"/>
  <c r="AJ119" i="19"/>
  <c r="AK119" i="19"/>
  <c r="AL119" i="19"/>
  <c r="AM119" i="19"/>
  <c r="AN119" i="19"/>
  <c r="AO119" i="19"/>
  <c r="AP119" i="19"/>
  <c r="AQ119" i="19"/>
  <c r="AB120" i="19"/>
  <c r="AC120" i="19"/>
  <c r="AD120" i="19"/>
  <c r="AE120" i="19"/>
  <c r="AF120" i="19"/>
  <c r="AH120" i="19"/>
  <c r="AI120" i="19"/>
  <c r="AJ120" i="19"/>
  <c r="AK120" i="19"/>
  <c r="AL120" i="19"/>
  <c r="AM120" i="19"/>
  <c r="AN120" i="19"/>
  <c r="AO120" i="19"/>
  <c r="AP120" i="19"/>
  <c r="AQ120" i="19"/>
  <c r="AB121" i="19"/>
  <c r="AC121" i="19"/>
  <c r="AD121" i="19"/>
  <c r="AE121" i="19"/>
  <c r="AF121" i="19"/>
  <c r="AH121" i="19"/>
  <c r="AI121" i="19"/>
  <c r="AJ121" i="19"/>
  <c r="AK121" i="19"/>
  <c r="AL121" i="19"/>
  <c r="AM121" i="19"/>
  <c r="AN121" i="19"/>
  <c r="AO121" i="19"/>
  <c r="AP121" i="19"/>
  <c r="AQ121" i="19"/>
  <c r="AB122" i="19"/>
  <c r="AC122" i="19"/>
  <c r="AD122" i="19"/>
  <c r="AE122" i="19"/>
  <c r="AF122" i="19"/>
  <c r="AH122" i="19"/>
  <c r="AI122" i="19"/>
  <c r="AJ122" i="19"/>
  <c r="AK122" i="19"/>
  <c r="AL122" i="19"/>
  <c r="AM122" i="19"/>
  <c r="AN122" i="19"/>
  <c r="AO122" i="19"/>
  <c r="AP122" i="19"/>
  <c r="AQ122" i="19"/>
  <c r="AB123" i="19"/>
  <c r="AC123" i="19"/>
  <c r="AD123" i="19"/>
  <c r="AE123" i="19"/>
  <c r="AF123" i="19"/>
  <c r="AH123" i="19"/>
  <c r="AI123" i="19"/>
  <c r="AJ123" i="19"/>
  <c r="AK123" i="19"/>
  <c r="AL123" i="19"/>
  <c r="AM123" i="19"/>
  <c r="AN123" i="19"/>
  <c r="AO123" i="19"/>
  <c r="AP123" i="19"/>
  <c r="AQ123" i="19"/>
  <c r="AB124" i="19"/>
  <c r="AC124" i="19"/>
  <c r="AD124" i="19"/>
  <c r="AE124" i="19"/>
  <c r="AF124" i="19"/>
  <c r="AH124" i="19"/>
  <c r="AI124" i="19"/>
  <c r="AJ124" i="19"/>
  <c r="AK124" i="19"/>
  <c r="AL124" i="19"/>
  <c r="AM124" i="19"/>
  <c r="AN124" i="19"/>
  <c r="AO124" i="19"/>
  <c r="AP124" i="19"/>
  <c r="AQ124" i="19"/>
  <c r="AB125" i="19"/>
  <c r="AC125" i="19"/>
  <c r="AD125" i="19"/>
  <c r="AE125" i="19"/>
  <c r="AF125" i="19"/>
  <c r="AH125" i="19"/>
  <c r="AI125" i="19"/>
  <c r="AJ125" i="19"/>
  <c r="AK125" i="19"/>
  <c r="AL125" i="19"/>
  <c r="AM125" i="19"/>
  <c r="AN125" i="19"/>
  <c r="AO125" i="19"/>
  <c r="AP125" i="19"/>
  <c r="AQ125" i="19"/>
  <c r="AB126" i="19"/>
  <c r="AC126" i="19"/>
  <c r="AD126" i="19"/>
  <c r="AE126" i="19"/>
  <c r="AF126" i="19"/>
  <c r="AH126" i="19"/>
  <c r="AI126" i="19"/>
  <c r="AJ126" i="19"/>
  <c r="AK126" i="19"/>
  <c r="AL126" i="19"/>
  <c r="AM126" i="19"/>
  <c r="AN126" i="19"/>
  <c r="AO126" i="19"/>
  <c r="AP126" i="19"/>
  <c r="AQ126" i="19"/>
  <c r="AB127" i="19"/>
  <c r="AC127" i="19"/>
  <c r="AD127" i="19"/>
  <c r="AE127" i="19"/>
  <c r="AF127" i="19"/>
  <c r="AH127" i="19"/>
  <c r="AI127" i="19"/>
  <c r="AJ127" i="19"/>
  <c r="AK127" i="19"/>
  <c r="AL127" i="19"/>
  <c r="AM127" i="19"/>
  <c r="AN127" i="19"/>
  <c r="AO127" i="19"/>
  <c r="AP127" i="19"/>
  <c r="AQ127" i="19"/>
  <c r="AB128" i="19"/>
  <c r="AC128" i="19"/>
  <c r="AD128" i="19"/>
  <c r="AE128" i="19"/>
  <c r="AF128" i="19"/>
  <c r="AH128" i="19"/>
  <c r="AI128" i="19"/>
  <c r="AJ128" i="19"/>
  <c r="AK128" i="19"/>
  <c r="AL128" i="19"/>
  <c r="AM128" i="19"/>
  <c r="AN128" i="19"/>
  <c r="AO128" i="19"/>
  <c r="AP128" i="19"/>
  <c r="AQ128" i="19"/>
  <c r="AB129" i="19"/>
  <c r="AC129" i="19"/>
  <c r="AD129" i="19"/>
  <c r="AE129" i="19"/>
  <c r="AF129" i="19"/>
  <c r="AH129" i="19"/>
  <c r="AI129" i="19"/>
  <c r="AJ129" i="19"/>
  <c r="AK129" i="19"/>
  <c r="AL129" i="19"/>
  <c r="AM129" i="19"/>
  <c r="AN129" i="19"/>
  <c r="AO129" i="19"/>
  <c r="AP129" i="19"/>
  <c r="AQ129" i="19"/>
  <c r="AB130" i="19"/>
  <c r="AC130" i="19"/>
  <c r="AD130" i="19"/>
  <c r="AE130" i="19"/>
  <c r="AF130" i="19"/>
  <c r="AH130" i="19"/>
  <c r="AI130" i="19"/>
  <c r="AJ130" i="19"/>
  <c r="AK130" i="19"/>
  <c r="AL130" i="19"/>
  <c r="AM130" i="19"/>
  <c r="AN130" i="19"/>
  <c r="AO130" i="19"/>
  <c r="AP130" i="19"/>
  <c r="AQ130" i="19"/>
  <c r="AB131" i="19"/>
  <c r="AC131" i="19"/>
  <c r="AD131" i="19"/>
  <c r="AE131" i="19"/>
  <c r="AF131" i="19"/>
  <c r="AH131" i="19"/>
  <c r="AI131" i="19"/>
  <c r="AJ131" i="19"/>
  <c r="AK131" i="19"/>
  <c r="AL131" i="19"/>
  <c r="AM131" i="19"/>
  <c r="AN131" i="19"/>
  <c r="AO131" i="19"/>
  <c r="AP131" i="19"/>
  <c r="AQ131" i="19"/>
  <c r="AB132" i="19"/>
  <c r="AC132" i="19"/>
  <c r="AD132" i="19"/>
  <c r="AE132" i="19"/>
  <c r="AF132" i="19"/>
  <c r="AH132" i="19"/>
  <c r="AI132" i="19"/>
  <c r="AJ132" i="19"/>
  <c r="AK132" i="19"/>
  <c r="AL132" i="19"/>
  <c r="AM132" i="19"/>
  <c r="AN132" i="19"/>
  <c r="AO132" i="19"/>
  <c r="AP132" i="19"/>
  <c r="AQ132" i="19"/>
  <c r="AB133" i="19"/>
  <c r="AC133" i="19"/>
  <c r="AD133" i="19"/>
  <c r="AE133" i="19"/>
  <c r="AF133" i="19"/>
  <c r="AH133" i="19"/>
  <c r="AI133" i="19"/>
  <c r="AJ133" i="19"/>
  <c r="AK133" i="19"/>
  <c r="AL133" i="19"/>
  <c r="AM133" i="19"/>
  <c r="AN133" i="19"/>
  <c r="AO133" i="19"/>
  <c r="AP133" i="19"/>
  <c r="AQ133" i="19"/>
  <c r="AB134" i="19"/>
  <c r="AC134" i="19"/>
  <c r="AD134" i="19"/>
  <c r="AE134" i="19"/>
  <c r="AF134" i="19"/>
  <c r="AH134" i="19"/>
  <c r="AI134" i="19"/>
  <c r="AJ134" i="19"/>
  <c r="AK134" i="19"/>
  <c r="AL134" i="19"/>
  <c r="AM134" i="19"/>
  <c r="AN134" i="19"/>
  <c r="AO134" i="19"/>
  <c r="AP134" i="19"/>
  <c r="AQ134" i="19"/>
  <c r="AB135" i="19"/>
  <c r="AC135" i="19"/>
  <c r="AD135" i="19"/>
  <c r="AE135" i="19"/>
  <c r="AF135" i="19"/>
  <c r="AH135" i="19"/>
  <c r="AI135" i="19"/>
  <c r="AJ135" i="19"/>
  <c r="AK135" i="19"/>
  <c r="AL135" i="19"/>
  <c r="AM135" i="19"/>
  <c r="AN135" i="19"/>
  <c r="AO135" i="19"/>
  <c r="AP135" i="19"/>
  <c r="AQ135" i="19"/>
  <c r="AB136" i="19"/>
  <c r="AC136" i="19"/>
  <c r="AD136" i="19"/>
  <c r="AE136" i="19"/>
  <c r="AF136" i="19"/>
  <c r="AH136" i="19"/>
  <c r="AI136" i="19"/>
  <c r="AJ136" i="19"/>
  <c r="AK136" i="19"/>
  <c r="AL136" i="19"/>
  <c r="AM136" i="19"/>
  <c r="AN136" i="19"/>
  <c r="AO136" i="19"/>
  <c r="AP136" i="19"/>
  <c r="AQ136" i="19"/>
  <c r="AB137" i="19"/>
  <c r="AC137" i="19"/>
  <c r="AD137" i="19"/>
  <c r="AE137" i="19"/>
  <c r="AF137" i="19"/>
  <c r="AH137" i="19"/>
  <c r="AI137" i="19"/>
  <c r="AJ137" i="19"/>
  <c r="AK137" i="19"/>
  <c r="AL137" i="19"/>
  <c r="AM137" i="19"/>
  <c r="AN137" i="19"/>
  <c r="AO137" i="19"/>
  <c r="AP137" i="19"/>
  <c r="AQ137" i="19"/>
  <c r="AB138" i="19"/>
  <c r="AC138" i="19"/>
  <c r="AD138" i="19"/>
  <c r="AE138" i="19"/>
  <c r="AF138" i="19"/>
  <c r="AH138" i="19"/>
  <c r="AI138" i="19"/>
  <c r="AJ138" i="19"/>
  <c r="AK138" i="19"/>
  <c r="AL138" i="19"/>
  <c r="AM138" i="19"/>
  <c r="AN138" i="19"/>
  <c r="AO138" i="19"/>
  <c r="AP138" i="19"/>
  <c r="AQ138" i="19"/>
  <c r="AB139" i="19"/>
  <c r="AC139" i="19"/>
  <c r="AD139" i="19"/>
  <c r="AE139" i="19"/>
  <c r="AF139" i="19"/>
  <c r="AH139" i="19"/>
  <c r="AI139" i="19"/>
  <c r="AJ139" i="19"/>
  <c r="AK139" i="19"/>
  <c r="AL139" i="19"/>
  <c r="AM139" i="19"/>
  <c r="AN139" i="19"/>
  <c r="AO139" i="19"/>
  <c r="AP139" i="19"/>
  <c r="AQ139" i="19"/>
  <c r="AB140" i="19"/>
  <c r="AC140" i="19"/>
  <c r="AD140" i="19"/>
  <c r="AE140" i="19"/>
  <c r="AF140" i="19"/>
  <c r="AH140" i="19"/>
  <c r="AI140" i="19"/>
  <c r="AJ140" i="19"/>
  <c r="AK140" i="19"/>
  <c r="AL140" i="19"/>
  <c r="AM140" i="19"/>
  <c r="AN140" i="19"/>
  <c r="AO140" i="19"/>
  <c r="AP140" i="19"/>
  <c r="AQ140" i="19"/>
  <c r="AB141" i="19"/>
  <c r="AC141" i="19"/>
  <c r="AD141" i="19"/>
  <c r="AE141" i="19"/>
  <c r="AF141" i="19"/>
  <c r="AH141" i="19"/>
  <c r="AI141" i="19"/>
  <c r="AJ141" i="19"/>
  <c r="AK141" i="19"/>
  <c r="AL141" i="19"/>
  <c r="AM141" i="19"/>
  <c r="AN141" i="19"/>
  <c r="AO141" i="19"/>
  <c r="AP141" i="19"/>
  <c r="AQ141" i="19"/>
  <c r="AB142" i="19"/>
  <c r="AC142" i="19"/>
  <c r="AD142" i="19"/>
  <c r="AE142" i="19"/>
  <c r="AF142" i="19"/>
  <c r="AH142" i="19"/>
  <c r="AI142" i="19"/>
  <c r="AJ142" i="19"/>
  <c r="AK142" i="19"/>
  <c r="AL142" i="19"/>
  <c r="AM142" i="19"/>
  <c r="AN142" i="19"/>
  <c r="AO142" i="19"/>
  <c r="AP142" i="19"/>
  <c r="AQ142" i="19"/>
  <c r="AB143" i="19"/>
  <c r="AC143" i="19"/>
  <c r="AD143" i="19"/>
  <c r="AE143" i="19"/>
  <c r="AF143" i="19"/>
  <c r="AH143" i="19"/>
  <c r="AI143" i="19"/>
  <c r="AJ143" i="19"/>
  <c r="AK143" i="19"/>
  <c r="AL143" i="19"/>
  <c r="AM143" i="19"/>
  <c r="AN143" i="19"/>
  <c r="AO143" i="19"/>
  <c r="AP143" i="19"/>
  <c r="AQ143" i="19"/>
  <c r="AB144" i="19"/>
  <c r="AC144" i="19"/>
  <c r="AD144" i="19"/>
  <c r="AE144" i="19"/>
  <c r="AF144" i="19"/>
  <c r="AH144" i="19"/>
  <c r="AI144" i="19"/>
  <c r="AJ144" i="19"/>
  <c r="AK144" i="19"/>
  <c r="AL144" i="19"/>
  <c r="AM144" i="19"/>
  <c r="AN144" i="19"/>
  <c r="AO144" i="19"/>
  <c r="AP144" i="19"/>
  <c r="AQ144" i="19"/>
  <c r="AB145" i="19"/>
  <c r="AC145" i="19"/>
  <c r="AD145" i="19"/>
  <c r="AE145" i="19"/>
  <c r="AF145" i="19"/>
  <c r="AH145" i="19"/>
  <c r="AI145" i="19"/>
  <c r="AJ145" i="19"/>
  <c r="AK145" i="19"/>
  <c r="AL145" i="19"/>
  <c r="AM145" i="19"/>
  <c r="AN145" i="19"/>
  <c r="AO145" i="19"/>
  <c r="AP145" i="19"/>
  <c r="AQ145" i="19"/>
  <c r="AB146" i="19"/>
  <c r="AC146" i="19"/>
  <c r="AD146" i="19"/>
  <c r="AE146" i="19"/>
  <c r="AF146" i="19"/>
  <c r="AH146" i="19"/>
  <c r="AI146" i="19"/>
  <c r="AJ146" i="19"/>
  <c r="AK146" i="19"/>
  <c r="AL146" i="19"/>
  <c r="AM146" i="19"/>
  <c r="AN146" i="19"/>
  <c r="AO146" i="19"/>
  <c r="AP146" i="19"/>
  <c r="AQ146" i="19"/>
  <c r="AB147" i="19"/>
  <c r="AC147" i="19"/>
  <c r="AD147" i="19"/>
  <c r="AE147" i="19"/>
  <c r="AF147" i="19"/>
  <c r="AH147" i="19"/>
  <c r="AI147" i="19"/>
  <c r="AJ147" i="19"/>
  <c r="AK147" i="19"/>
  <c r="AL147" i="19"/>
  <c r="AM147" i="19"/>
  <c r="AN147" i="19"/>
  <c r="AO147" i="19"/>
  <c r="AP147" i="19"/>
  <c r="AQ147" i="19"/>
  <c r="AB148" i="19"/>
  <c r="AC148" i="19"/>
  <c r="AD148" i="19"/>
  <c r="AE148" i="19"/>
  <c r="AF148" i="19"/>
  <c r="AH148" i="19"/>
  <c r="AI148" i="19"/>
  <c r="AJ148" i="19"/>
  <c r="AK148" i="19"/>
  <c r="AL148" i="19"/>
  <c r="AM148" i="19"/>
  <c r="AN148" i="19"/>
  <c r="AO148" i="19"/>
  <c r="AP148" i="19"/>
  <c r="AQ148" i="19"/>
  <c r="AB149" i="19"/>
  <c r="AC149" i="19"/>
  <c r="AD149" i="19"/>
  <c r="AE149" i="19"/>
  <c r="AF149" i="19"/>
  <c r="AH149" i="19"/>
  <c r="AI149" i="19"/>
  <c r="AJ149" i="19"/>
  <c r="AK149" i="19"/>
  <c r="AL149" i="19"/>
  <c r="AM149" i="19"/>
  <c r="AN149" i="19"/>
  <c r="AO149" i="19"/>
  <c r="AP149" i="19"/>
  <c r="AQ149" i="19"/>
  <c r="AB150" i="19"/>
  <c r="AC150" i="19"/>
  <c r="AD150" i="19"/>
  <c r="AE150" i="19"/>
  <c r="AF150" i="19"/>
  <c r="AH150" i="19"/>
  <c r="AI150" i="19"/>
  <c r="AJ150" i="19"/>
  <c r="AK150" i="19"/>
  <c r="AL150" i="19"/>
  <c r="AM150" i="19"/>
  <c r="AN150" i="19"/>
  <c r="AO150" i="19"/>
  <c r="AP150" i="19"/>
  <c r="AQ150" i="19"/>
  <c r="AB151" i="19"/>
  <c r="AC151" i="19"/>
  <c r="AD151" i="19"/>
  <c r="AE151" i="19"/>
  <c r="AF151" i="19"/>
  <c r="AH151" i="19"/>
  <c r="AI151" i="19"/>
  <c r="AJ151" i="19"/>
  <c r="AK151" i="19"/>
  <c r="AL151" i="19"/>
  <c r="AM151" i="19"/>
  <c r="AN151" i="19"/>
  <c r="AO151" i="19"/>
  <c r="AP151" i="19"/>
  <c r="AQ151" i="19"/>
  <c r="AB152" i="19"/>
  <c r="AC152" i="19"/>
  <c r="AD152" i="19"/>
  <c r="AE152" i="19"/>
  <c r="AF152" i="19"/>
  <c r="AH152" i="19"/>
  <c r="AI152" i="19"/>
  <c r="AJ152" i="19"/>
  <c r="AK152" i="19"/>
  <c r="AL152" i="19"/>
  <c r="AM152" i="19"/>
  <c r="AN152" i="19"/>
  <c r="AO152" i="19"/>
  <c r="AP152" i="19"/>
  <c r="AQ152" i="19"/>
  <c r="AB153" i="19"/>
  <c r="AC153" i="19"/>
  <c r="AD153" i="19"/>
  <c r="AE153" i="19"/>
  <c r="AF153" i="19"/>
  <c r="AH153" i="19"/>
  <c r="AI153" i="19"/>
  <c r="AJ153" i="19"/>
  <c r="AK153" i="19"/>
  <c r="AL153" i="19"/>
  <c r="AM153" i="19"/>
  <c r="AN153" i="19"/>
  <c r="AO153" i="19"/>
  <c r="AP153" i="19"/>
  <c r="AQ153" i="19"/>
  <c r="AB154" i="19"/>
  <c r="AC154" i="19"/>
  <c r="AD154" i="19"/>
  <c r="AE154" i="19"/>
  <c r="AF154" i="19"/>
  <c r="AH154" i="19"/>
  <c r="AI154" i="19"/>
  <c r="AJ154" i="19"/>
  <c r="AK154" i="19"/>
  <c r="AL154" i="19"/>
  <c r="AM154" i="19"/>
  <c r="AN154" i="19"/>
  <c r="AO154" i="19"/>
  <c r="AP154" i="19"/>
  <c r="AQ154" i="19"/>
  <c r="AB155" i="19"/>
  <c r="AC155" i="19"/>
  <c r="AD155" i="19"/>
  <c r="AE155" i="19"/>
  <c r="AF155" i="19"/>
  <c r="AH155" i="19"/>
  <c r="AI155" i="19"/>
  <c r="AJ155" i="19"/>
  <c r="AK155" i="19"/>
  <c r="AL155" i="19"/>
  <c r="AM155" i="19"/>
  <c r="AN155" i="19"/>
  <c r="AO155" i="19"/>
  <c r="AP155" i="19"/>
  <c r="AQ155" i="19"/>
  <c r="AB156" i="19"/>
  <c r="AC156" i="19"/>
  <c r="AD156" i="19"/>
  <c r="AE156" i="19"/>
  <c r="AF156" i="19"/>
  <c r="AH156" i="19"/>
  <c r="AI156" i="19"/>
  <c r="AJ156" i="19"/>
  <c r="AK156" i="19"/>
  <c r="AL156" i="19"/>
  <c r="AM156" i="19"/>
  <c r="AN156" i="19"/>
  <c r="AO156" i="19"/>
  <c r="AP156" i="19"/>
  <c r="AQ156" i="19"/>
  <c r="AB157" i="19"/>
  <c r="AC157" i="19"/>
  <c r="AD157" i="19"/>
  <c r="AE157" i="19"/>
  <c r="AF157" i="19"/>
  <c r="AH157" i="19"/>
  <c r="AI157" i="19"/>
  <c r="AJ157" i="19"/>
  <c r="AK157" i="19"/>
  <c r="AL157" i="19"/>
  <c r="AM157" i="19"/>
  <c r="AN157" i="19"/>
  <c r="AO157" i="19"/>
  <c r="AP157" i="19"/>
  <c r="AQ157" i="19"/>
  <c r="AB158" i="19"/>
  <c r="AC158" i="19"/>
  <c r="AD158" i="19"/>
  <c r="AE158" i="19"/>
  <c r="AF158" i="19"/>
  <c r="AH158" i="19"/>
  <c r="AI158" i="19"/>
  <c r="AJ158" i="19"/>
  <c r="AK158" i="19"/>
  <c r="AL158" i="19"/>
  <c r="AM158" i="19"/>
  <c r="AN158" i="19"/>
  <c r="AO158" i="19"/>
  <c r="AP158" i="19"/>
  <c r="AQ158" i="19"/>
  <c r="AB159" i="19"/>
  <c r="AC159" i="19"/>
  <c r="AD159" i="19"/>
  <c r="AE159" i="19"/>
  <c r="AF159" i="19"/>
  <c r="AH159" i="19"/>
  <c r="AI159" i="19"/>
  <c r="AJ159" i="19"/>
  <c r="AK159" i="19"/>
  <c r="AL159" i="19"/>
  <c r="AM159" i="19"/>
  <c r="AN159" i="19"/>
  <c r="AO159" i="19"/>
  <c r="AP159" i="19"/>
  <c r="AQ159" i="19"/>
  <c r="AB160" i="19"/>
  <c r="AC160" i="19"/>
  <c r="AD160" i="19"/>
  <c r="AE160" i="19"/>
  <c r="AF160" i="19"/>
  <c r="AH160" i="19"/>
  <c r="AI160" i="19"/>
  <c r="AJ160" i="19"/>
  <c r="AK160" i="19"/>
  <c r="AL160" i="19"/>
  <c r="AM160" i="19"/>
  <c r="AN160" i="19"/>
  <c r="AO160" i="19"/>
  <c r="AP160" i="19"/>
  <c r="AQ160" i="19"/>
  <c r="AB161" i="19"/>
  <c r="AC161" i="19"/>
  <c r="AD161" i="19"/>
  <c r="AE161" i="19"/>
  <c r="AF161" i="19"/>
  <c r="AH161" i="19"/>
  <c r="AI161" i="19"/>
  <c r="AJ161" i="19"/>
  <c r="AK161" i="19"/>
  <c r="AL161" i="19"/>
  <c r="AM161" i="19"/>
  <c r="AN161" i="19"/>
  <c r="AO161" i="19"/>
  <c r="AP161" i="19"/>
  <c r="AQ161" i="19"/>
  <c r="AB162" i="19"/>
  <c r="AC162" i="19"/>
  <c r="AD162" i="19"/>
  <c r="AE162" i="19"/>
  <c r="AF162" i="19"/>
  <c r="AH162" i="19"/>
  <c r="AI162" i="19"/>
  <c r="AJ162" i="19"/>
  <c r="AK162" i="19"/>
  <c r="AL162" i="19"/>
  <c r="AM162" i="19"/>
  <c r="AN162" i="19"/>
  <c r="AO162" i="19"/>
  <c r="AP162" i="19"/>
  <c r="AQ162" i="19"/>
  <c r="AB163" i="19"/>
  <c r="AC163" i="19"/>
  <c r="AD163" i="19"/>
  <c r="AE163" i="19"/>
  <c r="AF163" i="19"/>
  <c r="AH163" i="19"/>
  <c r="AI163" i="19"/>
  <c r="AJ163" i="19"/>
  <c r="AK163" i="19"/>
  <c r="AL163" i="19"/>
  <c r="AM163" i="19"/>
  <c r="AN163" i="19"/>
  <c r="AO163" i="19"/>
  <c r="AP163" i="19"/>
  <c r="AQ163" i="19"/>
  <c r="AB164" i="19"/>
  <c r="AC164" i="19"/>
  <c r="AD164" i="19"/>
  <c r="AE164" i="19"/>
  <c r="AF164" i="19"/>
  <c r="AH164" i="19"/>
  <c r="AI164" i="19"/>
  <c r="AJ164" i="19"/>
  <c r="AK164" i="19"/>
  <c r="AL164" i="19"/>
  <c r="AM164" i="19"/>
  <c r="AN164" i="19"/>
  <c r="AO164" i="19"/>
  <c r="AP164" i="19"/>
  <c r="AQ164" i="19"/>
  <c r="AB165" i="19"/>
  <c r="AC165" i="19"/>
  <c r="AD165" i="19"/>
  <c r="AE165" i="19"/>
  <c r="AF165" i="19"/>
  <c r="AH165" i="19"/>
  <c r="AI165" i="19"/>
  <c r="AJ165" i="19"/>
  <c r="AK165" i="19"/>
  <c r="AL165" i="19"/>
  <c r="AM165" i="19"/>
  <c r="AN165" i="19"/>
  <c r="AO165" i="19"/>
  <c r="AP165" i="19"/>
  <c r="AQ165" i="19"/>
  <c r="AB166" i="19"/>
  <c r="AC166" i="19"/>
  <c r="AD166" i="19"/>
  <c r="AE166" i="19"/>
  <c r="AF166" i="19"/>
  <c r="AH166" i="19"/>
  <c r="AI166" i="19"/>
  <c r="AJ166" i="19"/>
  <c r="AK166" i="19"/>
  <c r="AL166" i="19"/>
  <c r="AM166" i="19"/>
  <c r="AN166" i="19"/>
  <c r="AO166" i="19"/>
  <c r="AP166" i="19"/>
  <c r="AQ166" i="19"/>
  <c r="AB167" i="19"/>
  <c r="AC167" i="19"/>
  <c r="AD167" i="19"/>
  <c r="AE167" i="19"/>
  <c r="AF167" i="19"/>
  <c r="AH167" i="19"/>
  <c r="AI167" i="19"/>
  <c r="AJ167" i="19"/>
  <c r="AK167" i="19"/>
  <c r="AL167" i="19"/>
  <c r="AM167" i="19"/>
  <c r="AN167" i="19"/>
  <c r="AO167" i="19"/>
  <c r="AP167" i="19"/>
  <c r="AQ167" i="19"/>
  <c r="AB168" i="19"/>
  <c r="AC168" i="19"/>
  <c r="AD168" i="19"/>
  <c r="AE168" i="19"/>
  <c r="AF168" i="19"/>
  <c r="AH168" i="19"/>
  <c r="AI168" i="19"/>
  <c r="AJ168" i="19"/>
  <c r="AK168" i="19"/>
  <c r="AL168" i="19"/>
  <c r="AM168" i="19"/>
  <c r="AN168" i="19"/>
  <c r="AO168" i="19"/>
  <c r="AP168" i="19"/>
  <c r="AQ168" i="19"/>
  <c r="AB169" i="19"/>
  <c r="AC169" i="19"/>
  <c r="AD169" i="19"/>
  <c r="AE169" i="19"/>
  <c r="AF169" i="19"/>
  <c r="AH169" i="19"/>
  <c r="AI169" i="19"/>
  <c r="AJ169" i="19"/>
  <c r="AK169" i="19"/>
  <c r="AL169" i="19"/>
  <c r="AM169" i="19"/>
  <c r="AN169" i="19"/>
  <c r="AO169" i="19"/>
  <c r="AP169" i="19"/>
  <c r="AQ169" i="19"/>
  <c r="AB170" i="19"/>
  <c r="AC170" i="19"/>
  <c r="AD170" i="19"/>
  <c r="AE170" i="19"/>
  <c r="AF170" i="19"/>
  <c r="AH170" i="19"/>
  <c r="AI170" i="19"/>
  <c r="AJ170" i="19"/>
  <c r="AK170" i="19"/>
  <c r="AL170" i="19"/>
  <c r="AM170" i="19"/>
  <c r="AN170" i="19"/>
  <c r="AO170" i="19"/>
  <c r="AP170" i="19"/>
  <c r="AQ170" i="19"/>
  <c r="AB171" i="19"/>
  <c r="AC171" i="19"/>
  <c r="AD171" i="19"/>
  <c r="AE171" i="19"/>
  <c r="AF171" i="19"/>
  <c r="AH171" i="19"/>
  <c r="AI171" i="19"/>
  <c r="AJ171" i="19"/>
  <c r="AK171" i="19"/>
  <c r="AL171" i="19"/>
  <c r="AM171" i="19"/>
  <c r="AN171" i="19"/>
  <c r="AO171" i="19"/>
  <c r="AP171" i="19"/>
  <c r="AQ171" i="19"/>
  <c r="AB172" i="19"/>
  <c r="AC172" i="19"/>
  <c r="AD172" i="19"/>
  <c r="AE172" i="19"/>
  <c r="AF172" i="19"/>
  <c r="AH172" i="19"/>
  <c r="AI172" i="19"/>
  <c r="AJ172" i="19"/>
  <c r="AK172" i="19"/>
  <c r="AL172" i="19"/>
  <c r="AM172" i="19"/>
  <c r="AN172" i="19"/>
  <c r="AO172" i="19"/>
  <c r="AP172" i="19"/>
  <c r="AQ172" i="19"/>
  <c r="AB173" i="19"/>
  <c r="AC173" i="19"/>
  <c r="AD173" i="19"/>
  <c r="AE173" i="19"/>
  <c r="AF173" i="19"/>
  <c r="AH173" i="19"/>
  <c r="AI173" i="19"/>
  <c r="AJ173" i="19"/>
  <c r="AK173" i="19"/>
  <c r="AL173" i="19"/>
  <c r="AM173" i="19"/>
  <c r="AN173" i="19"/>
  <c r="AO173" i="19"/>
  <c r="AP173" i="19"/>
  <c r="AQ173" i="19"/>
  <c r="AB174" i="19"/>
  <c r="AC174" i="19"/>
  <c r="AD174" i="19"/>
  <c r="AE174" i="19"/>
  <c r="AF174" i="19"/>
  <c r="AH174" i="19"/>
  <c r="AI174" i="19"/>
  <c r="AJ174" i="19"/>
  <c r="AK174" i="19"/>
  <c r="AL174" i="19"/>
  <c r="AM174" i="19"/>
  <c r="AN174" i="19"/>
  <c r="AO174" i="19"/>
  <c r="AP174" i="19"/>
  <c r="AQ174" i="19"/>
  <c r="AB175" i="19"/>
  <c r="AC175" i="19"/>
  <c r="AD175" i="19"/>
  <c r="AE175" i="19"/>
  <c r="AF175" i="19"/>
  <c r="AH175" i="19"/>
  <c r="AI175" i="19"/>
  <c r="AJ175" i="19"/>
  <c r="AK175" i="19"/>
  <c r="AL175" i="19"/>
  <c r="AM175" i="19"/>
  <c r="AN175" i="19"/>
  <c r="AO175" i="19"/>
  <c r="AP175" i="19"/>
  <c r="AQ175" i="19"/>
  <c r="AB176" i="19"/>
  <c r="AC176" i="19"/>
  <c r="AD176" i="19"/>
  <c r="AE176" i="19"/>
  <c r="AF176" i="19"/>
  <c r="AH176" i="19"/>
  <c r="AI176" i="19"/>
  <c r="AJ176" i="19"/>
  <c r="AK176" i="19"/>
  <c r="AL176" i="19"/>
  <c r="AM176" i="19"/>
  <c r="AN176" i="19"/>
  <c r="AO176" i="19"/>
  <c r="AP176" i="19"/>
  <c r="AQ176" i="19"/>
  <c r="AB177" i="19"/>
  <c r="AC177" i="19"/>
  <c r="AD177" i="19"/>
  <c r="AE177" i="19"/>
  <c r="AF177" i="19"/>
  <c r="AH177" i="19"/>
  <c r="AI177" i="19"/>
  <c r="AJ177" i="19"/>
  <c r="AK177" i="19"/>
  <c r="AL177" i="19"/>
  <c r="AM177" i="19"/>
  <c r="AN177" i="19"/>
  <c r="AO177" i="19"/>
  <c r="AP177" i="19"/>
  <c r="AQ177" i="19"/>
  <c r="AB178" i="19"/>
  <c r="AC178" i="19"/>
  <c r="AD178" i="19"/>
  <c r="AE178" i="19"/>
  <c r="AF178" i="19"/>
  <c r="AH178" i="19"/>
  <c r="AI178" i="19"/>
  <c r="AJ178" i="19"/>
  <c r="AK178" i="19"/>
  <c r="AL178" i="19"/>
  <c r="AM178" i="19"/>
  <c r="AN178" i="19"/>
  <c r="AO178" i="19"/>
  <c r="AP178" i="19"/>
  <c r="AQ178" i="19"/>
  <c r="AB179" i="19"/>
  <c r="AC179" i="19"/>
  <c r="AD179" i="19"/>
  <c r="AE179" i="19"/>
  <c r="AF179" i="19"/>
  <c r="AH179" i="19"/>
  <c r="AI179" i="19"/>
  <c r="AJ179" i="19"/>
  <c r="AK179" i="19"/>
  <c r="AL179" i="19"/>
  <c r="AM179" i="19"/>
  <c r="AN179" i="19"/>
  <c r="AO179" i="19"/>
  <c r="AP179" i="19"/>
  <c r="AQ179" i="19"/>
  <c r="AB180" i="19"/>
  <c r="AC180" i="19"/>
  <c r="AD180" i="19"/>
  <c r="AE180" i="19"/>
  <c r="AF180" i="19"/>
  <c r="AH180" i="19"/>
  <c r="AI180" i="19"/>
  <c r="AJ180" i="19"/>
  <c r="AK180" i="19"/>
  <c r="AL180" i="19"/>
  <c r="AM180" i="19"/>
  <c r="AN180" i="19"/>
  <c r="AO180" i="19"/>
  <c r="AP180" i="19"/>
  <c r="AQ180" i="19"/>
  <c r="AB181" i="19"/>
  <c r="AC181" i="19"/>
  <c r="AD181" i="19"/>
  <c r="AE181" i="19"/>
  <c r="AF181" i="19"/>
  <c r="AH181" i="19"/>
  <c r="AI181" i="19"/>
  <c r="AJ181" i="19"/>
  <c r="AK181" i="19"/>
  <c r="AL181" i="19"/>
  <c r="AM181" i="19"/>
  <c r="AN181" i="19"/>
  <c r="AO181" i="19"/>
  <c r="AP181" i="19"/>
  <c r="AQ181" i="19"/>
  <c r="AB182" i="19"/>
  <c r="AC182" i="19"/>
  <c r="AD182" i="19"/>
  <c r="AE182" i="19"/>
  <c r="AF182" i="19"/>
  <c r="AH182" i="19"/>
  <c r="AI182" i="19"/>
  <c r="AJ182" i="19"/>
  <c r="AK182" i="19"/>
  <c r="AL182" i="19"/>
  <c r="AM182" i="19"/>
  <c r="AN182" i="19"/>
  <c r="AO182" i="19"/>
  <c r="AP182" i="19"/>
  <c r="AQ182" i="19"/>
  <c r="AB183" i="19"/>
  <c r="AC183" i="19"/>
  <c r="AD183" i="19"/>
  <c r="AE183" i="19"/>
  <c r="AF183" i="19"/>
  <c r="AH183" i="19"/>
  <c r="AI183" i="19"/>
  <c r="AJ183" i="19"/>
  <c r="AK183" i="19"/>
  <c r="AL183" i="19"/>
  <c r="AM183" i="19"/>
  <c r="AN183" i="19"/>
  <c r="AO183" i="19"/>
  <c r="AP183" i="19"/>
  <c r="AQ183" i="19"/>
  <c r="AB184" i="19"/>
  <c r="AC184" i="19"/>
  <c r="AD184" i="19"/>
  <c r="AE184" i="19"/>
  <c r="AF184" i="19"/>
  <c r="AH184" i="19"/>
  <c r="AI184" i="19"/>
  <c r="AJ184" i="19"/>
  <c r="AK184" i="19"/>
  <c r="AL184" i="19"/>
  <c r="AM184" i="19"/>
  <c r="AN184" i="19"/>
  <c r="AO184" i="19"/>
  <c r="AP184" i="19"/>
  <c r="AQ184" i="19"/>
  <c r="AB185" i="19"/>
  <c r="AC185" i="19"/>
  <c r="AD185" i="19"/>
  <c r="AE185" i="19"/>
  <c r="AF185" i="19"/>
  <c r="AH185" i="19"/>
  <c r="AI185" i="19"/>
  <c r="AJ185" i="19"/>
  <c r="AK185" i="19"/>
  <c r="AL185" i="19"/>
  <c r="AM185" i="19"/>
  <c r="AN185" i="19"/>
  <c r="AO185" i="19"/>
  <c r="AP185" i="19"/>
  <c r="AQ185" i="19"/>
  <c r="AB186" i="19"/>
  <c r="AC186" i="19"/>
  <c r="AD186" i="19"/>
  <c r="AE186" i="19"/>
  <c r="AF186" i="19"/>
  <c r="AH186" i="19"/>
  <c r="AI186" i="19"/>
  <c r="AJ186" i="19"/>
  <c r="AK186" i="19"/>
  <c r="AL186" i="19"/>
  <c r="AM186" i="19"/>
  <c r="AN186" i="19"/>
  <c r="AO186" i="19"/>
  <c r="AP186" i="19"/>
  <c r="AQ186" i="19"/>
  <c r="AB187" i="19"/>
  <c r="AC187" i="19"/>
  <c r="AD187" i="19"/>
  <c r="AE187" i="19"/>
  <c r="AF187" i="19"/>
  <c r="AH187" i="19"/>
  <c r="AI187" i="19"/>
  <c r="AJ187" i="19"/>
  <c r="AK187" i="19"/>
  <c r="AL187" i="19"/>
  <c r="AM187" i="19"/>
  <c r="AN187" i="19"/>
  <c r="AO187" i="19"/>
  <c r="AP187" i="19"/>
  <c r="AQ187" i="19"/>
  <c r="AB188" i="19"/>
  <c r="AC188" i="19"/>
  <c r="AD188" i="19"/>
  <c r="AE188" i="19"/>
  <c r="AF188" i="19"/>
  <c r="AH188" i="19"/>
  <c r="AI188" i="19"/>
  <c r="AJ188" i="19"/>
  <c r="AK188" i="19"/>
  <c r="AL188" i="19"/>
  <c r="AM188" i="19"/>
  <c r="AN188" i="19"/>
  <c r="AO188" i="19"/>
  <c r="AP188" i="19"/>
  <c r="AQ188" i="19"/>
  <c r="AB189" i="19"/>
  <c r="AC189" i="19"/>
  <c r="AD189" i="19"/>
  <c r="AE189" i="19"/>
  <c r="AF189" i="19"/>
  <c r="AH189" i="19"/>
  <c r="AI189" i="19"/>
  <c r="AJ189" i="19"/>
  <c r="AK189" i="19"/>
  <c r="AL189" i="19"/>
  <c r="AM189" i="19"/>
  <c r="AN189" i="19"/>
  <c r="AO189" i="19"/>
  <c r="AP189" i="19"/>
  <c r="AQ189" i="19"/>
  <c r="AB190" i="19"/>
  <c r="AC190" i="19"/>
  <c r="AD190" i="19"/>
  <c r="AE190" i="19"/>
  <c r="AF190" i="19"/>
  <c r="AH190" i="19"/>
  <c r="AI190" i="19"/>
  <c r="AJ190" i="19"/>
  <c r="AK190" i="19"/>
  <c r="AL190" i="19"/>
  <c r="AM190" i="19"/>
  <c r="AN190" i="19"/>
  <c r="AO190" i="19"/>
  <c r="AP190" i="19"/>
  <c r="AQ190" i="19"/>
  <c r="AB191" i="19"/>
  <c r="AC191" i="19"/>
  <c r="AD191" i="19"/>
  <c r="AE191" i="19"/>
  <c r="AF191" i="19"/>
  <c r="AH191" i="19"/>
  <c r="AI191" i="19"/>
  <c r="AJ191" i="19"/>
  <c r="AK191" i="19"/>
  <c r="AL191" i="19"/>
  <c r="AM191" i="19"/>
  <c r="AN191" i="19"/>
  <c r="AO191" i="19"/>
  <c r="AP191" i="19"/>
  <c r="AQ191" i="19"/>
  <c r="AB192" i="19"/>
  <c r="AC192" i="19"/>
  <c r="AD192" i="19"/>
  <c r="AE192" i="19"/>
  <c r="AF192" i="19"/>
  <c r="AH192" i="19"/>
  <c r="AI192" i="19"/>
  <c r="AJ192" i="19"/>
  <c r="AK192" i="19"/>
  <c r="AL192" i="19"/>
  <c r="AM192" i="19"/>
  <c r="AN192" i="19"/>
  <c r="AO192" i="19"/>
  <c r="AP192" i="19"/>
  <c r="AQ192" i="19"/>
  <c r="AB193" i="19"/>
  <c r="AC193" i="19"/>
  <c r="AD193" i="19"/>
  <c r="AE193" i="19"/>
  <c r="AF193" i="19"/>
  <c r="AH193" i="19"/>
  <c r="AI193" i="19"/>
  <c r="AJ193" i="19"/>
  <c r="AK193" i="19"/>
  <c r="AL193" i="19"/>
  <c r="AM193" i="19"/>
  <c r="AN193" i="19"/>
  <c r="AO193" i="19"/>
  <c r="AP193" i="19"/>
  <c r="AQ193" i="19"/>
  <c r="AB194" i="19"/>
  <c r="AC194" i="19"/>
  <c r="AD194" i="19"/>
  <c r="AE194" i="19"/>
  <c r="AF194" i="19"/>
  <c r="AH194" i="19"/>
  <c r="AI194" i="19"/>
  <c r="AJ194" i="19"/>
  <c r="AK194" i="19"/>
  <c r="AL194" i="19"/>
  <c r="AM194" i="19"/>
  <c r="AN194" i="19"/>
  <c r="AO194" i="19"/>
  <c r="AP194" i="19"/>
  <c r="AQ194" i="19"/>
  <c r="AB195" i="19"/>
  <c r="AC195" i="19"/>
  <c r="AD195" i="19"/>
  <c r="AE195" i="19"/>
  <c r="AF195" i="19"/>
  <c r="AH195" i="19"/>
  <c r="AI195" i="19"/>
  <c r="AJ195" i="19"/>
  <c r="AK195" i="19"/>
  <c r="AL195" i="19"/>
  <c r="AM195" i="19"/>
  <c r="AN195" i="19"/>
  <c r="AO195" i="19"/>
  <c r="AP195" i="19"/>
  <c r="AQ195" i="19"/>
  <c r="AB196" i="19"/>
  <c r="AC196" i="19"/>
  <c r="AD196" i="19"/>
  <c r="AE196" i="19"/>
  <c r="AF196" i="19"/>
  <c r="AH196" i="19"/>
  <c r="AI196" i="19"/>
  <c r="AJ196" i="19"/>
  <c r="AK196" i="19"/>
  <c r="AL196" i="19"/>
  <c r="AM196" i="19"/>
  <c r="AN196" i="19"/>
  <c r="AO196" i="19"/>
  <c r="AP196" i="19"/>
  <c r="AQ196" i="19"/>
  <c r="AB197" i="19"/>
  <c r="AC197" i="19"/>
  <c r="AD197" i="19"/>
  <c r="AE197" i="19"/>
  <c r="AF197" i="19"/>
  <c r="AH197" i="19"/>
  <c r="AI197" i="19"/>
  <c r="AJ197" i="19"/>
  <c r="AK197" i="19"/>
  <c r="AL197" i="19"/>
  <c r="AM197" i="19"/>
  <c r="AN197" i="19"/>
  <c r="AO197" i="19"/>
  <c r="AP197" i="19"/>
  <c r="AQ197" i="19"/>
  <c r="AB198" i="19"/>
  <c r="AC198" i="19"/>
  <c r="AD198" i="19"/>
  <c r="AE198" i="19"/>
  <c r="AF198" i="19"/>
  <c r="AH198" i="19"/>
  <c r="AI198" i="19"/>
  <c r="AJ198" i="19"/>
  <c r="AK198" i="19"/>
  <c r="AL198" i="19"/>
  <c r="AM198" i="19"/>
  <c r="AN198" i="19"/>
  <c r="AO198" i="19"/>
  <c r="AP198" i="19"/>
  <c r="AQ198" i="19"/>
  <c r="AB199" i="19"/>
  <c r="AC199" i="19"/>
  <c r="AD199" i="19"/>
  <c r="AE199" i="19"/>
  <c r="AF199" i="19"/>
  <c r="AH199" i="19"/>
  <c r="AI199" i="19"/>
  <c r="AJ199" i="19"/>
  <c r="AK199" i="19"/>
  <c r="AL199" i="19"/>
  <c r="AM199" i="19"/>
  <c r="AN199" i="19"/>
  <c r="AO199" i="19"/>
  <c r="AP199" i="19"/>
  <c r="AQ199" i="19"/>
  <c r="AB200" i="19"/>
  <c r="AC200" i="19"/>
  <c r="AD200" i="19"/>
  <c r="AE200" i="19"/>
  <c r="AF200" i="19"/>
  <c r="AH200" i="19"/>
  <c r="AI200" i="19"/>
  <c r="AJ200" i="19"/>
  <c r="AK200" i="19"/>
  <c r="AL200" i="19"/>
  <c r="AM200" i="19"/>
  <c r="AN200" i="19"/>
  <c r="AO200" i="19"/>
  <c r="AP200" i="19"/>
  <c r="AQ200" i="19"/>
  <c r="AB201" i="19"/>
  <c r="AC201" i="19"/>
  <c r="AD201" i="19"/>
  <c r="AE201" i="19"/>
  <c r="AF201" i="19"/>
  <c r="AH201" i="19"/>
  <c r="AI201" i="19"/>
  <c r="AJ201" i="19"/>
  <c r="AK201" i="19"/>
  <c r="AL201" i="19"/>
  <c r="AM201" i="19"/>
  <c r="AN201" i="19"/>
  <c r="AO201" i="19"/>
  <c r="AP201" i="19"/>
  <c r="AQ201" i="19"/>
  <c r="AB202" i="19"/>
  <c r="AC202" i="19"/>
  <c r="AD202" i="19"/>
  <c r="AE202" i="19"/>
  <c r="AF202" i="19"/>
  <c r="AH202" i="19"/>
  <c r="AI202" i="19"/>
  <c r="AJ202" i="19"/>
  <c r="AK202" i="19"/>
  <c r="AL202" i="19"/>
  <c r="AM202" i="19"/>
  <c r="AN202" i="19"/>
  <c r="AO202" i="19"/>
  <c r="AP202" i="19"/>
  <c r="AQ202" i="19"/>
  <c r="AB203" i="19"/>
  <c r="AC203" i="19"/>
  <c r="AD203" i="19"/>
  <c r="AE203" i="19"/>
  <c r="AF203" i="19"/>
  <c r="AH203" i="19"/>
  <c r="AI203" i="19"/>
  <c r="AJ203" i="19"/>
  <c r="AK203" i="19"/>
  <c r="AL203" i="19"/>
  <c r="AM203" i="19"/>
  <c r="AN203" i="19"/>
  <c r="AO203" i="19"/>
  <c r="AP203" i="19"/>
  <c r="AQ203" i="19"/>
  <c r="AB204" i="19"/>
  <c r="AC204" i="19"/>
  <c r="AD204" i="19"/>
  <c r="AE204" i="19"/>
  <c r="AF204" i="19"/>
  <c r="AH204" i="19"/>
  <c r="AI204" i="19"/>
  <c r="AJ204" i="19"/>
  <c r="AK204" i="19"/>
  <c r="AL204" i="19"/>
  <c r="AM204" i="19"/>
  <c r="AN204" i="19"/>
  <c r="AO204" i="19"/>
  <c r="AP204" i="19"/>
  <c r="AQ204" i="19"/>
  <c r="AB205" i="19"/>
  <c r="AC205" i="19"/>
  <c r="AD205" i="19"/>
  <c r="AE205" i="19"/>
  <c r="AF205" i="19"/>
  <c r="AH205" i="19"/>
  <c r="AI205" i="19"/>
  <c r="AJ205" i="19"/>
  <c r="AK205" i="19"/>
  <c r="AL205" i="19"/>
  <c r="AM205" i="19"/>
  <c r="AN205" i="19"/>
  <c r="AO205" i="19"/>
  <c r="AP205" i="19"/>
  <c r="AQ205" i="19"/>
  <c r="AB206" i="19"/>
  <c r="AC206" i="19"/>
  <c r="AD206" i="19"/>
  <c r="AE206" i="19"/>
  <c r="AF206" i="19"/>
  <c r="AH206" i="19"/>
  <c r="AI206" i="19"/>
  <c r="AJ206" i="19"/>
  <c r="AK206" i="19"/>
  <c r="AL206" i="19"/>
  <c r="AM206" i="19"/>
  <c r="AN206" i="19"/>
  <c r="AO206" i="19"/>
  <c r="AP206" i="19"/>
  <c r="AQ206" i="19"/>
  <c r="AB207" i="19"/>
  <c r="AC207" i="19"/>
  <c r="AD207" i="19"/>
  <c r="AE207" i="19"/>
  <c r="AF207" i="19"/>
  <c r="AH207" i="19"/>
  <c r="AI207" i="19"/>
  <c r="AJ207" i="19"/>
  <c r="AK207" i="19"/>
  <c r="AL207" i="19"/>
  <c r="AM207" i="19"/>
  <c r="AN207" i="19"/>
  <c r="AO207" i="19"/>
  <c r="AP207" i="19"/>
  <c r="AQ207" i="19"/>
  <c r="AB208" i="19"/>
  <c r="AC208" i="19"/>
  <c r="AD208" i="19"/>
  <c r="AE208" i="19"/>
  <c r="AF208" i="19"/>
  <c r="AH208" i="19"/>
  <c r="AI208" i="19"/>
  <c r="AJ208" i="19"/>
  <c r="AK208" i="19"/>
  <c r="AL208" i="19"/>
  <c r="AM208" i="19"/>
  <c r="AN208" i="19"/>
  <c r="AO208" i="19"/>
  <c r="AP208" i="19"/>
  <c r="AQ208" i="19"/>
  <c r="AB209" i="19"/>
  <c r="AC209" i="19"/>
  <c r="AD209" i="19"/>
  <c r="AE209" i="19"/>
  <c r="AF209" i="19"/>
  <c r="AH209" i="19"/>
  <c r="AI209" i="19"/>
  <c r="AJ209" i="19"/>
  <c r="AK209" i="19"/>
  <c r="AL209" i="19"/>
  <c r="AM209" i="19"/>
  <c r="AN209" i="19"/>
  <c r="AO209" i="19"/>
  <c r="AP209" i="19"/>
  <c r="AQ209" i="19"/>
  <c r="AB210" i="19"/>
  <c r="AC210" i="19"/>
  <c r="AD210" i="19"/>
  <c r="AE210" i="19"/>
  <c r="AF210" i="19"/>
  <c r="AH210" i="19"/>
  <c r="AI210" i="19"/>
  <c r="AJ210" i="19"/>
  <c r="AK210" i="19"/>
  <c r="AL210" i="19"/>
  <c r="AM210" i="19"/>
  <c r="AN210" i="19"/>
  <c r="AO210" i="19"/>
  <c r="AP210" i="19"/>
  <c r="AQ210" i="19"/>
  <c r="AB211" i="19"/>
  <c r="AC211" i="19"/>
  <c r="AD211" i="19"/>
  <c r="AE211" i="19"/>
  <c r="AF211" i="19"/>
  <c r="AH211" i="19"/>
  <c r="AI211" i="19"/>
  <c r="AJ211" i="19"/>
  <c r="AK211" i="19"/>
  <c r="AL211" i="19"/>
  <c r="AM211" i="19"/>
  <c r="AN211" i="19"/>
  <c r="AO211" i="19"/>
  <c r="AP211" i="19"/>
  <c r="AQ211" i="19"/>
  <c r="AB212" i="19"/>
  <c r="AC212" i="19"/>
  <c r="AD212" i="19"/>
  <c r="AE212" i="19"/>
  <c r="AF212" i="19"/>
  <c r="AH212" i="19"/>
  <c r="AI212" i="19"/>
  <c r="AJ212" i="19"/>
  <c r="AK212" i="19"/>
  <c r="AL212" i="19"/>
  <c r="AM212" i="19"/>
  <c r="AN212" i="19"/>
  <c r="AO212" i="19"/>
  <c r="AP212" i="19"/>
  <c r="AQ212" i="19"/>
  <c r="AB213" i="19"/>
  <c r="AC213" i="19"/>
  <c r="AD213" i="19"/>
  <c r="AE213" i="19"/>
  <c r="AF213" i="19"/>
  <c r="AH213" i="19"/>
  <c r="AI213" i="19"/>
  <c r="AJ213" i="19"/>
  <c r="AK213" i="19"/>
  <c r="AL213" i="19"/>
  <c r="AM213" i="19"/>
  <c r="AN213" i="19"/>
  <c r="AO213" i="19"/>
  <c r="AP213" i="19"/>
  <c r="AQ213" i="19"/>
  <c r="AB214" i="19"/>
  <c r="AC214" i="19"/>
  <c r="AD214" i="19"/>
  <c r="AE214" i="19"/>
  <c r="AF214" i="19"/>
  <c r="AH214" i="19"/>
  <c r="AI214" i="19"/>
  <c r="AJ214" i="19"/>
  <c r="AK214" i="19"/>
  <c r="AL214" i="19"/>
  <c r="AM214" i="19"/>
  <c r="AN214" i="19"/>
  <c r="AO214" i="19"/>
  <c r="AP214" i="19"/>
  <c r="AQ214" i="19"/>
  <c r="AB215" i="19"/>
  <c r="AC215" i="19"/>
  <c r="AD215" i="19"/>
  <c r="AE215" i="19"/>
  <c r="AF215" i="19"/>
  <c r="AH215" i="19"/>
  <c r="AI215" i="19"/>
  <c r="AJ215" i="19"/>
  <c r="AK215" i="19"/>
  <c r="AL215" i="19"/>
  <c r="AM215" i="19"/>
  <c r="AN215" i="19"/>
  <c r="AO215" i="19"/>
  <c r="AP215" i="19"/>
  <c r="AQ215" i="19"/>
  <c r="AB216" i="19"/>
  <c r="AC216" i="19"/>
  <c r="AD216" i="19"/>
  <c r="AE216" i="19"/>
  <c r="AF216" i="19"/>
  <c r="AH216" i="19"/>
  <c r="AI216" i="19"/>
  <c r="AJ216" i="19"/>
  <c r="AK216" i="19"/>
  <c r="AL216" i="19"/>
  <c r="AM216" i="19"/>
  <c r="AN216" i="19"/>
  <c r="AO216" i="19"/>
  <c r="AP216" i="19"/>
  <c r="AQ216" i="19"/>
  <c r="AB217" i="19"/>
  <c r="AC217" i="19"/>
  <c r="AD217" i="19"/>
  <c r="AE217" i="19"/>
  <c r="AF217" i="19"/>
  <c r="AH217" i="19"/>
  <c r="AI217" i="19"/>
  <c r="AJ217" i="19"/>
  <c r="AK217" i="19"/>
  <c r="AL217" i="19"/>
  <c r="AM217" i="19"/>
  <c r="AN217" i="19"/>
  <c r="AO217" i="19"/>
  <c r="AP217" i="19"/>
  <c r="AQ217" i="19"/>
  <c r="AB218" i="19"/>
  <c r="AC218" i="19"/>
  <c r="AD218" i="19"/>
  <c r="AE218" i="19"/>
  <c r="AF218" i="19"/>
  <c r="AH218" i="19"/>
  <c r="AI218" i="19"/>
  <c r="AJ218" i="19"/>
  <c r="AK218" i="19"/>
  <c r="AL218" i="19"/>
  <c r="AM218" i="19"/>
  <c r="AN218" i="19"/>
  <c r="AO218" i="19"/>
  <c r="AP218" i="19"/>
  <c r="AQ218" i="19"/>
  <c r="AB219" i="19"/>
  <c r="AC219" i="19"/>
  <c r="AD219" i="19"/>
  <c r="AE219" i="19"/>
  <c r="AF219" i="19"/>
  <c r="AH219" i="19"/>
  <c r="AI219" i="19"/>
  <c r="AJ219" i="19"/>
  <c r="AK219" i="19"/>
  <c r="AL219" i="19"/>
  <c r="AM219" i="19"/>
  <c r="AN219" i="19"/>
  <c r="AO219" i="19"/>
  <c r="AP219" i="19"/>
  <c r="AQ219" i="19"/>
  <c r="AB220" i="19"/>
  <c r="AC220" i="19"/>
  <c r="AD220" i="19"/>
  <c r="AE220" i="19"/>
  <c r="AF220" i="19"/>
  <c r="AH220" i="19"/>
  <c r="AI220" i="19"/>
  <c r="AJ220" i="19"/>
  <c r="AK220" i="19"/>
  <c r="AL220" i="19"/>
  <c r="AM220" i="19"/>
  <c r="AN220" i="19"/>
  <c r="AO220" i="19"/>
  <c r="AP220" i="19"/>
  <c r="AQ220" i="19"/>
  <c r="AB221" i="19"/>
  <c r="AC221" i="19"/>
  <c r="AD221" i="19"/>
  <c r="AE221" i="19"/>
  <c r="AF221" i="19"/>
  <c r="AH221" i="19"/>
  <c r="AI221" i="19"/>
  <c r="AJ221" i="19"/>
  <c r="AK221" i="19"/>
  <c r="AL221" i="19"/>
  <c r="AM221" i="19"/>
  <c r="AN221" i="19"/>
  <c r="AO221" i="19"/>
  <c r="AP221" i="19"/>
  <c r="AQ221" i="19"/>
  <c r="AB222" i="19"/>
  <c r="AC222" i="19"/>
  <c r="AD222" i="19"/>
  <c r="AE222" i="19"/>
  <c r="AF222" i="19"/>
  <c r="AH222" i="19"/>
  <c r="AI222" i="19"/>
  <c r="AJ222" i="19"/>
  <c r="AK222" i="19"/>
  <c r="AL222" i="19"/>
  <c r="AM222" i="19"/>
  <c r="AN222" i="19"/>
  <c r="AO222" i="19"/>
  <c r="AP222" i="19"/>
  <c r="AQ222" i="19"/>
  <c r="AB223" i="19"/>
  <c r="AC223" i="19"/>
  <c r="AD223" i="19"/>
  <c r="AE223" i="19"/>
  <c r="AF223" i="19"/>
  <c r="AH223" i="19"/>
  <c r="AI223" i="19"/>
  <c r="AJ223" i="19"/>
  <c r="AK223" i="19"/>
  <c r="AL223" i="19"/>
  <c r="AM223" i="19"/>
  <c r="AN223" i="19"/>
  <c r="AO223" i="19"/>
  <c r="AP223" i="19"/>
  <c r="AQ223" i="19"/>
  <c r="AB224" i="19"/>
  <c r="AC224" i="19"/>
  <c r="AD224" i="19"/>
  <c r="AE224" i="19"/>
  <c r="AF224" i="19"/>
  <c r="AH224" i="19"/>
  <c r="AI224" i="19"/>
  <c r="AJ224" i="19"/>
  <c r="AK224" i="19"/>
  <c r="AL224" i="19"/>
  <c r="AM224" i="19"/>
  <c r="AN224" i="19"/>
  <c r="AO224" i="19"/>
  <c r="AP224" i="19"/>
  <c r="AQ224" i="19"/>
  <c r="AB225" i="19"/>
  <c r="AC225" i="19"/>
  <c r="AD225" i="19"/>
  <c r="AE225" i="19"/>
  <c r="AF225" i="19"/>
  <c r="AH225" i="19"/>
  <c r="AI225" i="19"/>
  <c r="AJ225" i="19"/>
  <c r="AK225" i="19"/>
  <c r="AL225" i="19"/>
  <c r="AM225" i="19"/>
  <c r="AN225" i="19"/>
  <c r="AO225" i="19"/>
  <c r="AP225" i="19"/>
  <c r="AQ225" i="19"/>
  <c r="AB226" i="19"/>
  <c r="AC226" i="19"/>
  <c r="AD226" i="19"/>
  <c r="AE226" i="19"/>
  <c r="AF226" i="19"/>
  <c r="AH226" i="19"/>
  <c r="AI226" i="19"/>
  <c r="AJ226" i="19"/>
  <c r="AK226" i="19"/>
  <c r="AL226" i="19"/>
  <c r="AM226" i="19"/>
  <c r="AN226" i="19"/>
  <c r="AO226" i="19"/>
  <c r="AP226" i="19"/>
  <c r="AQ226" i="19"/>
  <c r="AB227" i="19"/>
  <c r="AC227" i="19"/>
  <c r="AD227" i="19"/>
  <c r="AE227" i="19"/>
  <c r="AF227" i="19"/>
  <c r="AH227" i="19"/>
  <c r="AI227" i="19"/>
  <c r="AJ227" i="19"/>
  <c r="AK227" i="19"/>
  <c r="AL227" i="19"/>
  <c r="AM227" i="19"/>
  <c r="AN227" i="19"/>
  <c r="AO227" i="19"/>
  <c r="AP227" i="19"/>
  <c r="AQ227" i="19"/>
  <c r="AB228" i="19"/>
  <c r="AC228" i="19"/>
  <c r="AD228" i="19"/>
  <c r="AE228" i="19"/>
  <c r="AF228" i="19"/>
  <c r="AH228" i="19"/>
  <c r="AI228" i="19"/>
  <c r="AJ228" i="19"/>
  <c r="AK228" i="19"/>
  <c r="AL228" i="19"/>
  <c r="AM228" i="19"/>
  <c r="AN228" i="19"/>
  <c r="AO228" i="19"/>
  <c r="AP228" i="19"/>
  <c r="AQ228" i="19"/>
  <c r="AB229" i="19"/>
  <c r="AC229" i="19"/>
  <c r="AD229" i="19"/>
  <c r="AE229" i="19"/>
  <c r="AF229" i="19"/>
  <c r="AH229" i="19"/>
  <c r="AI229" i="19"/>
  <c r="AJ229" i="19"/>
  <c r="AK229" i="19"/>
  <c r="AL229" i="19"/>
  <c r="AM229" i="19"/>
  <c r="AN229" i="19"/>
  <c r="AO229" i="19"/>
  <c r="AP229" i="19"/>
  <c r="AQ229" i="19"/>
  <c r="AB230" i="19"/>
  <c r="AC230" i="19"/>
  <c r="AD230" i="19"/>
  <c r="AE230" i="19"/>
  <c r="AF230" i="19"/>
  <c r="AH230" i="19"/>
  <c r="AI230" i="19"/>
  <c r="AJ230" i="19"/>
  <c r="AK230" i="19"/>
  <c r="AL230" i="19"/>
  <c r="AM230" i="19"/>
  <c r="AN230" i="19"/>
  <c r="AO230" i="19"/>
  <c r="AP230" i="19"/>
  <c r="AQ230" i="19"/>
  <c r="AB231" i="19"/>
  <c r="AC231" i="19"/>
  <c r="AD231" i="19"/>
  <c r="AE231" i="19"/>
  <c r="AF231" i="19"/>
  <c r="AH231" i="19"/>
  <c r="AI231" i="19"/>
  <c r="AJ231" i="19"/>
  <c r="AK231" i="19"/>
  <c r="AL231" i="19"/>
  <c r="AM231" i="19"/>
  <c r="AN231" i="19"/>
  <c r="AO231" i="19"/>
  <c r="AP231" i="19"/>
  <c r="AQ231" i="19"/>
  <c r="AB232" i="19"/>
  <c r="AC232" i="19"/>
  <c r="AD232" i="19"/>
  <c r="AE232" i="19"/>
  <c r="AF232" i="19"/>
  <c r="AH232" i="19"/>
  <c r="AI232" i="19"/>
  <c r="AJ232" i="19"/>
  <c r="AK232" i="19"/>
  <c r="AL232" i="19"/>
  <c r="AM232" i="19"/>
  <c r="AN232" i="19"/>
  <c r="AO232" i="19"/>
  <c r="AP232" i="19"/>
  <c r="AQ232" i="19"/>
  <c r="AB233" i="19"/>
  <c r="AC233" i="19"/>
  <c r="AD233" i="19"/>
  <c r="AE233" i="19"/>
  <c r="AF233" i="19"/>
  <c r="AH233" i="19"/>
  <c r="AI233" i="19"/>
  <c r="AJ233" i="19"/>
  <c r="AK233" i="19"/>
  <c r="AL233" i="19"/>
  <c r="AM233" i="19"/>
  <c r="AN233" i="19"/>
  <c r="AO233" i="19"/>
  <c r="AP233" i="19"/>
  <c r="AQ233" i="19"/>
  <c r="AB234" i="19"/>
  <c r="AC234" i="19"/>
  <c r="AD234" i="19"/>
  <c r="AE234" i="19"/>
  <c r="AF234" i="19"/>
  <c r="AH234" i="19"/>
  <c r="AI234" i="19"/>
  <c r="AJ234" i="19"/>
  <c r="AK234" i="19"/>
  <c r="AL234" i="19"/>
  <c r="AM234" i="19"/>
  <c r="AN234" i="19"/>
  <c r="AO234" i="19"/>
  <c r="AP234" i="19"/>
  <c r="AQ234" i="19"/>
  <c r="AB235" i="19"/>
  <c r="AC235" i="19"/>
  <c r="AD235" i="19"/>
  <c r="AE235" i="19"/>
  <c r="AF235" i="19"/>
  <c r="AH235" i="19"/>
  <c r="AI235" i="19"/>
  <c r="AJ235" i="19"/>
  <c r="AK235" i="19"/>
  <c r="AL235" i="19"/>
  <c r="AM235" i="19"/>
  <c r="AN235" i="19"/>
  <c r="AO235" i="19"/>
  <c r="AP235" i="19"/>
  <c r="AQ235" i="19"/>
  <c r="AB236" i="19"/>
  <c r="AC236" i="19"/>
  <c r="AD236" i="19"/>
  <c r="AE236" i="19"/>
  <c r="AF236" i="19"/>
  <c r="AH236" i="19"/>
  <c r="AI236" i="19"/>
  <c r="AJ236" i="19"/>
  <c r="AK236" i="19"/>
  <c r="AL236" i="19"/>
  <c r="AM236" i="19"/>
  <c r="AN236" i="19"/>
  <c r="AO236" i="19"/>
  <c r="AP236" i="19"/>
  <c r="AQ236" i="19"/>
  <c r="AB237" i="19"/>
  <c r="AC237" i="19"/>
  <c r="AD237" i="19"/>
  <c r="AE237" i="19"/>
  <c r="AF237" i="19"/>
  <c r="AH237" i="19"/>
  <c r="AI237" i="19"/>
  <c r="AJ237" i="19"/>
  <c r="AK237" i="19"/>
  <c r="AL237" i="19"/>
  <c r="AM237" i="19"/>
  <c r="AN237" i="19"/>
  <c r="AO237" i="19"/>
  <c r="AP237" i="19"/>
  <c r="AQ237" i="19"/>
  <c r="AB238" i="19"/>
  <c r="AC238" i="19"/>
  <c r="AD238" i="19"/>
  <c r="AE238" i="19"/>
  <c r="AF238" i="19"/>
  <c r="AH238" i="19"/>
  <c r="AI238" i="19"/>
  <c r="AJ238" i="19"/>
  <c r="AK238" i="19"/>
  <c r="AL238" i="19"/>
  <c r="AM238" i="19"/>
  <c r="AN238" i="19"/>
  <c r="AO238" i="19"/>
  <c r="AP238" i="19"/>
  <c r="AQ238" i="19"/>
  <c r="AB239" i="19"/>
  <c r="AC239" i="19"/>
  <c r="AD239" i="19"/>
  <c r="AE239" i="19"/>
  <c r="AF239" i="19"/>
  <c r="AH239" i="19"/>
  <c r="AI239" i="19"/>
  <c r="AJ239" i="19"/>
  <c r="AK239" i="19"/>
  <c r="AL239" i="19"/>
  <c r="AM239" i="19"/>
  <c r="AN239" i="19"/>
  <c r="AO239" i="19"/>
  <c r="AP239" i="19"/>
  <c r="AQ239" i="19"/>
  <c r="AB240" i="19"/>
  <c r="AC240" i="19"/>
  <c r="AD240" i="19"/>
  <c r="AE240" i="19"/>
  <c r="AF240" i="19"/>
  <c r="AH240" i="19"/>
  <c r="AI240" i="19"/>
  <c r="AJ240" i="19"/>
  <c r="AK240" i="19"/>
  <c r="AL240" i="19"/>
  <c r="AM240" i="19"/>
  <c r="AN240" i="19"/>
  <c r="AO240" i="19"/>
  <c r="AP240" i="19"/>
  <c r="AQ240" i="19"/>
  <c r="AB241" i="19"/>
  <c r="AC241" i="19"/>
  <c r="AD241" i="19"/>
  <c r="AE241" i="19"/>
  <c r="AF241" i="19"/>
  <c r="AH241" i="19"/>
  <c r="AI241" i="19"/>
  <c r="AJ241" i="19"/>
  <c r="AK241" i="19"/>
  <c r="AL241" i="19"/>
  <c r="AM241" i="19"/>
  <c r="AN241" i="19"/>
  <c r="AO241" i="19"/>
  <c r="AP241" i="19"/>
  <c r="AQ241" i="19"/>
  <c r="AB242" i="19"/>
  <c r="AC242" i="19"/>
  <c r="AD242" i="19"/>
  <c r="AE242" i="19"/>
  <c r="AF242" i="19"/>
  <c r="AH242" i="19"/>
  <c r="AI242" i="19"/>
  <c r="AJ242" i="19"/>
  <c r="AK242" i="19"/>
  <c r="AL242" i="19"/>
  <c r="AM242" i="19"/>
  <c r="AN242" i="19"/>
  <c r="AO242" i="19"/>
  <c r="AP242" i="19"/>
  <c r="AQ242" i="19"/>
  <c r="AB243" i="19"/>
  <c r="AC243" i="19"/>
  <c r="AD243" i="19"/>
  <c r="AE243" i="19"/>
  <c r="AF243" i="19"/>
  <c r="AH243" i="19"/>
  <c r="AI243" i="19"/>
  <c r="AJ243" i="19"/>
  <c r="AK243" i="19"/>
  <c r="AL243" i="19"/>
  <c r="AM243" i="19"/>
  <c r="AN243" i="19"/>
  <c r="AO243" i="19"/>
  <c r="AP243" i="19"/>
  <c r="AQ243" i="19"/>
  <c r="AB244" i="19"/>
  <c r="AC244" i="19"/>
  <c r="AD244" i="19"/>
  <c r="AE244" i="19"/>
  <c r="AF244" i="19"/>
  <c r="AH244" i="19"/>
  <c r="AI244" i="19"/>
  <c r="AJ244" i="19"/>
  <c r="AK244" i="19"/>
  <c r="AL244" i="19"/>
  <c r="AM244" i="19"/>
  <c r="AN244" i="19"/>
  <c r="AO244" i="19"/>
  <c r="AP244" i="19"/>
  <c r="AQ244" i="19"/>
  <c r="AB245" i="19"/>
  <c r="AC245" i="19"/>
  <c r="AD245" i="19"/>
  <c r="AE245" i="19"/>
  <c r="AF245" i="19"/>
  <c r="AH245" i="19"/>
  <c r="AI245" i="19"/>
  <c r="AJ245" i="19"/>
  <c r="AK245" i="19"/>
  <c r="AL245" i="19"/>
  <c r="AM245" i="19"/>
  <c r="AN245" i="19"/>
  <c r="AO245" i="19"/>
  <c r="AP245" i="19"/>
  <c r="AQ245" i="19"/>
  <c r="AB246" i="19"/>
  <c r="AC246" i="19"/>
  <c r="AD246" i="19"/>
  <c r="AE246" i="19"/>
  <c r="AF246" i="19"/>
  <c r="AH246" i="19"/>
  <c r="AI246" i="19"/>
  <c r="AJ246" i="19"/>
  <c r="AK246" i="19"/>
  <c r="AL246" i="19"/>
  <c r="AM246" i="19"/>
  <c r="AN246" i="19"/>
  <c r="AO246" i="19"/>
  <c r="AP246" i="19"/>
  <c r="AQ246" i="19"/>
  <c r="AB247" i="19"/>
  <c r="AC247" i="19"/>
  <c r="AD247" i="19"/>
  <c r="AE247" i="19"/>
  <c r="AF247" i="19"/>
  <c r="AH247" i="19"/>
  <c r="AI247" i="19"/>
  <c r="AJ247" i="19"/>
  <c r="AK247" i="19"/>
  <c r="AL247" i="19"/>
  <c r="AM247" i="19"/>
  <c r="AN247" i="19"/>
  <c r="AO247" i="19"/>
  <c r="AP247" i="19"/>
  <c r="AQ247" i="19"/>
  <c r="AB248" i="19"/>
  <c r="AC248" i="19"/>
  <c r="AD248" i="19"/>
  <c r="AE248" i="19"/>
  <c r="AF248" i="19"/>
  <c r="AH248" i="19"/>
  <c r="AI248" i="19"/>
  <c r="AJ248" i="19"/>
  <c r="AK248" i="19"/>
  <c r="AL248" i="19"/>
  <c r="AM248" i="19"/>
  <c r="AN248" i="19"/>
  <c r="AO248" i="19"/>
  <c r="AP248" i="19"/>
  <c r="AQ248" i="19"/>
  <c r="AB249" i="19"/>
  <c r="AC249" i="19"/>
  <c r="AD249" i="19"/>
  <c r="AE249" i="19"/>
  <c r="AF249" i="19"/>
  <c r="AH249" i="19"/>
  <c r="AI249" i="19"/>
  <c r="AJ249" i="19"/>
  <c r="AK249" i="19"/>
  <c r="AL249" i="19"/>
  <c r="AM249" i="19"/>
  <c r="AN249" i="19"/>
  <c r="AO249" i="19"/>
  <c r="AP249" i="19"/>
  <c r="AQ249" i="19"/>
  <c r="AB250" i="19"/>
  <c r="AC250" i="19"/>
  <c r="AD250" i="19"/>
  <c r="AE250" i="19"/>
  <c r="AF250" i="19"/>
  <c r="AH250" i="19"/>
  <c r="AI250" i="19"/>
  <c r="AJ250" i="19"/>
  <c r="AK250" i="19"/>
  <c r="AL250" i="19"/>
  <c r="AM250" i="19"/>
  <c r="AN250" i="19"/>
  <c r="AO250" i="19"/>
  <c r="AP250" i="19"/>
  <c r="AQ250" i="19"/>
  <c r="AB251" i="19"/>
  <c r="AC251" i="19"/>
  <c r="AD251" i="19"/>
  <c r="AE251" i="19"/>
  <c r="AF251" i="19"/>
  <c r="AH251" i="19"/>
  <c r="AI251" i="19"/>
  <c r="AJ251" i="19"/>
  <c r="AK251" i="19"/>
  <c r="AL251" i="19"/>
  <c r="AM251" i="19"/>
  <c r="AN251" i="19"/>
  <c r="AO251" i="19"/>
  <c r="AP251" i="19"/>
  <c r="AQ251" i="19"/>
  <c r="AB252" i="19"/>
  <c r="AC252" i="19"/>
  <c r="AD252" i="19"/>
  <c r="AE252" i="19"/>
  <c r="AF252" i="19"/>
  <c r="AH252" i="19"/>
  <c r="AI252" i="19"/>
  <c r="AJ252" i="19"/>
  <c r="AK252" i="19"/>
  <c r="AL252" i="19"/>
  <c r="AM252" i="19"/>
  <c r="AN252" i="19"/>
  <c r="AO252" i="19"/>
  <c r="AP252" i="19"/>
  <c r="AQ252" i="19"/>
  <c r="AB253" i="19"/>
  <c r="AC253" i="19"/>
  <c r="AD253" i="19"/>
  <c r="AE253" i="19"/>
  <c r="AF253" i="19"/>
  <c r="AH253" i="19"/>
  <c r="AI253" i="19"/>
  <c r="AJ253" i="19"/>
  <c r="AK253" i="19"/>
  <c r="AL253" i="19"/>
  <c r="AM253" i="19"/>
  <c r="AN253" i="19"/>
  <c r="AO253" i="19"/>
  <c r="AP253" i="19"/>
  <c r="AQ253" i="19"/>
  <c r="AB254" i="19"/>
  <c r="AC254" i="19"/>
  <c r="AD254" i="19"/>
  <c r="AE254" i="19"/>
  <c r="AF254" i="19"/>
  <c r="AH254" i="19"/>
  <c r="AI254" i="19"/>
  <c r="AJ254" i="19"/>
  <c r="AK254" i="19"/>
  <c r="AL254" i="19"/>
  <c r="AM254" i="19"/>
  <c r="AN254" i="19"/>
  <c r="AO254" i="19"/>
  <c r="AP254" i="19"/>
  <c r="AQ254" i="19"/>
  <c r="AB255" i="19"/>
  <c r="AC255" i="19"/>
  <c r="AD255" i="19"/>
  <c r="AE255" i="19"/>
  <c r="AF255" i="19"/>
  <c r="AH255" i="19"/>
  <c r="AI255" i="19"/>
  <c r="AJ255" i="19"/>
  <c r="AK255" i="19"/>
  <c r="AL255" i="19"/>
  <c r="AM255" i="19"/>
  <c r="AN255" i="19"/>
  <c r="AO255" i="19"/>
  <c r="AP255" i="19"/>
  <c r="AQ255" i="19"/>
  <c r="AB256" i="19"/>
  <c r="AC256" i="19"/>
  <c r="AD256" i="19"/>
  <c r="AE256" i="19"/>
  <c r="AF256" i="19"/>
  <c r="AH256" i="19"/>
  <c r="AI256" i="19"/>
  <c r="AJ256" i="19"/>
  <c r="AK256" i="19"/>
  <c r="AL256" i="19"/>
  <c r="AM256" i="19"/>
  <c r="AN256" i="19"/>
  <c r="AO256" i="19"/>
  <c r="AP256" i="19"/>
  <c r="AQ256" i="19"/>
  <c r="AB257" i="19"/>
  <c r="AC257" i="19"/>
  <c r="AD257" i="19"/>
  <c r="AE257" i="19"/>
  <c r="AF257" i="19"/>
  <c r="AH257" i="19"/>
  <c r="AI257" i="19"/>
  <c r="AJ257" i="19"/>
  <c r="AK257" i="19"/>
  <c r="AL257" i="19"/>
  <c r="AM257" i="19"/>
  <c r="AN257" i="19"/>
  <c r="AO257" i="19"/>
  <c r="AP257" i="19"/>
  <c r="AQ257" i="19"/>
  <c r="AB258" i="19"/>
  <c r="AC258" i="19"/>
  <c r="AD258" i="19"/>
  <c r="AE258" i="19"/>
  <c r="AF258" i="19"/>
  <c r="AH258" i="19"/>
  <c r="AI258" i="19"/>
  <c r="AJ258" i="19"/>
  <c r="AK258" i="19"/>
  <c r="AL258" i="19"/>
  <c r="AM258" i="19"/>
  <c r="AN258" i="19"/>
  <c r="AO258" i="19"/>
  <c r="AP258" i="19"/>
  <c r="AQ258" i="19"/>
  <c r="AB259" i="19"/>
  <c r="AC259" i="19"/>
  <c r="AD259" i="19"/>
  <c r="AE259" i="19"/>
  <c r="AF259" i="19"/>
  <c r="AH259" i="19"/>
  <c r="AI259" i="19"/>
  <c r="AJ259" i="19"/>
  <c r="AK259" i="19"/>
  <c r="AL259" i="19"/>
  <c r="AM259" i="19"/>
  <c r="AN259" i="19"/>
  <c r="AO259" i="19"/>
  <c r="AP259" i="19"/>
  <c r="AQ259" i="19"/>
  <c r="AB260" i="19"/>
  <c r="AC260" i="19"/>
  <c r="AD260" i="19"/>
  <c r="AE260" i="19"/>
  <c r="AF260" i="19"/>
  <c r="AH260" i="19"/>
  <c r="AI260" i="19"/>
  <c r="AJ260" i="19"/>
  <c r="AK260" i="19"/>
  <c r="AL260" i="19"/>
  <c r="AM260" i="19"/>
  <c r="AN260" i="19"/>
  <c r="AO260" i="19"/>
  <c r="AP260" i="19"/>
  <c r="AQ260" i="19"/>
  <c r="AB261" i="19"/>
  <c r="AC261" i="19"/>
  <c r="AD261" i="19"/>
  <c r="AE261" i="19"/>
  <c r="AF261" i="19"/>
  <c r="AH261" i="19"/>
  <c r="AI261" i="19"/>
  <c r="AJ261" i="19"/>
  <c r="AK261" i="19"/>
  <c r="AL261" i="19"/>
  <c r="AM261" i="19"/>
  <c r="AN261" i="19"/>
  <c r="AO261" i="19"/>
  <c r="AP261" i="19"/>
  <c r="AQ261" i="19"/>
  <c r="AB262" i="19"/>
  <c r="AC262" i="19"/>
  <c r="AD262" i="19"/>
  <c r="AE262" i="19"/>
  <c r="AF262" i="19"/>
  <c r="AH262" i="19"/>
  <c r="AI262" i="19"/>
  <c r="AJ262" i="19"/>
  <c r="AK262" i="19"/>
  <c r="AL262" i="19"/>
  <c r="AM262" i="19"/>
  <c r="AN262" i="19"/>
  <c r="AO262" i="19"/>
  <c r="AP262" i="19"/>
  <c r="AQ262" i="19"/>
  <c r="AB263" i="19"/>
  <c r="AC263" i="19"/>
  <c r="AD263" i="19"/>
  <c r="AE263" i="19"/>
  <c r="AF263" i="19"/>
  <c r="AH263" i="19"/>
  <c r="AI263" i="19"/>
  <c r="AJ263" i="19"/>
  <c r="AK263" i="19"/>
  <c r="AL263" i="19"/>
  <c r="AM263" i="19"/>
  <c r="AN263" i="19"/>
  <c r="AO263" i="19"/>
  <c r="AP263" i="19"/>
  <c r="AQ263" i="19"/>
  <c r="AB264" i="19"/>
  <c r="AC264" i="19"/>
  <c r="AD264" i="19"/>
  <c r="AE264" i="19"/>
  <c r="AF264" i="19"/>
  <c r="AH264" i="19"/>
  <c r="AI264" i="19"/>
  <c r="AJ264" i="19"/>
  <c r="AK264" i="19"/>
  <c r="AL264" i="19"/>
  <c r="AM264" i="19"/>
  <c r="AN264" i="19"/>
  <c r="AO264" i="19"/>
  <c r="AP264" i="19"/>
  <c r="AQ264" i="19"/>
  <c r="AB265" i="19"/>
  <c r="AC265" i="19"/>
  <c r="AD265" i="19"/>
  <c r="AE265" i="19"/>
  <c r="AF265" i="19"/>
  <c r="AH265" i="19"/>
  <c r="AI265" i="19"/>
  <c r="AJ265" i="19"/>
  <c r="AK265" i="19"/>
  <c r="AL265" i="19"/>
  <c r="AM265" i="19"/>
  <c r="AN265" i="19"/>
  <c r="AO265" i="19"/>
  <c r="AP265" i="19"/>
  <c r="AQ265" i="19"/>
  <c r="AB266" i="19"/>
  <c r="AC266" i="19"/>
  <c r="AD266" i="19"/>
  <c r="AE266" i="19"/>
  <c r="AF266" i="19"/>
  <c r="AH266" i="19"/>
  <c r="AI266" i="19"/>
  <c r="AJ266" i="19"/>
  <c r="AK266" i="19"/>
  <c r="AL266" i="19"/>
  <c r="AM266" i="19"/>
  <c r="AN266" i="19"/>
  <c r="AO266" i="19"/>
  <c r="AP266" i="19"/>
  <c r="AQ266" i="19"/>
  <c r="AB267" i="19"/>
  <c r="AC267" i="19"/>
  <c r="AD267" i="19"/>
  <c r="AE267" i="19"/>
  <c r="AF267" i="19"/>
  <c r="AH267" i="19"/>
  <c r="AI267" i="19"/>
  <c r="AJ267" i="19"/>
  <c r="AK267" i="19"/>
  <c r="AL267" i="19"/>
  <c r="AM267" i="19"/>
  <c r="AN267" i="19"/>
  <c r="AO267" i="19"/>
  <c r="AP267" i="19"/>
  <c r="AQ267" i="19"/>
  <c r="AB268" i="19"/>
  <c r="AC268" i="19"/>
  <c r="AD268" i="19"/>
  <c r="AE268" i="19"/>
  <c r="AF268" i="19"/>
  <c r="AH268" i="19"/>
  <c r="AI268" i="19"/>
  <c r="AJ268" i="19"/>
  <c r="AK268" i="19"/>
  <c r="AL268" i="19"/>
  <c r="AM268" i="19"/>
  <c r="AN268" i="19"/>
  <c r="AO268" i="19"/>
  <c r="AP268" i="19"/>
  <c r="AQ268" i="19"/>
  <c r="AB269" i="19"/>
  <c r="AC269" i="19"/>
  <c r="AD269" i="19"/>
  <c r="AE269" i="19"/>
  <c r="AF269" i="19"/>
  <c r="AH269" i="19"/>
  <c r="AI269" i="19"/>
  <c r="AJ269" i="19"/>
  <c r="AK269" i="19"/>
  <c r="AL269" i="19"/>
  <c r="AM269" i="19"/>
  <c r="AN269" i="19"/>
  <c r="AO269" i="19"/>
  <c r="AP269" i="19"/>
  <c r="AQ269" i="19"/>
  <c r="AB270" i="19"/>
  <c r="AC270" i="19"/>
  <c r="AD270" i="19"/>
  <c r="AE270" i="19"/>
  <c r="AF270" i="19"/>
  <c r="AH270" i="19"/>
  <c r="AI270" i="19"/>
  <c r="AJ270" i="19"/>
  <c r="AK270" i="19"/>
  <c r="AL270" i="19"/>
  <c r="AM270" i="19"/>
  <c r="AN270" i="19"/>
  <c r="AO270" i="19"/>
  <c r="AP270" i="19"/>
  <c r="AQ270" i="19"/>
  <c r="AB271" i="19"/>
  <c r="AC271" i="19"/>
  <c r="AD271" i="19"/>
  <c r="AE271" i="19"/>
  <c r="AF271" i="19"/>
  <c r="AH271" i="19"/>
  <c r="AI271" i="19"/>
  <c r="AJ271" i="19"/>
  <c r="AK271" i="19"/>
  <c r="AL271" i="19"/>
  <c r="AM271" i="19"/>
  <c r="AN271" i="19"/>
  <c r="AO271" i="19"/>
  <c r="AP271" i="19"/>
  <c r="AQ271" i="19"/>
  <c r="AB272" i="19"/>
  <c r="AC272" i="19"/>
  <c r="AD272" i="19"/>
  <c r="AE272" i="19"/>
  <c r="AF272" i="19"/>
  <c r="AH272" i="19"/>
  <c r="AI272" i="19"/>
  <c r="AJ272" i="19"/>
  <c r="AK272" i="19"/>
  <c r="AL272" i="19"/>
  <c r="AM272" i="19"/>
  <c r="AN272" i="19"/>
  <c r="AO272" i="19"/>
  <c r="AP272" i="19"/>
  <c r="AQ272" i="19"/>
  <c r="AB273" i="19"/>
  <c r="AC273" i="19"/>
  <c r="AD273" i="19"/>
  <c r="AE273" i="19"/>
  <c r="AF273" i="19"/>
  <c r="AH273" i="19"/>
  <c r="AI273" i="19"/>
  <c r="AJ273" i="19"/>
  <c r="AK273" i="19"/>
  <c r="AL273" i="19"/>
  <c r="AM273" i="19"/>
  <c r="AN273" i="19"/>
  <c r="AO273" i="19"/>
  <c r="AP273" i="19"/>
  <c r="AQ273" i="19"/>
  <c r="AB274" i="19"/>
  <c r="AC274" i="19"/>
  <c r="AD274" i="19"/>
  <c r="AE274" i="19"/>
  <c r="AF274" i="19"/>
  <c r="AH274" i="19"/>
  <c r="AI274" i="19"/>
  <c r="AJ274" i="19"/>
  <c r="AK274" i="19"/>
  <c r="AL274" i="19"/>
  <c r="AM274" i="19"/>
  <c r="AN274" i="19"/>
  <c r="AO274" i="19"/>
  <c r="AP274" i="19"/>
  <c r="AQ274" i="19"/>
  <c r="AB275" i="19"/>
  <c r="AC275" i="19"/>
  <c r="AD275" i="19"/>
  <c r="AE275" i="19"/>
  <c r="AF275" i="19"/>
  <c r="AH275" i="19"/>
  <c r="AI275" i="19"/>
  <c r="AJ275" i="19"/>
  <c r="AK275" i="19"/>
  <c r="AL275" i="19"/>
  <c r="AM275" i="19"/>
  <c r="AN275" i="19"/>
  <c r="AO275" i="19"/>
  <c r="AP275" i="19"/>
  <c r="AQ275" i="19"/>
  <c r="AB276" i="19"/>
  <c r="AC276" i="19"/>
  <c r="AD276" i="19"/>
  <c r="AE276" i="19"/>
  <c r="AF276" i="19"/>
  <c r="AH276" i="19"/>
  <c r="AI276" i="19"/>
  <c r="AJ276" i="19"/>
  <c r="AK276" i="19"/>
  <c r="AL276" i="19"/>
  <c r="AM276" i="19"/>
  <c r="AN276" i="19"/>
  <c r="AO276" i="19"/>
  <c r="AP276" i="19"/>
  <c r="AQ276" i="19"/>
  <c r="AB277" i="19"/>
  <c r="AC277" i="19"/>
  <c r="AD277" i="19"/>
  <c r="AE277" i="19"/>
  <c r="AF277" i="19"/>
  <c r="AH277" i="19"/>
  <c r="AI277" i="19"/>
  <c r="AJ277" i="19"/>
  <c r="AK277" i="19"/>
  <c r="AL277" i="19"/>
  <c r="AM277" i="19"/>
  <c r="AN277" i="19"/>
  <c r="AO277" i="19"/>
  <c r="AP277" i="19"/>
  <c r="AQ277" i="19"/>
  <c r="AB278" i="19"/>
  <c r="AC278" i="19"/>
  <c r="AD278" i="19"/>
  <c r="AE278" i="19"/>
  <c r="AF278" i="19"/>
  <c r="AH278" i="19"/>
  <c r="AI278" i="19"/>
  <c r="AJ278" i="19"/>
  <c r="AK278" i="19"/>
  <c r="AL278" i="19"/>
  <c r="AM278" i="19"/>
  <c r="AN278" i="19"/>
  <c r="AO278" i="19"/>
  <c r="AP278" i="19"/>
  <c r="AQ278" i="19"/>
  <c r="AB279" i="19"/>
  <c r="AC279" i="19"/>
  <c r="AD279" i="19"/>
  <c r="AE279" i="19"/>
  <c r="AF279" i="19"/>
  <c r="AH279" i="19"/>
  <c r="AI279" i="19"/>
  <c r="AJ279" i="19"/>
  <c r="AK279" i="19"/>
  <c r="AL279" i="19"/>
  <c r="AM279" i="19"/>
  <c r="AN279" i="19"/>
  <c r="AO279" i="19"/>
  <c r="AP279" i="19"/>
  <c r="AQ279" i="19"/>
  <c r="AB280" i="19"/>
  <c r="AC280" i="19"/>
  <c r="AD280" i="19"/>
  <c r="AE280" i="19"/>
  <c r="AF280" i="19"/>
  <c r="AH280" i="19"/>
  <c r="AI280" i="19"/>
  <c r="AJ280" i="19"/>
  <c r="AK280" i="19"/>
  <c r="AL280" i="19"/>
  <c r="AM280" i="19"/>
  <c r="AN280" i="19"/>
  <c r="AO280" i="19"/>
  <c r="AP280" i="19"/>
  <c r="AQ280" i="19"/>
  <c r="AB281" i="19"/>
  <c r="AC281" i="19"/>
  <c r="AD281" i="19"/>
  <c r="AE281" i="19"/>
  <c r="AF281" i="19"/>
  <c r="AH281" i="19"/>
  <c r="AI281" i="19"/>
  <c r="AJ281" i="19"/>
  <c r="AK281" i="19"/>
  <c r="AL281" i="19"/>
  <c r="AM281" i="19"/>
  <c r="AN281" i="19"/>
  <c r="AO281" i="19"/>
  <c r="AP281" i="19"/>
  <c r="AQ281" i="19"/>
  <c r="AB282" i="19"/>
  <c r="AC282" i="19"/>
  <c r="AD282" i="19"/>
  <c r="AE282" i="19"/>
  <c r="AF282" i="19"/>
  <c r="AH282" i="19"/>
  <c r="AI282" i="19"/>
  <c r="AJ282" i="19"/>
  <c r="AK282" i="19"/>
  <c r="AL282" i="19"/>
  <c r="AM282" i="19"/>
  <c r="AN282" i="19"/>
  <c r="AO282" i="19"/>
  <c r="AP282" i="19"/>
  <c r="AQ282" i="19"/>
  <c r="AB283" i="19"/>
  <c r="AC283" i="19"/>
  <c r="AD283" i="19"/>
  <c r="AE283" i="19"/>
  <c r="AF283" i="19"/>
  <c r="AH283" i="19"/>
  <c r="AI283" i="19"/>
  <c r="AJ283" i="19"/>
  <c r="AK283" i="19"/>
  <c r="AL283" i="19"/>
  <c r="AM283" i="19"/>
  <c r="AN283" i="19"/>
  <c r="AO283" i="19"/>
  <c r="AP283" i="19"/>
  <c r="AQ283" i="19"/>
  <c r="AB284" i="19"/>
  <c r="AC284" i="19"/>
  <c r="AD284" i="19"/>
  <c r="AE284" i="19"/>
  <c r="AF284" i="19"/>
  <c r="AH284" i="19"/>
  <c r="AI284" i="19"/>
  <c r="AJ284" i="19"/>
  <c r="AK284" i="19"/>
  <c r="AL284" i="19"/>
  <c r="AM284" i="19"/>
  <c r="AN284" i="19"/>
  <c r="AO284" i="19"/>
  <c r="AP284" i="19"/>
  <c r="AQ284" i="19"/>
  <c r="AB285" i="19"/>
  <c r="AC285" i="19"/>
  <c r="AD285" i="19"/>
  <c r="AE285" i="19"/>
  <c r="AF285" i="19"/>
  <c r="AH285" i="19"/>
  <c r="AI285" i="19"/>
  <c r="AJ285" i="19"/>
  <c r="AK285" i="19"/>
  <c r="AL285" i="19"/>
  <c r="AM285" i="19"/>
  <c r="AN285" i="19"/>
  <c r="AO285" i="19"/>
  <c r="AP285" i="19"/>
  <c r="AQ285" i="19"/>
  <c r="AB286" i="19"/>
  <c r="AC286" i="19"/>
  <c r="AD286" i="19"/>
  <c r="AE286" i="19"/>
  <c r="AF286" i="19"/>
  <c r="AH286" i="19"/>
  <c r="AI286" i="19"/>
  <c r="AJ286" i="19"/>
  <c r="AK286" i="19"/>
  <c r="AL286" i="19"/>
  <c r="AM286" i="19"/>
  <c r="AN286" i="19"/>
  <c r="AO286" i="19"/>
  <c r="AP286" i="19"/>
  <c r="AQ286" i="19"/>
  <c r="AB287" i="19"/>
  <c r="AC287" i="19"/>
  <c r="AD287" i="19"/>
  <c r="AE287" i="19"/>
  <c r="AF287" i="19"/>
  <c r="AH287" i="19"/>
  <c r="AI287" i="19"/>
  <c r="AJ287" i="19"/>
  <c r="AK287" i="19"/>
  <c r="AL287" i="19"/>
  <c r="AM287" i="19"/>
  <c r="AN287" i="19"/>
  <c r="AO287" i="19"/>
  <c r="AP287" i="19"/>
  <c r="AQ287" i="19"/>
  <c r="AB288" i="19"/>
  <c r="AC288" i="19"/>
  <c r="AD288" i="19"/>
  <c r="AE288" i="19"/>
  <c r="AF288" i="19"/>
  <c r="AH288" i="19"/>
  <c r="AI288" i="19"/>
  <c r="AJ288" i="19"/>
  <c r="AK288" i="19"/>
  <c r="AL288" i="19"/>
  <c r="AM288" i="19"/>
  <c r="AN288" i="19"/>
  <c r="AO288" i="19"/>
  <c r="AP288" i="19"/>
  <c r="AQ288" i="19"/>
  <c r="AB289" i="19"/>
  <c r="AC289" i="19"/>
  <c r="AD289" i="19"/>
  <c r="AE289" i="19"/>
  <c r="AF289" i="19"/>
  <c r="AH289" i="19"/>
  <c r="AI289" i="19"/>
  <c r="AJ289" i="19"/>
  <c r="AK289" i="19"/>
  <c r="AL289" i="19"/>
  <c r="AM289" i="19"/>
  <c r="AN289" i="19"/>
  <c r="AO289" i="19"/>
  <c r="AP289" i="19"/>
  <c r="AQ289" i="19"/>
  <c r="AB290" i="19"/>
  <c r="AC290" i="19"/>
  <c r="AD290" i="19"/>
  <c r="AE290" i="19"/>
  <c r="AF290" i="19"/>
  <c r="AH290" i="19"/>
  <c r="AI290" i="19"/>
  <c r="AJ290" i="19"/>
  <c r="AK290" i="19"/>
  <c r="AL290" i="19"/>
  <c r="AM290" i="19"/>
  <c r="AN290" i="19"/>
  <c r="AO290" i="19"/>
  <c r="AP290" i="19"/>
  <c r="AQ290" i="19"/>
  <c r="AB291" i="19"/>
  <c r="AC291" i="19"/>
  <c r="AD291" i="19"/>
  <c r="AE291" i="19"/>
  <c r="AF291" i="19"/>
  <c r="AH291" i="19"/>
  <c r="AI291" i="19"/>
  <c r="AJ291" i="19"/>
  <c r="AK291" i="19"/>
  <c r="AL291" i="19"/>
  <c r="AM291" i="19"/>
  <c r="AN291" i="19"/>
  <c r="AO291" i="19"/>
  <c r="AP291" i="19"/>
  <c r="AQ291" i="19"/>
  <c r="AB292" i="19"/>
  <c r="AC292" i="19"/>
  <c r="AD292" i="19"/>
  <c r="AE292" i="19"/>
  <c r="AF292" i="19"/>
  <c r="AH292" i="19"/>
  <c r="AI292" i="19"/>
  <c r="AJ292" i="19"/>
  <c r="AK292" i="19"/>
  <c r="AL292" i="19"/>
  <c r="AM292" i="19"/>
  <c r="AN292" i="19"/>
  <c r="AO292" i="19"/>
  <c r="AP292" i="19"/>
  <c r="AQ292" i="19"/>
  <c r="AB293" i="19"/>
  <c r="AC293" i="19"/>
  <c r="AD293" i="19"/>
  <c r="AE293" i="19"/>
  <c r="AF293" i="19"/>
  <c r="AH293" i="19"/>
  <c r="AI293" i="19"/>
  <c r="AJ293" i="19"/>
  <c r="AK293" i="19"/>
  <c r="AL293" i="19"/>
  <c r="AM293" i="19"/>
  <c r="AN293" i="19"/>
  <c r="AO293" i="19"/>
  <c r="AP293" i="19"/>
  <c r="AQ293" i="19"/>
  <c r="AB294" i="19"/>
  <c r="AC294" i="19"/>
  <c r="AD294" i="19"/>
  <c r="AE294" i="19"/>
  <c r="AF294" i="19"/>
  <c r="AH294" i="19"/>
  <c r="AI294" i="19"/>
  <c r="AJ294" i="19"/>
  <c r="AK294" i="19"/>
  <c r="AL294" i="19"/>
  <c r="AM294" i="19"/>
  <c r="AN294" i="19"/>
  <c r="AO294" i="19"/>
  <c r="AP294" i="19"/>
  <c r="AQ294" i="19"/>
  <c r="AB295" i="19"/>
  <c r="AC295" i="19"/>
  <c r="AD295" i="19"/>
  <c r="AE295" i="19"/>
  <c r="AF295" i="19"/>
  <c r="AH295" i="19"/>
  <c r="AI295" i="19"/>
  <c r="AJ295" i="19"/>
  <c r="AK295" i="19"/>
  <c r="AL295" i="19"/>
  <c r="AM295" i="19"/>
  <c r="AN295" i="19"/>
  <c r="AO295" i="19"/>
  <c r="AP295" i="19"/>
  <c r="AQ295" i="19"/>
  <c r="AB296" i="19"/>
  <c r="AC296" i="19"/>
  <c r="AD296" i="19"/>
  <c r="AE296" i="19"/>
  <c r="AF296" i="19"/>
  <c r="AH296" i="19"/>
  <c r="AI296" i="19"/>
  <c r="AJ296" i="19"/>
  <c r="AK296" i="19"/>
  <c r="AL296" i="19"/>
  <c r="AM296" i="19"/>
  <c r="AN296" i="19"/>
  <c r="AO296" i="19"/>
  <c r="AP296" i="19"/>
  <c r="AQ296" i="19"/>
  <c r="AB297" i="19"/>
  <c r="AC297" i="19"/>
  <c r="AD297" i="19"/>
  <c r="AE297" i="19"/>
  <c r="AF297" i="19"/>
  <c r="AH297" i="19"/>
  <c r="AI297" i="19"/>
  <c r="AJ297" i="19"/>
  <c r="AK297" i="19"/>
  <c r="AL297" i="19"/>
  <c r="AM297" i="19"/>
  <c r="AN297" i="19"/>
  <c r="AO297" i="19"/>
  <c r="AP297" i="19"/>
  <c r="AQ297" i="19"/>
  <c r="AB298" i="19"/>
  <c r="AC298" i="19"/>
  <c r="AD298" i="19"/>
  <c r="AE298" i="19"/>
  <c r="AF298" i="19"/>
  <c r="AH298" i="19"/>
  <c r="AI298" i="19"/>
  <c r="AJ298" i="19"/>
  <c r="AK298" i="19"/>
  <c r="AL298" i="19"/>
  <c r="AM298" i="19"/>
  <c r="AN298" i="19"/>
  <c r="AO298" i="19"/>
  <c r="AP298" i="19"/>
  <c r="AQ298" i="19"/>
  <c r="AB299" i="19"/>
  <c r="AC299" i="19"/>
  <c r="AD299" i="19"/>
  <c r="AE299" i="19"/>
  <c r="AF299" i="19"/>
  <c r="AH299" i="19"/>
  <c r="AI299" i="19"/>
  <c r="AJ299" i="19"/>
  <c r="AK299" i="19"/>
  <c r="AL299" i="19"/>
  <c r="AM299" i="19"/>
  <c r="AN299" i="19"/>
  <c r="AO299" i="19"/>
  <c r="AP299" i="19"/>
  <c r="AQ299" i="19"/>
  <c r="AB300" i="19"/>
  <c r="AC300" i="19"/>
  <c r="AD300" i="19"/>
  <c r="AE300" i="19"/>
  <c r="AF300" i="19"/>
  <c r="AH300" i="19"/>
  <c r="AI300" i="19"/>
  <c r="AJ300" i="19"/>
  <c r="AK300" i="19"/>
  <c r="AL300" i="19"/>
  <c r="AM300" i="19"/>
  <c r="AN300" i="19"/>
  <c r="AO300" i="19"/>
  <c r="AP300" i="19"/>
  <c r="AQ300" i="19"/>
  <c r="AB301" i="19"/>
  <c r="AC301" i="19"/>
  <c r="AD301" i="19"/>
  <c r="AE301" i="19"/>
  <c r="AF301" i="19"/>
  <c r="AH301" i="19"/>
  <c r="AI301" i="19"/>
  <c r="AJ301" i="19"/>
  <c r="AK301" i="19"/>
  <c r="AL301" i="19"/>
  <c r="AM301" i="19"/>
  <c r="AN301" i="19"/>
  <c r="AO301" i="19"/>
  <c r="AP301" i="19"/>
  <c r="AQ301" i="19"/>
  <c r="AB302" i="19"/>
  <c r="AC302" i="19"/>
  <c r="AD302" i="19"/>
  <c r="AE302" i="19"/>
  <c r="AF302" i="19"/>
  <c r="AH302" i="19"/>
  <c r="AI302" i="19"/>
  <c r="AJ302" i="19"/>
  <c r="AK302" i="19"/>
  <c r="AL302" i="19"/>
  <c r="AM302" i="19"/>
  <c r="AN302" i="19"/>
  <c r="AO302" i="19"/>
  <c r="AP302" i="19"/>
  <c r="AQ302" i="19"/>
  <c r="AB303" i="19"/>
  <c r="AC303" i="19"/>
  <c r="AD303" i="19"/>
  <c r="AE303" i="19"/>
  <c r="AF303" i="19"/>
  <c r="AH303" i="19"/>
  <c r="AI303" i="19"/>
  <c r="AJ303" i="19"/>
  <c r="AK303" i="19"/>
  <c r="AL303" i="19"/>
  <c r="AM303" i="19"/>
  <c r="AN303" i="19"/>
  <c r="AO303" i="19"/>
  <c r="AP303" i="19"/>
  <c r="AQ303" i="19"/>
  <c r="AB304" i="19"/>
  <c r="AC304" i="19"/>
  <c r="AD304" i="19"/>
  <c r="AE304" i="19"/>
  <c r="AF304" i="19"/>
  <c r="AH304" i="19"/>
  <c r="AI304" i="19"/>
  <c r="AJ304" i="19"/>
  <c r="AK304" i="19"/>
  <c r="AL304" i="19"/>
  <c r="AM304" i="19"/>
  <c r="AN304" i="19"/>
  <c r="AO304" i="19"/>
  <c r="AP304" i="19"/>
  <c r="AQ304" i="19"/>
  <c r="AB305" i="19"/>
  <c r="AC305" i="19"/>
  <c r="AD305" i="19"/>
  <c r="AE305" i="19"/>
  <c r="AF305" i="19"/>
  <c r="AH305" i="19"/>
  <c r="AI305" i="19"/>
  <c r="AJ305" i="19"/>
  <c r="AK305" i="19"/>
  <c r="AL305" i="19"/>
  <c r="AM305" i="19"/>
  <c r="AN305" i="19"/>
  <c r="AO305" i="19"/>
  <c r="AP305" i="19"/>
  <c r="AQ305" i="19"/>
  <c r="AB306" i="19"/>
  <c r="AC306" i="19"/>
  <c r="AD306" i="19"/>
  <c r="AE306" i="19"/>
  <c r="AF306" i="19"/>
  <c r="AH306" i="19"/>
  <c r="AI306" i="19"/>
  <c r="AJ306" i="19"/>
  <c r="AK306" i="19"/>
  <c r="AL306" i="19"/>
  <c r="AM306" i="19"/>
  <c r="AN306" i="19"/>
  <c r="AO306" i="19"/>
  <c r="AP306" i="19"/>
  <c r="AQ306" i="19"/>
  <c r="AB307" i="19"/>
  <c r="AC307" i="19"/>
  <c r="AD307" i="19"/>
  <c r="AE307" i="19"/>
  <c r="AF307" i="19"/>
  <c r="AH307" i="19"/>
  <c r="AI307" i="19"/>
  <c r="AJ307" i="19"/>
  <c r="AK307" i="19"/>
  <c r="AL307" i="19"/>
  <c r="AM307" i="19"/>
  <c r="AN307" i="19"/>
  <c r="AO307" i="19"/>
  <c r="AP307" i="19"/>
  <c r="AQ307" i="19"/>
  <c r="AB308" i="19"/>
  <c r="AC308" i="19"/>
  <c r="AD308" i="19"/>
  <c r="AE308" i="19"/>
  <c r="AF308" i="19"/>
  <c r="AH308" i="19"/>
  <c r="AI308" i="19"/>
  <c r="AJ308" i="19"/>
  <c r="AK308" i="19"/>
  <c r="AL308" i="19"/>
  <c r="AM308" i="19"/>
  <c r="AN308" i="19"/>
  <c r="AO308" i="19"/>
  <c r="AP308" i="19"/>
  <c r="AQ308" i="19"/>
  <c r="AB309" i="19"/>
  <c r="AC309" i="19"/>
  <c r="AD309" i="19"/>
  <c r="AE309" i="19"/>
  <c r="AF309" i="19"/>
  <c r="AH309" i="19"/>
  <c r="AI309" i="19"/>
  <c r="AJ309" i="19"/>
  <c r="AK309" i="19"/>
  <c r="AL309" i="19"/>
  <c r="AM309" i="19"/>
  <c r="AN309" i="19"/>
  <c r="AO309" i="19"/>
  <c r="AP309" i="19"/>
  <c r="AQ309" i="19"/>
  <c r="AB310" i="19"/>
  <c r="AC310" i="19"/>
  <c r="AD310" i="19"/>
  <c r="AE310" i="19"/>
  <c r="AF310" i="19"/>
  <c r="AH310" i="19"/>
  <c r="AI310" i="19"/>
  <c r="AJ310" i="19"/>
  <c r="AK310" i="19"/>
  <c r="AL310" i="19"/>
  <c r="AM310" i="19"/>
  <c r="AN310" i="19"/>
  <c r="AO310" i="19"/>
  <c r="AP310" i="19"/>
  <c r="AQ310" i="19"/>
  <c r="AB311" i="19"/>
  <c r="AC311" i="19"/>
  <c r="AD311" i="19"/>
  <c r="AE311" i="19"/>
  <c r="AF311" i="19"/>
  <c r="AH311" i="19"/>
  <c r="AI311" i="19"/>
  <c r="AJ311" i="19"/>
  <c r="AK311" i="19"/>
  <c r="AL311" i="19"/>
  <c r="AM311" i="19"/>
  <c r="AN311" i="19"/>
  <c r="AO311" i="19"/>
  <c r="AP311" i="19"/>
  <c r="AQ311" i="19"/>
  <c r="AB312" i="19"/>
  <c r="AC312" i="19"/>
  <c r="AD312" i="19"/>
  <c r="AE312" i="19"/>
  <c r="AF312" i="19"/>
  <c r="AH312" i="19"/>
  <c r="AI312" i="19"/>
  <c r="AJ312" i="19"/>
  <c r="AK312" i="19"/>
  <c r="AL312" i="19"/>
  <c r="AM312" i="19"/>
  <c r="AN312" i="19"/>
  <c r="AO312" i="19"/>
  <c r="AP312" i="19"/>
  <c r="AQ312" i="19"/>
  <c r="AB313" i="19"/>
  <c r="AC313" i="19"/>
  <c r="AD313" i="19"/>
  <c r="AE313" i="19"/>
  <c r="AF313" i="19"/>
  <c r="AH313" i="19"/>
  <c r="AI313" i="19"/>
  <c r="AJ313" i="19"/>
  <c r="AK313" i="19"/>
  <c r="AL313" i="19"/>
  <c r="AM313" i="19"/>
  <c r="AN313" i="19"/>
  <c r="AO313" i="19"/>
  <c r="AP313" i="19"/>
  <c r="AQ313" i="19"/>
  <c r="AB314" i="19"/>
  <c r="AC314" i="19"/>
  <c r="AD314" i="19"/>
  <c r="AE314" i="19"/>
  <c r="AF314" i="19"/>
  <c r="AH314" i="19"/>
  <c r="AI314" i="19"/>
  <c r="AJ314" i="19"/>
  <c r="AK314" i="19"/>
  <c r="AL314" i="19"/>
  <c r="AM314" i="19"/>
  <c r="AN314" i="19"/>
  <c r="AO314" i="19"/>
  <c r="AP314" i="19"/>
  <c r="AQ314" i="19"/>
  <c r="AB315" i="19"/>
  <c r="AC315" i="19"/>
  <c r="AD315" i="19"/>
  <c r="AE315" i="19"/>
  <c r="AF315" i="19"/>
  <c r="AH315" i="19"/>
  <c r="AI315" i="19"/>
  <c r="AJ315" i="19"/>
  <c r="AK315" i="19"/>
  <c r="AL315" i="19"/>
  <c r="AM315" i="19"/>
  <c r="AN315" i="19"/>
  <c r="AO315" i="19"/>
  <c r="AP315" i="19"/>
  <c r="AQ315" i="19"/>
  <c r="AB8" i="19"/>
  <c r="AC8" i="19"/>
  <c r="AD8" i="19"/>
  <c r="AE8" i="19"/>
  <c r="AF8" i="19"/>
  <c r="AH8" i="19"/>
  <c r="AI8" i="19"/>
  <c r="AJ8" i="19"/>
  <c r="AK8" i="19"/>
  <c r="AL8" i="19"/>
  <c r="AM8" i="19"/>
  <c r="AN8" i="19"/>
  <c r="AO8" i="19"/>
  <c r="AP8" i="19"/>
  <c r="AQ8" i="19"/>
  <c r="AB9" i="19"/>
  <c r="AC9" i="19"/>
  <c r="AD9" i="19"/>
  <c r="AE9" i="19"/>
  <c r="AF9" i="19"/>
  <c r="AH9" i="19"/>
  <c r="AI9" i="19"/>
  <c r="AJ9" i="19"/>
  <c r="AK9" i="19"/>
  <c r="AL9" i="19"/>
  <c r="AM9" i="19"/>
  <c r="AN9" i="19"/>
  <c r="AO9" i="19"/>
  <c r="AP9" i="19"/>
  <c r="AQ9" i="19"/>
  <c r="AB10" i="19"/>
  <c r="AC10" i="19"/>
  <c r="AD10" i="19"/>
  <c r="AE10" i="19"/>
  <c r="AF10" i="19"/>
  <c r="AH10" i="19"/>
  <c r="AI10" i="19"/>
  <c r="AJ10" i="19"/>
  <c r="AK10" i="19"/>
  <c r="AL10" i="19"/>
  <c r="AM10" i="19"/>
  <c r="AN10" i="19"/>
  <c r="AO10" i="19"/>
  <c r="AP10" i="19"/>
  <c r="AQ10" i="19"/>
  <c r="AB11" i="19"/>
  <c r="AC11" i="19"/>
  <c r="AD11" i="19"/>
  <c r="AE11" i="19"/>
  <c r="AF11" i="19"/>
  <c r="AH11" i="19"/>
  <c r="AI11" i="19"/>
  <c r="AJ11" i="19"/>
  <c r="AK11" i="19"/>
  <c r="AL11" i="19"/>
  <c r="AM11" i="19"/>
  <c r="AN11" i="19"/>
  <c r="AO11" i="19"/>
  <c r="AP11" i="19"/>
  <c r="AQ11" i="19"/>
  <c r="AB12" i="19"/>
  <c r="AC12" i="19"/>
  <c r="AD12" i="19"/>
  <c r="AE12" i="19"/>
  <c r="AF12" i="19"/>
  <c r="AH12" i="19"/>
  <c r="AI12" i="19"/>
  <c r="AJ12" i="19"/>
  <c r="AK12" i="19"/>
  <c r="AL12" i="19"/>
  <c r="AM12" i="19"/>
  <c r="AN12" i="19"/>
  <c r="AO12" i="19"/>
  <c r="AP12" i="19"/>
  <c r="AQ12" i="19"/>
  <c r="AB13" i="19"/>
  <c r="AC13" i="19"/>
  <c r="AD13" i="19"/>
  <c r="AE13" i="19"/>
  <c r="AF13" i="19"/>
  <c r="AH13" i="19"/>
  <c r="AI13" i="19"/>
  <c r="AJ13" i="19"/>
  <c r="AK13" i="19"/>
  <c r="AL13" i="19"/>
  <c r="AM13" i="19"/>
  <c r="AN13" i="19"/>
  <c r="AO13" i="19"/>
  <c r="AP13" i="19"/>
  <c r="AQ13" i="19"/>
  <c r="AB14" i="19"/>
  <c r="AC14" i="19"/>
  <c r="AD14" i="19"/>
  <c r="AE14" i="19"/>
  <c r="AF14" i="19"/>
  <c r="AH14" i="19"/>
  <c r="AI14" i="19"/>
  <c r="AJ14" i="19"/>
  <c r="AK14" i="19"/>
  <c r="AL14" i="19"/>
  <c r="AM14" i="19"/>
  <c r="AN14" i="19"/>
  <c r="AO14" i="19"/>
  <c r="AP14" i="19"/>
  <c r="AQ14" i="19"/>
  <c r="AB15" i="19"/>
  <c r="AC15" i="19"/>
  <c r="AD15" i="19"/>
  <c r="AE15" i="19"/>
  <c r="AF15" i="19"/>
  <c r="AH15" i="19"/>
  <c r="AI15" i="19"/>
  <c r="AJ15" i="19"/>
  <c r="AK15" i="19"/>
  <c r="AL15" i="19"/>
  <c r="AM15" i="19"/>
  <c r="AN15" i="19"/>
  <c r="AO15" i="19"/>
  <c r="AP15" i="19"/>
  <c r="AQ15" i="19"/>
  <c r="AB16" i="19"/>
  <c r="AC16" i="19"/>
  <c r="AD16" i="19"/>
  <c r="AE16" i="19"/>
  <c r="AF16" i="19"/>
  <c r="AH16" i="19"/>
  <c r="AI16" i="19"/>
  <c r="AJ16" i="19"/>
  <c r="AK16" i="19"/>
  <c r="AL16" i="19"/>
  <c r="AM16" i="19"/>
  <c r="AN16" i="19"/>
  <c r="AO16" i="19"/>
  <c r="AP16" i="19"/>
  <c r="AQ16" i="19"/>
  <c r="AB17" i="19"/>
  <c r="AC17" i="19"/>
  <c r="AD17" i="19"/>
  <c r="AE17" i="19"/>
  <c r="AF17" i="19"/>
  <c r="AH17" i="19"/>
  <c r="AI17" i="19"/>
  <c r="AJ17" i="19"/>
  <c r="AK17" i="19"/>
  <c r="AL17" i="19"/>
  <c r="AM17" i="19"/>
  <c r="AN17" i="19"/>
  <c r="AO17" i="19"/>
  <c r="AP17" i="19"/>
  <c r="AQ17" i="19"/>
  <c r="AB18" i="19"/>
  <c r="AC18" i="19"/>
  <c r="AD18" i="19"/>
  <c r="AE18" i="19"/>
  <c r="AF18" i="19"/>
  <c r="AH18" i="19"/>
  <c r="AI18" i="19"/>
  <c r="AJ18" i="19"/>
  <c r="AK18" i="19"/>
  <c r="AL18" i="19"/>
  <c r="AM18" i="19"/>
  <c r="AN18" i="19"/>
  <c r="AO18" i="19"/>
  <c r="AP18" i="19"/>
  <c r="AQ18" i="19"/>
  <c r="AB19" i="19"/>
  <c r="AC19" i="19"/>
  <c r="AD19" i="19"/>
  <c r="AE19" i="19"/>
  <c r="AF19" i="19"/>
  <c r="AH19" i="19"/>
  <c r="AI19" i="19"/>
  <c r="AJ19" i="19"/>
  <c r="AK19" i="19"/>
  <c r="AL19" i="19"/>
  <c r="AM19" i="19"/>
  <c r="AN19" i="19"/>
  <c r="AO19" i="19"/>
  <c r="AP19" i="19"/>
  <c r="AQ19" i="19"/>
  <c r="AB20" i="19"/>
  <c r="AC20" i="19"/>
  <c r="AD20" i="19"/>
  <c r="AE20" i="19"/>
  <c r="AF20" i="19"/>
  <c r="AH20" i="19"/>
  <c r="AI20" i="19"/>
  <c r="AJ20" i="19"/>
  <c r="AK20" i="19"/>
  <c r="AL20" i="19"/>
  <c r="AM20" i="19"/>
  <c r="AN20" i="19"/>
  <c r="AO20" i="19"/>
  <c r="AP20" i="19"/>
  <c r="AQ20" i="19"/>
  <c r="AB21" i="19"/>
  <c r="AC21" i="19"/>
  <c r="AD21" i="19"/>
  <c r="AE21" i="19"/>
  <c r="AF21" i="19"/>
  <c r="AH21" i="19"/>
  <c r="AI21" i="19"/>
  <c r="AJ21" i="19"/>
  <c r="AK21" i="19"/>
  <c r="AL21" i="19"/>
  <c r="AM21" i="19"/>
  <c r="AN21" i="19"/>
  <c r="AO21" i="19"/>
  <c r="AP21" i="19"/>
  <c r="AQ21" i="19"/>
  <c r="AB22" i="19"/>
  <c r="AC22" i="19"/>
  <c r="AD22" i="19"/>
  <c r="AE22" i="19"/>
  <c r="AF22" i="19"/>
  <c r="AH22" i="19"/>
  <c r="AI22" i="19"/>
  <c r="AJ22" i="19"/>
  <c r="AK22" i="19"/>
  <c r="AL22" i="19"/>
  <c r="AM22" i="19"/>
  <c r="AN22" i="19"/>
  <c r="AO22" i="19"/>
  <c r="AP22" i="19"/>
  <c r="AQ22" i="19"/>
  <c r="AB23" i="19"/>
  <c r="AC23" i="19"/>
  <c r="AD23" i="19"/>
  <c r="AE23" i="19"/>
  <c r="AF23" i="19"/>
  <c r="AH23" i="19"/>
  <c r="AI23" i="19"/>
  <c r="AJ23" i="19"/>
  <c r="AK23" i="19"/>
  <c r="AL23" i="19"/>
  <c r="AM23" i="19"/>
  <c r="AN23" i="19"/>
  <c r="AO23" i="19"/>
  <c r="AP23" i="19"/>
  <c r="AQ23" i="19"/>
  <c r="AI7" i="19"/>
  <c r="AJ7" i="19"/>
  <c r="AK7" i="19"/>
  <c r="AL7" i="19"/>
  <c r="AM7" i="19"/>
  <c r="AN7" i="19"/>
  <c r="AO7" i="19"/>
  <c r="AP7" i="19"/>
  <c r="AQ7" i="19"/>
  <c r="AH7" i="19"/>
  <c r="AF7" i="19"/>
  <c r="AE7" i="19"/>
  <c r="AD7" i="19"/>
  <c r="AC7" i="19"/>
  <c r="AB7" i="19"/>
  <c r="AM6" i="42"/>
  <c r="AN6" i="42"/>
  <c r="AJ316" i="19" l="1"/>
  <c r="AL316" i="19"/>
  <c r="AP316" i="19"/>
  <c r="AO316" i="19"/>
  <c r="AF316" i="19"/>
  <c r="AQ316" i="19"/>
  <c r="AH316" i="19"/>
  <c r="AK316" i="19"/>
  <c r="AC316" i="19"/>
  <c r="AD316" i="19"/>
  <c r="AG316" i="19"/>
  <c r="AB316" i="19"/>
  <c r="AN316" i="19"/>
  <c r="AM316" i="19"/>
  <c r="AI316" i="19"/>
  <c r="AE316" i="19"/>
  <c r="AA316" i="19"/>
  <c r="S316" i="42"/>
  <c r="AL7" i="42"/>
  <c r="AL316" i="42" s="1"/>
  <c r="AO316" i="42"/>
  <c r="AP316" i="42"/>
  <c r="AQ316" i="42"/>
  <c r="Y316" i="42"/>
  <c r="Z316" i="42"/>
  <c r="AA316" i="42"/>
  <c r="AB316" i="42"/>
  <c r="AC316" i="42"/>
  <c r="AD316" i="42"/>
  <c r="AE316" i="42"/>
  <c r="AF316" i="42"/>
  <c r="AG316" i="42"/>
  <c r="AH316" i="42"/>
  <c r="AI316" i="42"/>
  <c r="AJ316" i="42"/>
  <c r="AK316" i="42"/>
  <c r="V316" i="42"/>
  <c r="W316" i="42"/>
  <c r="C3" i="13" l="1"/>
  <c r="A243" i="49" l="1"/>
  <c r="A244" i="49"/>
  <c r="A245" i="49"/>
  <c r="A246" i="49"/>
  <c r="A247" i="49"/>
  <c r="A243" i="39" l="1"/>
  <c r="B243" i="39"/>
  <c r="A244" i="39"/>
  <c r="B244" i="39"/>
  <c r="A244" i="13"/>
  <c r="B244" i="13"/>
  <c r="B244" i="49"/>
  <c r="J8" i="19" l="1"/>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7" i="19"/>
  <c r="A6" i="12" l="1"/>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6" i="37"/>
  <c r="B6" i="37"/>
  <c r="C6" i="37"/>
  <c r="A7" i="37"/>
  <c r="B7" i="37"/>
  <c r="C7" i="37"/>
  <c r="A8" i="37"/>
  <c r="B8" i="37"/>
  <c r="C8" i="37"/>
  <c r="A9" i="37"/>
  <c r="B9" i="37"/>
  <c r="C9" i="37"/>
  <c r="A10" i="37"/>
  <c r="B10" i="37"/>
  <c r="C10" i="37"/>
  <c r="A11" i="37"/>
  <c r="B11" i="37"/>
  <c r="C11" i="37"/>
  <c r="A12" i="37"/>
  <c r="B12" i="37"/>
  <c r="C12" i="37"/>
  <c r="A13" i="37"/>
  <c r="B13" i="37"/>
  <c r="C13" i="37"/>
  <c r="A14" i="37"/>
  <c r="B14" i="37"/>
  <c r="C14" i="37"/>
  <c r="A15" i="37"/>
  <c r="B15" i="37"/>
  <c r="C15" i="37"/>
  <c r="A16" i="37"/>
  <c r="B16" i="37"/>
  <c r="C16" i="37"/>
  <c r="A17" i="37"/>
  <c r="B17" i="37"/>
  <c r="C17" i="37"/>
  <c r="A18" i="37"/>
  <c r="B18" i="37"/>
  <c r="C18" i="37"/>
  <c r="A19" i="37"/>
  <c r="B19" i="37"/>
  <c r="C19" i="37"/>
  <c r="A20" i="37"/>
  <c r="B20" i="37"/>
  <c r="C20" i="37"/>
  <c r="A21" i="37"/>
  <c r="B21" i="37"/>
  <c r="C21" i="37"/>
  <c r="A22" i="37"/>
  <c r="B22" i="37"/>
  <c r="C22" i="37"/>
  <c r="A23" i="37"/>
  <c r="B23" i="37"/>
  <c r="C23" i="37"/>
  <c r="A24" i="37"/>
  <c r="B24" i="37"/>
  <c r="C24" i="37"/>
  <c r="A25" i="37"/>
  <c r="B25" i="37"/>
  <c r="C25" i="37"/>
  <c r="A26" i="37"/>
  <c r="B26" i="37"/>
  <c r="C26" i="37"/>
  <c r="A27" i="37"/>
  <c r="B27" i="37"/>
  <c r="C27" i="37"/>
  <c r="A28" i="37"/>
  <c r="B28" i="37"/>
  <c r="C28" i="37"/>
  <c r="A29" i="37"/>
  <c r="B29" i="37"/>
  <c r="C29" i="37"/>
  <c r="A30" i="37"/>
  <c r="B30" i="37"/>
  <c r="C30" i="37"/>
  <c r="A31" i="37"/>
  <c r="B31" i="37"/>
  <c r="C31" i="37"/>
  <c r="A32" i="37"/>
  <c r="B32" i="37"/>
  <c r="C32" i="37"/>
  <c r="A33" i="37"/>
  <c r="B33" i="37"/>
  <c r="C33" i="37"/>
  <c r="A34" i="37"/>
  <c r="B34" i="37"/>
  <c r="C34" i="37"/>
  <c r="A35" i="37"/>
  <c r="B35" i="37"/>
  <c r="C35" i="37"/>
  <c r="A36" i="37"/>
  <c r="B36" i="37"/>
  <c r="C36" i="37"/>
  <c r="A37" i="37"/>
  <c r="B37" i="37"/>
  <c r="C37" i="37"/>
  <c r="A38" i="37"/>
  <c r="B38" i="37"/>
  <c r="C38" i="37"/>
  <c r="A39" i="37"/>
  <c r="B39" i="37"/>
  <c r="C39" i="37"/>
  <c r="A40" i="37"/>
  <c r="B40" i="37"/>
  <c r="C40" i="37"/>
  <c r="A41" i="37"/>
  <c r="B41" i="37"/>
  <c r="C41" i="37"/>
  <c r="A42" i="37"/>
  <c r="B42" i="37"/>
  <c r="C42" i="37"/>
  <c r="A43" i="37"/>
  <c r="B43" i="37"/>
  <c r="C43" i="37"/>
  <c r="A44" i="37"/>
  <c r="B44" i="37"/>
  <c r="C44" i="37"/>
  <c r="A45" i="37"/>
  <c r="B45" i="37"/>
  <c r="C45" i="37"/>
  <c r="A46" i="37"/>
  <c r="B46" i="37"/>
  <c r="C46" i="37"/>
  <c r="A47" i="37"/>
  <c r="B47" i="37"/>
  <c r="C47" i="37"/>
  <c r="A48" i="37"/>
  <c r="B48" i="37"/>
  <c r="C48" i="37"/>
  <c r="A49" i="37"/>
  <c r="B49" i="37"/>
  <c r="C49" i="37"/>
  <c r="A50" i="37"/>
  <c r="B50" i="37"/>
  <c r="C50" i="37"/>
  <c r="A51" i="37"/>
  <c r="B51" i="37"/>
  <c r="C51" i="37"/>
  <c r="A52" i="37"/>
  <c r="B52" i="37"/>
  <c r="C52" i="37"/>
  <c r="A53" i="37"/>
  <c r="B53" i="37"/>
  <c r="C53" i="37"/>
  <c r="A54" i="37"/>
  <c r="B54" i="37"/>
  <c r="C54" i="37"/>
  <c r="A55" i="37"/>
  <c r="B55" i="37"/>
  <c r="C55" i="37"/>
  <c r="A56" i="37"/>
  <c r="B56" i="37"/>
  <c r="C56" i="37"/>
  <c r="A57" i="37"/>
  <c r="B57" i="37"/>
  <c r="C57" i="37"/>
  <c r="A58" i="37"/>
  <c r="B58" i="37"/>
  <c r="C58" i="37"/>
  <c r="A59" i="37"/>
  <c r="B59" i="37"/>
  <c r="C59" i="37"/>
  <c r="A60" i="37"/>
  <c r="B60" i="37"/>
  <c r="C60" i="37"/>
  <c r="A61" i="37"/>
  <c r="B61" i="37"/>
  <c r="C61" i="37"/>
  <c r="A62" i="37"/>
  <c r="B62" i="37"/>
  <c r="C62" i="37"/>
  <c r="A63" i="37"/>
  <c r="B63" i="37"/>
  <c r="C63" i="37"/>
  <c r="A64" i="37"/>
  <c r="B64" i="37"/>
  <c r="C64" i="37"/>
  <c r="A65" i="37"/>
  <c r="B65" i="37"/>
  <c r="C65" i="37"/>
  <c r="A66" i="37"/>
  <c r="B66" i="37"/>
  <c r="C66" i="37"/>
  <c r="A67" i="37"/>
  <c r="B67" i="37"/>
  <c r="C67" i="37"/>
  <c r="A68" i="37"/>
  <c r="B68" i="37"/>
  <c r="C68" i="37"/>
  <c r="A69" i="37"/>
  <c r="B69" i="37"/>
  <c r="C69" i="37"/>
  <c r="A70" i="37"/>
  <c r="B70" i="37"/>
  <c r="C70" i="37"/>
  <c r="A71" i="37"/>
  <c r="B71" i="37"/>
  <c r="C71" i="37"/>
  <c r="A72" i="37"/>
  <c r="B72" i="37"/>
  <c r="C72" i="37"/>
  <c r="A73" i="37"/>
  <c r="B73" i="37"/>
  <c r="C73" i="37"/>
  <c r="A74" i="37"/>
  <c r="B74" i="37"/>
  <c r="C74" i="37"/>
  <c r="A75" i="37"/>
  <c r="B75" i="37"/>
  <c r="C75" i="37"/>
  <c r="A76" i="37"/>
  <c r="B76" i="37"/>
  <c r="C76" i="37"/>
  <c r="A77" i="37"/>
  <c r="B77" i="37"/>
  <c r="C77" i="37"/>
  <c r="A78" i="37"/>
  <c r="B78" i="37"/>
  <c r="C78" i="37"/>
  <c r="A79" i="37"/>
  <c r="B79" i="37"/>
  <c r="C79" i="37"/>
  <c r="A80" i="37"/>
  <c r="B80" i="37"/>
  <c r="C80" i="37"/>
  <c r="A81" i="37"/>
  <c r="B81" i="37"/>
  <c r="C81" i="37"/>
  <c r="A82" i="37"/>
  <c r="B82" i="37"/>
  <c r="C82" i="37"/>
  <c r="A83" i="37"/>
  <c r="B83" i="37"/>
  <c r="C83" i="37"/>
  <c r="A84" i="37"/>
  <c r="B84" i="37"/>
  <c r="C84" i="37"/>
  <c r="A85" i="37"/>
  <c r="B85" i="37"/>
  <c r="C85" i="37"/>
  <c r="A86" i="37"/>
  <c r="B86" i="37"/>
  <c r="C86" i="37"/>
  <c r="A87" i="37"/>
  <c r="B87" i="37"/>
  <c r="C87" i="37"/>
  <c r="A88" i="37"/>
  <c r="B88" i="37"/>
  <c r="C88" i="37"/>
  <c r="A89" i="37"/>
  <c r="B89" i="37"/>
  <c r="C89" i="37"/>
  <c r="A90" i="37"/>
  <c r="B90" i="37"/>
  <c r="C90" i="37"/>
  <c r="A91" i="37"/>
  <c r="B91" i="37"/>
  <c r="C91" i="37"/>
  <c r="A92" i="37"/>
  <c r="B92" i="37"/>
  <c r="C92" i="37"/>
  <c r="A93" i="37"/>
  <c r="B93" i="37"/>
  <c r="C93" i="37"/>
  <c r="A94" i="37"/>
  <c r="B94" i="37"/>
  <c r="C94" i="37"/>
  <c r="A95" i="37"/>
  <c r="B95" i="37"/>
  <c r="C95" i="37"/>
  <c r="A96" i="37"/>
  <c r="B96" i="37"/>
  <c r="C96" i="37"/>
  <c r="A97" i="37"/>
  <c r="B97" i="37"/>
  <c r="C97" i="37"/>
  <c r="A98" i="37"/>
  <c r="B98" i="37"/>
  <c r="C98" i="37"/>
  <c r="A99" i="37"/>
  <c r="B99" i="37"/>
  <c r="C99" i="37"/>
  <c r="A100" i="37"/>
  <c r="B100" i="37"/>
  <c r="C100" i="37"/>
  <c r="A101" i="37"/>
  <c r="B101" i="37"/>
  <c r="C101" i="37"/>
  <c r="A102" i="37"/>
  <c r="B102" i="37"/>
  <c r="C102" i="37"/>
  <c r="A103" i="37"/>
  <c r="B103" i="37"/>
  <c r="C103" i="37"/>
  <c r="A104" i="37"/>
  <c r="B104" i="37"/>
  <c r="C104" i="37"/>
  <c r="A105" i="37"/>
  <c r="B105" i="37"/>
  <c r="C105" i="37"/>
  <c r="A106" i="37"/>
  <c r="B106" i="37"/>
  <c r="C106" i="37"/>
  <c r="A107" i="37"/>
  <c r="B107" i="37"/>
  <c r="C107" i="37"/>
  <c r="A108" i="37"/>
  <c r="B108" i="37"/>
  <c r="C108" i="37"/>
  <c r="A109" i="37"/>
  <c r="B109" i="37"/>
  <c r="C109" i="37"/>
  <c r="A110" i="37"/>
  <c r="B110" i="37"/>
  <c r="C110" i="37"/>
  <c r="A111" i="37"/>
  <c r="B111" i="37"/>
  <c r="C111" i="37"/>
  <c r="A112" i="37"/>
  <c r="B112" i="37"/>
  <c r="C112" i="37"/>
  <c r="A113" i="37"/>
  <c r="B113" i="37"/>
  <c r="C113" i="37"/>
  <c r="A114" i="37"/>
  <c r="B114" i="37"/>
  <c r="C114" i="37"/>
  <c r="A115" i="37"/>
  <c r="B115" i="37"/>
  <c r="C115" i="37"/>
  <c r="A116" i="37"/>
  <c r="B116" i="37"/>
  <c r="C116" i="37"/>
  <c r="A117" i="37"/>
  <c r="B117" i="37"/>
  <c r="C117" i="37"/>
  <c r="A118" i="37"/>
  <c r="B118" i="37"/>
  <c r="C118" i="37"/>
  <c r="A119" i="37"/>
  <c r="B119" i="37"/>
  <c r="C119" i="37"/>
  <c r="A120" i="37"/>
  <c r="B120" i="37"/>
  <c r="C120" i="37"/>
  <c r="A121" i="37"/>
  <c r="B121" i="37"/>
  <c r="C121" i="37"/>
  <c r="A122" i="37"/>
  <c r="B122" i="37"/>
  <c r="C122" i="37"/>
  <c r="A123" i="37"/>
  <c r="B123" i="37"/>
  <c r="C123" i="37"/>
  <c r="A124" i="37"/>
  <c r="B124" i="37"/>
  <c r="C124" i="37"/>
  <c r="A125" i="37"/>
  <c r="B125" i="37"/>
  <c r="C125" i="37"/>
  <c r="A126" i="37"/>
  <c r="B126" i="37"/>
  <c r="C126" i="37"/>
  <c r="A127" i="37"/>
  <c r="B127" i="37"/>
  <c r="C127" i="37"/>
  <c r="A128" i="37"/>
  <c r="B128" i="37"/>
  <c r="C128" i="37"/>
  <c r="A129" i="37"/>
  <c r="B129" i="37"/>
  <c r="C129" i="37"/>
  <c r="A130" i="37"/>
  <c r="B130" i="37"/>
  <c r="C130" i="37"/>
  <c r="A131" i="37"/>
  <c r="B131" i="37"/>
  <c r="C131" i="37"/>
  <c r="A132" i="37"/>
  <c r="B132" i="37"/>
  <c r="C132" i="37"/>
  <c r="A133" i="37"/>
  <c r="B133" i="37"/>
  <c r="C133" i="37"/>
  <c r="A134" i="37"/>
  <c r="B134" i="37"/>
  <c r="C134" i="37"/>
  <c r="A135" i="37"/>
  <c r="B135" i="37"/>
  <c r="C135" i="37"/>
  <c r="A136" i="37"/>
  <c r="B136" i="37"/>
  <c r="C136" i="37"/>
  <c r="A137" i="37"/>
  <c r="B137" i="37"/>
  <c r="C137" i="37"/>
  <c r="A138" i="37"/>
  <c r="B138" i="37"/>
  <c r="C138" i="37"/>
  <c r="A139" i="37"/>
  <c r="B139" i="37"/>
  <c r="C139" i="37"/>
  <c r="A140" i="37"/>
  <c r="B140" i="37"/>
  <c r="C140" i="37"/>
  <c r="A141" i="37"/>
  <c r="B141" i="37"/>
  <c r="C141" i="37"/>
  <c r="A142" i="37"/>
  <c r="B142" i="37"/>
  <c r="C142" i="37"/>
  <c r="A143" i="37"/>
  <c r="B143" i="37"/>
  <c r="C143" i="37"/>
  <c r="A144" i="37"/>
  <c r="B144" i="37"/>
  <c r="C144" i="37"/>
  <c r="A145" i="37"/>
  <c r="B145" i="37"/>
  <c r="C145" i="37"/>
  <c r="A146" i="37"/>
  <c r="B146" i="37"/>
  <c r="C146" i="37"/>
  <c r="A147" i="37"/>
  <c r="B147" i="37"/>
  <c r="C147" i="37"/>
  <c r="A148" i="37"/>
  <c r="B148" i="37"/>
  <c r="C148" i="37"/>
  <c r="A149" i="37"/>
  <c r="B149" i="37"/>
  <c r="C149" i="37"/>
  <c r="A150" i="37"/>
  <c r="B150" i="37"/>
  <c r="C150" i="37"/>
  <c r="A151" i="37"/>
  <c r="B151" i="37"/>
  <c r="C151" i="37"/>
  <c r="A152" i="37"/>
  <c r="B152" i="37"/>
  <c r="C152" i="37"/>
  <c r="A153" i="37"/>
  <c r="B153" i="37"/>
  <c r="C153" i="37"/>
  <c r="A154" i="37"/>
  <c r="B154" i="37"/>
  <c r="C154" i="37"/>
  <c r="A155" i="37"/>
  <c r="B155" i="37"/>
  <c r="C155" i="37"/>
  <c r="A156" i="37"/>
  <c r="B156" i="37"/>
  <c r="C156" i="37"/>
  <c r="A157" i="37"/>
  <c r="B157" i="37"/>
  <c r="C157" i="37"/>
  <c r="A158" i="37"/>
  <c r="B158" i="37"/>
  <c r="C158" i="37"/>
  <c r="A159" i="37"/>
  <c r="B159" i="37"/>
  <c r="C159" i="37"/>
  <c r="A160" i="37"/>
  <c r="B160" i="37"/>
  <c r="C160" i="37"/>
  <c r="A161" i="37"/>
  <c r="B161" i="37"/>
  <c r="C161" i="37"/>
  <c r="A162" i="37"/>
  <c r="B162" i="37"/>
  <c r="C162" i="37"/>
  <c r="A163" i="37"/>
  <c r="B163" i="37"/>
  <c r="C163" i="37"/>
  <c r="A164" i="37"/>
  <c r="B164" i="37"/>
  <c r="C164" i="37"/>
  <c r="A165" i="37"/>
  <c r="B165" i="37"/>
  <c r="C165" i="37"/>
  <c r="A166" i="37"/>
  <c r="B166" i="37"/>
  <c r="C166" i="37"/>
  <c r="A167" i="37"/>
  <c r="B167" i="37"/>
  <c r="C167" i="37"/>
  <c r="A168" i="37"/>
  <c r="B168" i="37"/>
  <c r="C168" i="37"/>
  <c r="A169" i="37"/>
  <c r="B169" i="37"/>
  <c r="C169" i="37"/>
  <c r="A170" i="37"/>
  <c r="B170" i="37"/>
  <c r="C170" i="37"/>
  <c r="A171" i="37"/>
  <c r="B171" i="37"/>
  <c r="C171" i="37"/>
  <c r="A172" i="37"/>
  <c r="B172" i="37"/>
  <c r="C172" i="37"/>
  <c r="A173" i="37"/>
  <c r="B173" i="37"/>
  <c r="C173" i="37"/>
  <c r="A174" i="37"/>
  <c r="B174" i="37"/>
  <c r="C174" i="37"/>
  <c r="A175" i="37"/>
  <c r="B175" i="37"/>
  <c r="C175" i="37"/>
  <c r="A176" i="37"/>
  <c r="B176" i="37"/>
  <c r="C176" i="37"/>
  <c r="A177" i="37"/>
  <c r="B177" i="37"/>
  <c r="C177" i="37"/>
  <c r="A178" i="37"/>
  <c r="B178" i="37"/>
  <c r="C178" i="37"/>
  <c r="A179" i="37"/>
  <c r="B179" i="37"/>
  <c r="C179" i="37"/>
  <c r="A180" i="37"/>
  <c r="B180" i="37"/>
  <c r="C180" i="37"/>
  <c r="A181" i="37"/>
  <c r="B181" i="37"/>
  <c r="C181" i="37"/>
  <c r="A182" i="37"/>
  <c r="B182" i="37"/>
  <c r="C182" i="37"/>
  <c r="A183" i="37"/>
  <c r="B183" i="37"/>
  <c r="C183" i="37"/>
  <c r="A184" i="37"/>
  <c r="B184" i="37"/>
  <c r="C184" i="37"/>
  <c r="A185" i="37"/>
  <c r="B185" i="37"/>
  <c r="C185" i="37"/>
  <c r="A186" i="37"/>
  <c r="B186" i="37"/>
  <c r="C186" i="37"/>
  <c r="A187" i="37"/>
  <c r="B187" i="37"/>
  <c r="C187" i="37"/>
  <c r="A188" i="37"/>
  <c r="B188" i="37"/>
  <c r="C188" i="37"/>
  <c r="A189" i="37"/>
  <c r="B189" i="37"/>
  <c r="C189" i="37"/>
  <c r="A190" i="37"/>
  <c r="B190" i="37"/>
  <c r="C190" i="37"/>
  <c r="A191" i="37"/>
  <c r="B191" i="37"/>
  <c r="C191" i="37"/>
  <c r="A192" i="37"/>
  <c r="B192" i="37"/>
  <c r="C192" i="37"/>
  <c r="A193" i="37"/>
  <c r="B193" i="37"/>
  <c r="C193" i="37"/>
  <c r="A194" i="37"/>
  <c r="B194" i="37"/>
  <c r="C194" i="37"/>
  <c r="A195" i="37"/>
  <c r="B195" i="37"/>
  <c r="C195" i="37"/>
  <c r="A196" i="37"/>
  <c r="B196" i="37"/>
  <c r="C196" i="37"/>
  <c r="A197" i="37"/>
  <c r="B197" i="37"/>
  <c r="C197" i="37"/>
  <c r="A198" i="37"/>
  <c r="B198" i="37"/>
  <c r="C198" i="37"/>
  <c r="A199" i="37"/>
  <c r="B199" i="37"/>
  <c r="C199" i="37"/>
  <c r="A200" i="37"/>
  <c r="B200" i="37"/>
  <c r="C200" i="37"/>
  <c r="A201" i="37"/>
  <c r="B201" i="37"/>
  <c r="C201" i="37"/>
  <c r="A202" i="37"/>
  <c r="B202" i="37"/>
  <c r="C202" i="37"/>
  <c r="A203" i="37"/>
  <c r="B203" i="37"/>
  <c r="C203" i="37"/>
  <c r="A204" i="37"/>
  <c r="B204" i="37"/>
  <c r="C204" i="37"/>
  <c r="A205" i="37"/>
  <c r="B205" i="37"/>
  <c r="C205" i="37"/>
  <c r="A206" i="37"/>
  <c r="B206" i="37"/>
  <c r="C206" i="37"/>
  <c r="A207" i="37"/>
  <c r="B207" i="37"/>
  <c r="C207" i="37"/>
  <c r="A208" i="37"/>
  <c r="B208" i="37"/>
  <c r="C208" i="37"/>
  <c r="A209" i="37"/>
  <c r="B209" i="37"/>
  <c r="C209" i="37"/>
  <c r="A210" i="37"/>
  <c r="B210" i="37"/>
  <c r="C210" i="37"/>
  <c r="A211" i="37"/>
  <c r="B211" i="37"/>
  <c r="C211" i="37"/>
  <c r="A212" i="37"/>
  <c r="B212" i="37"/>
  <c r="C212" i="37"/>
  <c r="A213" i="37"/>
  <c r="B213" i="37"/>
  <c r="C213" i="37"/>
  <c r="A214" i="37"/>
  <c r="B214" i="37"/>
  <c r="C214" i="37"/>
  <c r="A215" i="37"/>
  <c r="B215" i="37"/>
  <c r="C215" i="37"/>
  <c r="A216" i="37"/>
  <c r="B216" i="37"/>
  <c r="C216" i="37"/>
  <c r="A217" i="37"/>
  <c r="B217" i="37"/>
  <c r="C217" i="37"/>
  <c r="A218" i="37"/>
  <c r="B218" i="37"/>
  <c r="C218" i="37"/>
  <c r="A219" i="37"/>
  <c r="B219" i="37"/>
  <c r="C219" i="37"/>
  <c r="A220" i="37"/>
  <c r="B220" i="37"/>
  <c r="C220" i="37"/>
  <c r="A221" i="37"/>
  <c r="B221" i="37"/>
  <c r="C221" i="37"/>
  <c r="A222" i="37"/>
  <c r="B222" i="37"/>
  <c r="C222" i="37"/>
  <c r="A223" i="37"/>
  <c r="B223" i="37"/>
  <c r="C223" i="37"/>
  <c r="A224" i="37"/>
  <c r="B224" i="37"/>
  <c r="C224" i="37"/>
  <c r="A225" i="37"/>
  <c r="B225" i="37"/>
  <c r="C225" i="37"/>
  <c r="A226" i="37"/>
  <c r="B226" i="37"/>
  <c r="C226" i="37"/>
  <c r="A227" i="37"/>
  <c r="B227" i="37"/>
  <c r="C227" i="37"/>
  <c r="A228" i="37"/>
  <c r="B228" i="37"/>
  <c r="C228" i="37"/>
  <c r="A229" i="37"/>
  <c r="B229" i="37"/>
  <c r="C229" i="37"/>
  <c r="A230" i="37"/>
  <c r="B230" i="37"/>
  <c r="C230" i="37"/>
  <c r="A231" i="37"/>
  <c r="B231" i="37"/>
  <c r="C231" i="37"/>
  <c r="A232" i="37"/>
  <c r="B232" i="37"/>
  <c r="C232" i="37"/>
  <c r="A233" i="37"/>
  <c r="B233" i="37"/>
  <c r="C233" i="37"/>
  <c r="A234" i="37"/>
  <c r="B234" i="37"/>
  <c r="C234" i="37"/>
  <c r="A235" i="37"/>
  <c r="B235" i="37"/>
  <c r="C235" i="37"/>
  <c r="A236" i="37"/>
  <c r="B236" i="37"/>
  <c r="C236" i="37"/>
  <c r="A237" i="37"/>
  <c r="B237" i="37"/>
  <c r="C237" i="37"/>
  <c r="A238" i="37"/>
  <c r="B238" i="37"/>
  <c r="C238" i="37"/>
  <c r="A239" i="37"/>
  <c r="B239" i="37"/>
  <c r="C239" i="37"/>
  <c r="A240" i="37"/>
  <c r="B240" i="37"/>
  <c r="C240" i="37"/>
  <c r="A241" i="37"/>
  <c r="B241" i="37"/>
  <c r="C241" i="37"/>
  <c r="A242" i="37"/>
  <c r="B242" i="37"/>
  <c r="C242" i="37"/>
  <c r="A243" i="37"/>
  <c r="B243" i="37"/>
  <c r="C243" i="37"/>
  <c r="A244" i="37"/>
  <c r="B244" i="37"/>
  <c r="C244" i="37"/>
  <c r="A245" i="37"/>
  <c r="B245" i="37"/>
  <c r="C245" i="37"/>
  <c r="A246" i="37"/>
  <c r="B246" i="37"/>
  <c r="C246" i="37"/>
  <c r="A247" i="37"/>
  <c r="B247" i="37"/>
  <c r="C247" i="37"/>
  <c r="A248" i="37"/>
  <c r="B248" i="37"/>
  <c r="C248" i="37"/>
  <c r="A249" i="37"/>
  <c r="B249" i="37"/>
  <c r="C249" i="37"/>
  <c r="A250" i="37"/>
  <c r="B250" i="37"/>
  <c r="C250" i="37"/>
  <c r="A251" i="37"/>
  <c r="B251" i="37"/>
  <c r="C251" i="37"/>
  <c r="A252" i="37"/>
  <c r="B252" i="37"/>
  <c r="C252" i="37"/>
  <c r="A253" i="37"/>
  <c r="B253" i="37"/>
  <c r="C253" i="37"/>
  <c r="A254" i="37"/>
  <c r="B254" i="37"/>
  <c r="C254" i="37"/>
  <c r="A255" i="37"/>
  <c r="B255" i="37"/>
  <c r="C255" i="37"/>
  <c r="A256" i="37"/>
  <c r="B256" i="37"/>
  <c r="C256" i="37"/>
  <c r="A257" i="37"/>
  <c r="B257" i="37"/>
  <c r="C257" i="37"/>
  <c r="A258" i="37"/>
  <c r="B258" i="37"/>
  <c r="C258" i="37"/>
  <c r="A259" i="37"/>
  <c r="B259" i="37"/>
  <c r="C259" i="37"/>
  <c r="A260" i="37"/>
  <c r="B260" i="37"/>
  <c r="C260" i="37"/>
  <c r="A261" i="37"/>
  <c r="B261" i="37"/>
  <c r="C261" i="37"/>
  <c r="A262" i="37"/>
  <c r="B262" i="37"/>
  <c r="C262" i="37"/>
  <c r="A263" i="37"/>
  <c r="B263" i="37"/>
  <c r="C263" i="37"/>
  <c r="A264" i="37"/>
  <c r="B264" i="37"/>
  <c r="C264" i="37"/>
  <c r="A265" i="37"/>
  <c r="B265" i="37"/>
  <c r="C265" i="37"/>
  <c r="A266" i="37"/>
  <c r="B266" i="37"/>
  <c r="C266" i="37"/>
  <c r="A267" i="37"/>
  <c r="B267" i="37"/>
  <c r="C267" i="37"/>
  <c r="A268" i="37"/>
  <c r="B268" i="37"/>
  <c r="C268" i="37"/>
  <c r="A269" i="37"/>
  <c r="B269" i="37"/>
  <c r="C269" i="37"/>
  <c r="A270" i="37"/>
  <c r="B270" i="37"/>
  <c r="C270" i="37"/>
  <c r="A271" i="37"/>
  <c r="B271" i="37"/>
  <c r="C271" i="37"/>
  <c r="A272" i="37"/>
  <c r="B272" i="37"/>
  <c r="C272" i="37"/>
  <c r="A273" i="37"/>
  <c r="B273" i="37"/>
  <c r="C273" i="37"/>
  <c r="A274" i="37"/>
  <c r="B274" i="37"/>
  <c r="C274" i="37"/>
  <c r="A275" i="37"/>
  <c r="B275" i="37"/>
  <c r="C275" i="37"/>
  <c r="A276" i="37"/>
  <c r="B276" i="37"/>
  <c r="C276" i="37"/>
  <c r="A277" i="37"/>
  <c r="B277" i="37"/>
  <c r="C277" i="37"/>
  <c r="A278" i="37"/>
  <c r="B278" i="37"/>
  <c r="C278" i="37"/>
  <c r="A279" i="37"/>
  <c r="B279" i="37"/>
  <c r="C279" i="37"/>
  <c r="A280" i="37"/>
  <c r="B280" i="37"/>
  <c r="C280" i="37"/>
  <c r="A281" i="37"/>
  <c r="B281" i="37"/>
  <c r="C281" i="37"/>
  <c r="A282" i="37"/>
  <c r="B282" i="37"/>
  <c r="C282" i="37"/>
  <c r="A283" i="37"/>
  <c r="B283" i="37"/>
  <c r="C283" i="37"/>
  <c r="A284" i="37"/>
  <c r="B284" i="37"/>
  <c r="C284" i="37"/>
  <c r="A285" i="37"/>
  <c r="B285" i="37"/>
  <c r="C285" i="37"/>
  <c r="A286" i="37"/>
  <c r="B286" i="37"/>
  <c r="C286" i="37"/>
  <c r="A287" i="37"/>
  <c r="B287" i="37"/>
  <c r="C287" i="37"/>
  <c r="A288" i="37"/>
  <c r="B288" i="37"/>
  <c r="C288" i="37"/>
  <c r="A289" i="37"/>
  <c r="B289" i="37"/>
  <c r="C289" i="37"/>
  <c r="A290" i="37"/>
  <c r="B290" i="37"/>
  <c r="C290" i="37"/>
  <c r="A291" i="37"/>
  <c r="B291" i="37"/>
  <c r="C291" i="37"/>
  <c r="A292" i="37"/>
  <c r="B292" i="37"/>
  <c r="C292" i="37"/>
  <c r="A293" i="37"/>
  <c r="B293" i="37"/>
  <c r="C293" i="37"/>
  <c r="A294" i="37"/>
  <c r="B294" i="37"/>
  <c r="C294" i="37"/>
  <c r="A295" i="37"/>
  <c r="B295" i="37"/>
  <c r="C295" i="37"/>
  <c r="A296" i="37"/>
  <c r="B296" i="37"/>
  <c r="C296" i="37"/>
  <c r="A297" i="37"/>
  <c r="B297" i="37"/>
  <c r="C297" i="37"/>
  <c r="A298" i="37"/>
  <c r="B298" i="37"/>
  <c r="C298" i="37"/>
  <c r="A299" i="37"/>
  <c r="B299" i="37"/>
  <c r="C299" i="37"/>
  <c r="A300" i="37"/>
  <c r="B300" i="37"/>
  <c r="C300" i="37"/>
  <c r="A301" i="37"/>
  <c r="B301" i="37"/>
  <c r="C301" i="37"/>
  <c r="A302" i="37"/>
  <c r="B302" i="37"/>
  <c r="C302" i="37"/>
  <c r="A303" i="37"/>
  <c r="B303" i="37"/>
  <c r="C303" i="37"/>
  <c r="A304" i="37"/>
  <c r="B304" i="37"/>
  <c r="C304" i="37"/>
  <c r="A305" i="37"/>
  <c r="B305" i="37"/>
  <c r="C305" i="37"/>
  <c r="A306" i="37"/>
  <c r="B306" i="37"/>
  <c r="C306" i="37"/>
  <c r="A307" i="37"/>
  <c r="B307" i="37"/>
  <c r="C307" i="37"/>
  <c r="A308" i="37"/>
  <c r="B308" i="37"/>
  <c r="C308" i="37"/>
  <c r="A309" i="37"/>
  <c r="B309" i="37"/>
  <c r="C309" i="37"/>
  <c r="A310" i="37"/>
  <c r="B310" i="37"/>
  <c r="C310" i="37"/>
  <c r="A311" i="37"/>
  <c r="B311" i="37"/>
  <c r="C311" i="37"/>
  <c r="A312" i="37"/>
  <c r="B312" i="37"/>
  <c r="C312" i="37"/>
  <c r="A313" i="37"/>
  <c r="B313" i="37"/>
  <c r="C313" i="37"/>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306" i="11"/>
  <c r="B306" i="11"/>
  <c r="A307" i="11"/>
  <c r="B307" i="11"/>
  <c r="A308" i="11"/>
  <c r="B308" i="11"/>
  <c r="A309" i="11"/>
  <c r="B309" i="11"/>
  <c r="A310" i="11"/>
  <c r="B310" i="11"/>
  <c r="A311" i="11"/>
  <c r="B311" i="11"/>
  <c r="A312" i="11"/>
  <c r="B312" i="11"/>
  <c r="A313" i="11"/>
  <c r="B313" i="11"/>
  <c r="B5" i="11"/>
  <c r="A5" i="11"/>
  <c r="A17" i="34"/>
  <c r="B17" i="34"/>
  <c r="A18" i="34"/>
  <c r="B18" i="34"/>
  <c r="A19" i="34"/>
  <c r="B19" i="34"/>
  <c r="A20" i="34"/>
  <c r="B20" i="34"/>
  <c r="A21" i="34"/>
  <c r="B21" i="34"/>
  <c r="A22" i="34"/>
  <c r="B22" i="34"/>
  <c r="A23" i="34"/>
  <c r="B23" i="34"/>
  <c r="A24" i="34"/>
  <c r="B24" i="34"/>
  <c r="A25" i="34"/>
  <c r="B25" i="34"/>
  <c r="A26" i="34"/>
  <c r="B26" i="34"/>
  <c r="A27" i="34"/>
  <c r="B27" i="34"/>
  <c r="A28" i="34"/>
  <c r="B28" i="34"/>
  <c r="A29" i="34"/>
  <c r="B29" i="34"/>
  <c r="A30" i="34"/>
  <c r="B30" i="34"/>
  <c r="A31" i="34"/>
  <c r="B31" i="34"/>
  <c r="A32" i="34"/>
  <c r="B32" i="34"/>
  <c r="A33" i="34"/>
  <c r="B33" i="34"/>
  <c r="A34" i="34"/>
  <c r="B34" i="34"/>
  <c r="A35" i="34"/>
  <c r="B35" i="34"/>
  <c r="A36" i="34"/>
  <c r="B36" i="34"/>
  <c r="A37" i="34"/>
  <c r="B37" i="34"/>
  <c r="A38" i="34"/>
  <c r="B38" i="34"/>
  <c r="A39" i="34"/>
  <c r="B39" i="34"/>
  <c r="A40" i="34"/>
  <c r="B40" i="34"/>
  <c r="A41" i="34"/>
  <c r="B41" i="34"/>
  <c r="A42" i="34"/>
  <c r="B42" i="34"/>
  <c r="A43" i="34"/>
  <c r="B43" i="34"/>
  <c r="A44" i="34"/>
  <c r="B44" i="34"/>
  <c r="A45" i="34"/>
  <c r="B45" i="34"/>
  <c r="A46" i="34"/>
  <c r="B46" i="34"/>
  <c r="A47" i="34"/>
  <c r="B47" i="34"/>
  <c r="A48" i="34"/>
  <c r="B48" i="34"/>
  <c r="A49" i="34"/>
  <c r="B49" i="34"/>
  <c r="A50" i="34"/>
  <c r="B50" i="34"/>
  <c r="A51" i="34"/>
  <c r="B51" i="34"/>
  <c r="A52" i="34"/>
  <c r="B52" i="34"/>
  <c r="A53" i="34"/>
  <c r="B53" i="34"/>
  <c r="A54" i="34"/>
  <c r="B54" i="34"/>
  <c r="A55" i="34"/>
  <c r="B55" i="34"/>
  <c r="A56" i="34"/>
  <c r="B56" i="34"/>
  <c r="A57" i="34"/>
  <c r="B57" i="34"/>
  <c r="A58" i="34"/>
  <c r="B58" i="34"/>
  <c r="A59" i="34"/>
  <c r="B59" i="34"/>
  <c r="A60" i="34"/>
  <c r="B60" i="34"/>
  <c r="A61" i="34"/>
  <c r="B61" i="34"/>
  <c r="A62" i="34"/>
  <c r="B62" i="34"/>
  <c r="A63" i="34"/>
  <c r="B63" i="34"/>
  <c r="A64" i="34"/>
  <c r="B64" i="34"/>
  <c r="A65" i="34"/>
  <c r="B65" i="34"/>
  <c r="A66" i="34"/>
  <c r="B66" i="34"/>
  <c r="A67" i="34"/>
  <c r="B67" i="34"/>
  <c r="A68" i="34"/>
  <c r="B68" i="34"/>
  <c r="A69" i="34"/>
  <c r="B69" i="34"/>
  <c r="A70" i="34"/>
  <c r="B70" i="34"/>
  <c r="A71" i="34"/>
  <c r="B71" i="34"/>
  <c r="A72" i="34"/>
  <c r="B72" i="34"/>
  <c r="A73" i="34"/>
  <c r="B73" i="34"/>
  <c r="A74" i="34"/>
  <c r="B74" i="34"/>
  <c r="A75" i="34"/>
  <c r="B75" i="34"/>
  <c r="A76" i="34"/>
  <c r="B76" i="34"/>
  <c r="A77" i="34"/>
  <c r="B77" i="34"/>
  <c r="A78" i="34"/>
  <c r="B78" i="34"/>
  <c r="A79" i="34"/>
  <c r="B79" i="34"/>
  <c r="A80" i="34"/>
  <c r="B80" i="34"/>
  <c r="A81" i="34"/>
  <c r="B81" i="34"/>
  <c r="A82" i="34"/>
  <c r="B82" i="34"/>
  <c r="A83" i="34"/>
  <c r="B83" i="34"/>
  <c r="A84" i="34"/>
  <c r="B84" i="34"/>
  <c r="A85" i="34"/>
  <c r="B85" i="34"/>
  <c r="A86" i="34"/>
  <c r="B86" i="34"/>
  <c r="A87" i="34"/>
  <c r="B87" i="34"/>
  <c r="A88" i="34"/>
  <c r="B88" i="34"/>
  <c r="A89" i="34"/>
  <c r="B89" i="34"/>
  <c r="A90" i="34"/>
  <c r="B90" i="34"/>
  <c r="A91" i="34"/>
  <c r="B91" i="34"/>
  <c r="A92" i="34"/>
  <c r="B92" i="34"/>
  <c r="A93" i="34"/>
  <c r="B93" i="34"/>
  <c r="A94" i="34"/>
  <c r="B94" i="34"/>
  <c r="A95" i="34"/>
  <c r="B95" i="34"/>
  <c r="A96" i="34"/>
  <c r="B96" i="34"/>
  <c r="A97" i="34"/>
  <c r="B97" i="34"/>
  <c r="A98" i="34"/>
  <c r="B98" i="34"/>
  <c r="A99" i="34"/>
  <c r="B99" i="34"/>
  <c r="A100" i="34"/>
  <c r="B100" i="34"/>
  <c r="A101" i="34"/>
  <c r="B101" i="34"/>
  <c r="A102" i="34"/>
  <c r="B102" i="34"/>
  <c r="A103" i="34"/>
  <c r="B103" i="34"/>
  <c r="A104" i="34"/>
  <c r="B104" i="34"/>
  <c r="A105" i="34"/>
  <c r="B105" i="34"/>
  <c r="A106" i="34"/>
  <c r="B106" i="34"/>
  <c r="A107" i="34"/>
  <c r="B107" i="34"/>
  <c r="A108" i="34"/>
  <c r="B108" i="34"/>
  <c r="A109" i="34"/>
  <c r="B109" i="34"/>
  <c r="A110" i="34"/>
  <c r="B110" i="34"/>
  <c r="A111" i="34"/>
  <c r="B111" i="34"/>
  <c r="A112" i="34"/>
  <c r="B112" i="34"/>
  <c r="A113" i="34"/>
  <c r="B113" i="34"/>
  <c r="A114" i="34"/>
  <c r="B114" i="34"/>
  <c r="A115" i="34"/>
  <c r="B115" i="34"/>
  <c r="A116" i="34"/>
  <c r="B116" i="34"/>
  <c r="A117" i="34"/>
  <c r="B117" i="34"/>
  <c r="A118" i="34"/>
  <c r="B118" i="34"/>
  <c r="A119" i="34"/>
  <c r="B119" i="34"/>
  <c r="A120" i="34"/>
  <c r="B120" i="34"/>
  <c r="A121" i="34"/>
  <c r="B121" i="34"/>
  <c r="A122" i="34"/>
  <c r="B122" i="34"/>
  <c r="A123" i="34"/>
  <c r="B123" i="34"/>
  <c r="A124" i="34"/>
  <c r="B124" i="34"/>
  <c r="A125" i="34"/>
  <c r="B125" i="34"/>
  <c r="A126" i="34"/>
  <c r="B126" i="34"/>
  <c r="A127" i="34"/>
  <c r="B127" i="34"/>
  <c r="A128" i="34"/>
  <c r="B128" i="34"/>
  <c r="A129" i="34"/>
  <c r="B129" i="34"/>
  <c r="A130" i="34"/>
  <c r="B130" i="34"/>
  <c r="A131" i="34"/>
  <c r="B131" i="34"/>
  <c r="A132" i="34"/>
  <c r="B132" i="34"/>
  <c r="A133" i="34"/>
  <c r="B133" i="34"/>
  <c r="A134" i="34"/>
  <c r="B134" i="34"/>
  <c r="A135" i="34"/>
  <c r="B135" i="34"/>
  <c r="A136" i="34"/>
  <c r="B136" i="34"/>
  <c r="A137" i="34"/>
  <c r="B137" i="34"/>
  <c r="A138" i="34"/>
  <c r="B138" i="34"/>
  <c r="A139" i="34"/>
  <c r="B139" i="34"/>
  <c r="A140" i="34"/>
  <c r="B140" i="34"/>
  <c r="A141" i="34"/>
  <c r="B141" i="34"/>
  <c r="A142" i="34"/>
  <c r="B142" i="34"/>
  <c r="A143" i="34"/>
  <c r="B143" i="34"/>
  <c r="A144" i="34"/>
  <c r="B144" i="34"/>
  <c r="A145" i="34"/>
  <c r="B145" i="34"/>
  <c r="A146" i="34"/>
  <c r="B146" i="34"/>
  <c r="A147" i="34"/>
  <c r="B147" i="34"/>
  <c r="A148" i="34"/>
  <c r="B148" i="34"/>
  <c r="A149" i="34"/>
  <c r="B149" i="34"/>
  <c r="A150" i="34"/>
  <c r="B150" i="34"/>
  <c r="A151" i="34"/>
  <c r="B151" i="34"/>
  <c r="A152" i="34"/>
  <c r="B152" i="34"/>
  <c r="A153" i="34"/>
  <c r="B153" i="34"/>
  <c r="A154" i="34"/>
  <c r="B154" i="34"/>
  <c r="A155" i="34"/>
  <c r="B155" i="34"/>
  <c r="A156" i="34"/>
  <c r="B156" i="34"/>
  <c r="A157" i="34"/>
  <c r="B157" i="34"/>
  <c r="A158" i="34"/>
  <c r="B158" i="34"/>
  <c r="A159" i="34"/>
  <c r="B159" i="34"/>
  <c r="A160" i="34"/>
  <c r="B160" i="34"/>
  <c r="A161" i="34"/>
  <c r="B161" i="34"/>
  <c r="A162" i="34"/>
  <c r="B162" i="34"/>
  <c r="A163" i="34"/>
  <c r="B163" i="34"/>
  <c r="A164" i="34"/>
  <c r="B164" i="34"/>
  <c r="A165" i="34"/>
  <c r="B165" i="34"/>
  <c r="A166" i="34"/>
  <c r="B166" i="34"/>
  <c r="A167" i="34"/>
  <c r="B167" i="34"/>
  <c r="A168" i="34"/>
  <c r="B168" i="34"/>
  <c r="A169" i="34"/>
  <c r="B169" i="34"/>
  <c r="A170" i="34"/>
  <c r="B170" i="34"/>
  <c r="A171" i="34"/>
  <c r="B171" i="34"/>
  <c r="A172" i="34"/>
  <c r="B172" i="34"/>
  <c r="A173" i="34"/>
  <c r="B173" i="34"/>
  <c r="A174" i="34"/>
  <c r="B174" i="34"/>
  <c r="A175" i="34"/>
  <c r="B175" i="34"/>
  <c r="A176" i="34"/>
  <c r="B176" i="34"/>
  <c r="A177" i="34"/>
  <c r="B177" i="34"/>
  <c r="A178" i="34"/>
  <c r="B178" i="34"/>
  <c r="A179" i="34"/>
  <c r="B179" i="34"/>
  <c r="A180" i="34"/>
  <c r="B180" i="34"/>
  <c r="A181" i="34"/>
  <c r="B181" i="34"/>
  <c r="A182" i="34"/>
  <c r="B182" i="34"/>
  <c r="A183" i="34"/>
  <c r="B183" i="34"/>
  <c r="A184" i="34"/>
  <c r="B184" i="34"/>
  <c r="A185" i="34"/>
  <c r="B185" i="34"/>
  <c r="A186" i="34"/>
  <c r="B186" i="34"/>
  <c r="A187" i="34"/>
  <c r="B187" i="34"/>
  <c r="A188" i="34"/>
  <c r="B188" i="34"/>
  <c r="A189" i="34"/>
  <c r="B189" i="34"/>
  <c r="A190" i="34"/>
  <c r="B190" i="34"/>
  <c r="A191" i="34"/>
  <c r="B191" i="34"/>
  <c r="A192" i="34"/>
  <c r="B192" i="34"/>
  <c r="A193" i="34"/>
  <c r="B193" i="34"/>
  <c r="A194" i="34"/>
  <c r="B194" i="34"/>
  <c r="A195" i="34"/>
  <c r="B195" i="34"/>
  <c r="A196" i="34"/>
  <c r="B196" i="34"/>
  <c r="A197" i="34"/>
  <c r="B197" i="34"/>
  <c r="A198" i="34"/>
  <c r="B198" i="34"/>
  <c r="A199" i="34"/>
  <c r="B199" i="34"/>
  <c r="A200" i="34"/>
  <c r="B200" i="34"/>
  <c r="A201" i="34"/>
  <c r="B201" i="34"/>
  <c r="A202" i="34"/>
  <c r="B202" i="34"/>
  <c r="A203" i="34"/>
  <c r="B203" i="34"/>
  <c r="A204" i="34"/>
  <c r="B204" i="34"/>
  <c r="A205" i="34"/>
  <c r="B205" i="34"/>
  <c r="A206" i="34"/>
  <c r="B206" i="34"/>
  <c r="A207" i="34"/>
  <c r="B207" i="34"/>
  <c r="A208" i="34"/>
  <c r="B208" i="34"/>
  <c r="A209" i="34"/>
  <c r="B209" i="34"/>
  <c r="A210" i="34"/>
  <c r="B210" i="34"/>
  <c r="A211" i="34"/>
  <c r="B211" i="34"/>
  <c r="A212" i="34"/>
  <c r="B212" i="34"/>
  <c r="A213" i="34"/>
  <c r="B213" i="34"/>
  <c r="A214" i="34"/>
  <c r="B214" i="34"/>
  <c r="A215" i="34"/>
  <c r="B215" i="34"/>
  <c r="A216" i="34"/>
  <c r="B216" i="34"/>
  <c r="A217" i="34"/>
  <c r="B217" i="34"/>
  <c r="A218" i="34"/>
  <c r="B218" i="34"/>
  <c r="A219" i="34"/>
  <c r="B219" i="34"/>
  <c r="A220" i="34"/>
  <c r="B220" i="34"/>
  <c r="A221" i="34"/>
  <c r="B221" i="34"/>
  <c r="A222" i="34"/>
  <c r="B222" i="34"/>
  <c r="A223" i="34"/>
  <c r="B223" i="34"/>
  <c r="A224" i="34"/>
  <c r="B224" i="34"/>
  <c r="A225" i="34"/>
  <c r="B225" i="34"/>
  <c r="A226" i="34"/>
  <c r="B226" i="34"/>
  <c r="A227" i="34"/>
  <c r="B227" i="34"/>
  <c r="A228" i="34"/>
  <c r="B228" i="34"/>
  <c r="A229" i="34"/>
  <c r="B229" i="34"/>
  <c r="A230" i="34"/>
  <c r="B230" i="34"/>
  <c r="A231" i="34"/>
  <c r="B231" i="34"/>
  <c r="A232" i="34"/>
  <c r="B232" i="34"/>
  <c r="A233" i="34"/>
  <c r="B233" i="34"/>
  <c r="A234" i="34"/>
  <c r="B234" i="34"/>
  <c r="A235" i="34"/>
  <c r="B235" i="34"/>
  <c r="A236" i="34"/>
  <c r="B236" i="34"/>
  <c r="A237" i="34"/>
  <c r="B237" i="34"/>
  <c r="A238" i="34"/>
  <c r="B238" i="34"/>
  <c r="A239" i="34"/>
  <c r="B239" i="34"/>
  <c r="A240" i="34"/>
  <c r="B240" i="34"/>
  <c r="A241" i="34"/>
  <c r="B241" i="34"/>
  <c r="A242" i="34"/>
  <c r="B242" i="34"/>
  <c r="A243" i="34"/>
  <c r="B243" i="34"/>
  <c r="A244" i="34"/>
  <c r="B244" i="34"/>
  <c r="A245" i="34"/>
  <c r="B245" i="34"/>
  <c r="A246" i="34"/>
  <c r="B246" i="34"/>
  <c r="A247" i="34"/>
  <c r="B247" i="34"/>
  <c r="A248" i="34"/>
  <c r="B248" i="34"/>
  <c r="A249" i="34"/>
  <c r="B249" i="34"/>
  <c r="A250" i="34"/>
  <c r="B250" i="34"/>
  <c r="A251" i="34"/>
  <c r="B251" i="34"/>
  <c r="A252" i="34"/>
  <c r="B252" i="34"/>
  <c r="A253" i="34"/>
  <c r="B253" i="34"/>
  <c r="A254" i="34"/>
  <c r="B254" i="34"/>
  <c r="A255" i="34"/>
  <c r="B255" i="34"/>
  <c r="A256" i="34"/>
  <c r="B256" i="34"/>
  <c r="A257" i="34"/>
  <c r="B257" i="34"/>
  <c r="A258" i="34"/>
  <c r="B258" i="34"/>
  <c r="A259" i="34"/>
  <c r="B259" i="34"/>
  <c r="A260" i="34"/>
  <c r="B260" i="34"/>
  <c r="A261" i="34"/>
  <c r="B261" i="34"/>
  <c r="A262" i="34"/>
  <c r="B262" i="34"/>
  <c r="A263" i="34"/>
  <c r="B263" i="34"/>
  <c r="A264" i="34"/>
  <c r="B264" i="34"/>
  <c r="A265" i="34"/>
  <c r="B265" i="34"/>
  <c r="A266" i="34"/>
  <c r="B266" i="34"/>
  <c r="A267" i="34"/>
  <c r="B267" i="34"/>
  <c r="A268" i="34"/>
  <c r="B268" i="34"/>
  <c r="A269" i="34"/>
  <c r="B269" i="34"/>
  <c r="A270" i="34"/>
  <c r="B270" i="34"/>
  <c r="A271" i="34"/>
  <c r="B271" i="34"/>
  <c r="A272" i="34"/>
  <c r="B272" i="34"/>
  <c r="A273" i="34"/>
  <c r="B273" i="34"/>
  <c r="A274" i="34"/>
  <c r="B274" i="34"/>
  <c r="A275" i="34"/>
  <c r="B275" i="34"/>
  <c r="A276" i="34"/>
  <c r="B276" i="34"/>
  <c r="A277" i="34"/>
  <c r="B277" i="34"/>
  <c r="A278" i="34"/>
  <c r="B278" i="34"/>
  <c r="A279" i="34"/>
  <c r="B279" i="34"/>
  <c r="A280" i="34"/>
  <c r="B280" i="34"/>
  <c r="A281" i="34"/>
  <c r="B281" i="34"/>
  <c r="A282" i="34"/>
  <c r="B282" i="34"/>
  <c r="A283" i="34"/>
  <c r="B283" i="34"/>
  <c r="A284" i="34"/>
  <c r="B284" i="34"/>
  <c r="A285" i="34"/>
  <c r="B285" i="34"/>
  <c r="A286" i="34"/>
  <c r="B286" i="34"/>
  <c r="A287" i="34"/>
  <c r="B287" i="34"/>
  <c r="A288" i="34"/>
  <c r="B288" i="34"/>
  <c r="A289" i="34"/>
  <c r="B289" i="34"/>
  <c r="A290" i="34"/>
  <c r="B290" i="34"/>
  <c r="A291" i="34"/>
  <c r="B291" i="34"/>
  <c r="A292" i="34"/>
  <c r="B292" i="34"/>
  <c r="A293" i="34"/>
  <c r="B293" i="34"/>
  <c r="A294" i="34"/>
  <c r="B294" i="34"/>
  <c r="A295" i="34"/>
  <c r="B295" i="34"/>
  <c r="A296" i="34"/>
  <c r="B296" i="34"/>
  <c r="A297" i="34"/>
  <c r="B297" i="34"/>
  <c r="A298" i="34"/>
  <c r="B298" i="34"/>
  <c r="A299" i="34"/>
  <c r="B299" i="34"/>
  <c r="A300" i="34"/>
  <c r="B300" i="34"/>
  <c r="A301" i="34"/>
  <c r="B301" i="34"/>
  <c r="A302" i="34"/>
  <c r="B302" i="34"/>
  <c r="A303" i="34"/>
  <c r="B303" i="34"/>
  <c r="A304" i="34"/>
  <c r="B304" i="34"/>
  <c r="A305" i="34"/>
  <c r="B305" i="34"/>
  <c r="A306" i="34"/>
  <c r="B306" i="34"/>
  <c r="A307" i="34"/>
  <c r="B307" i="34"/>
  <c r="A308" i="34"/>
  <c r="B308" i="34"/>
  <c r="A309" i="34"/>
  <c r="B309" i="34"/>
  <c r="A310" i="34"/>
  <c r="B310" i="34"/>
  <c r="A311" i="34"/>
  <c r="B311" i="34"/>
  <c r="A312" i="34"/>
  <c r="B312" i="34"/>
  <c r="A313" i="34"/>
  <c r="B313" i="34"/>
  <c r="A314" i="34"/>
  <c r="B314" i="34"/>
  <c r="A315" i="34"/>
  <c r="B315" i="34"/>
  <c r="A316" i="34"/>
  <c r="B316" i="34"/>
  <c r="A317" i="34"/>
  <c r="B317" i="34"/>
  <c r="A318" i="34"/>
  <c r="B318" i="34"/>
  <c r="A319" i="34"/>
  <c r="B319" i="34"/>
  <c r="A320" i="34"/>
  <c r="B320" i="34"/>
  <c r="A321" i="34"/>
  <c r="B321" i="34"/>
  <c r="A322" i="34"/>
  <c r="B322" i="34"/>
  <c r="A323" i="34"/>
  <c r="B323" i="34"/>
  <c r="A324" i="34"/>
  <c r="B324"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D161" i="34"/>
  <c r="D162" i="34"/>
  <c r="D163" i="34"/>
  <c r="D164" i="34"/>
  <c r="D165" i="34"/>
  <c r="D166" i="34"/>
  <c r="D167" i="34"/>
  <c r="D168" i="34"/>
  <c r="D169" i="34"/>
  <c r="D170" i="34"/>
  <c r="D171" i="34"/>
  <c r="D172" i="34"/>
  <c r="D173" i="34"/>
  <c r="D174" i="34"/>
  <c r="D175" i="34"/>
  <c r="D176" i="34"/>
  <c r="D177" i="34"/>
  <c r="D178" i="34"/>
  <c r="D179" i="34"/>
  <c r="D180" i="34"/>
  <c r="D181" i="34"/>
  <c r="D182" i="34"/>
  <c r="D183" i="34"/>
  <c r="D184" i="34"/>
  <c r="D185" i="34"/>
  <c r="D186" i="34"/>
  <c r="D187" i="34"/>
  <c r="D188" i="34"/>
  <c r="D189" i="34"/>
  <c r="D190" i="34"/>
  <c r="D191" i="34"/>
  <c r="D192" i="34"/>
  <c r="D193" i="34"/>
  <c r="D194" i="34"/>
  <c r="D195" i="34"/>
  <c r="D196" i="34"/>
  <c r="D197" i="34"/>
  <c r="D198" i="34"/>
  <c r="D199" i="34"/>
  <c r="D200" i="34"/>
  <c r="D201" i="34"/>
  <c r="D202" i="34"/>
  <c r="D203" i="34"/>
  <c r="D204" i="34"/>
  <c r="D205" i="34"/>
  <c r="D206" i="34"/>
  <c r="D207" i="34"/>
  <c r="D208" i="34"/>
  <c r="D209" i="34"/>
  <c r="D210" i="34"/>
  <c r="D211" i="34"/>
  <c r="D212" i="34"/>
  <c r="D213" i="34"/>
  <c r="D214" i="34"/>
  <c r="D215" i="34"/>
  <c r="D216" i="34"/>
  <c r="D217" i="34"/>
  <c r="D218" i="34"/>
  <c r="D219" i="34"/>
  <c r="D220" i="34"/>
  <c r="D221" i="34"/>
  <c r="D222" i="34"/>
  <c r="D223" i="34"/>
  <c r="D224" i="34"/>
  <c r="D225" i="34"/>
  <c r="D226" i="34"/>
  <c r="D227" i="34"/>
  <c r="D228" i="34"/>
  <c r="D229" i="34"/>
  <c r="D230" i="34"/>
  <c r="D231" i="34"/>
  <c r="D232" i="34"/>
  <c r="D233" i="34"/>
  <c r="D234" i="34"/>
  <c r="D235" i="34"/>
  <c r="D236" i="34"/>
  <c r="D237" i="34"/>
  <c r="D238" i="34"/>
  <c r="D239" i="34"/>
  <c r="D240" i="34"/>
  <c r="D241" i="34"/>
  <c r="D242" i="34"/>
  <c r="D243" i="34"/>
  <c r="D244" i="34"/>
  <c r="D245" i="34"/>
  <c r="D246" i="34"/>
  <c r="D247" i="34"/>
  <c r="D248" i="34"/>
  <c r="D249" i="34"/>
  <c r="D250" i="34"/>
  <c r="D251" i="34"/>
  <c r="D252" i="34"/>
  <c r="D253" i="34"/>
  <c r="D254" i="34"/>
  <c r="D255" i="34"/>
  <c r="D256" i="34"/>
  <c r="D257" i="34"/>
  <c r="D258" i="34"/>
  <c r="D259" i="34"/>
  <c r="D260" i="34"/>
  <c r="D261" i="34"/>
  <c r="D262" i="34"/>
  <c r="D263" i="34"/>
  <c r="D264" i="34"/>
  <c r="D265" i="34"/>
  <c r="D266" i="34"/>
  <c r="D267" i="34"/>
  <c r="D268" i="34"/>
  <c r="D269" i="34"/>
  <c r="D270" i="34"/>
  <c r="D271" i="34"/>
  <c r="D272" i="34"/>
  <c r="D273" i="34"/>
  <c r="D274" i="34"/>
  <c r="D275" i="34"/>
  <c r="D276" i="34"/>
  <c r="D277" i="34"/>
  <c r="D278" i="34"/>
  <c r="D279" i="34"/>
  <c r="D280" i="34"/>
  <c r="D281" i="34"/>
  <c r="D282" i="34"/>
  <c r="D283" i="34"/>
  <c r="D284" i="34"/>
  <c r="D285" i="34"/>
  <c r="D286" i="34"/>
  <c r="D287" i="34"/>
  <c r="D288" i="34"/>
  <c r="D289" i="34"/>
  <c r="D290" i="34"/>
  <c r="D291" i="34"/>
  <c r="D292" i="34"/>
  <c r="D293" i="34"/>
  <c r="D294" i="34"/>
  <c r="D295" i="34"/>
  <c r="D296" i="34"/>
  <c r="D297" i="34"/>
  <c r="D298" i="34"/>
  <c r="D299" i="34"/>
  <c r="D300" i="34"/>
  <c r="D301" i="34"/>
  <c r="D302" i="34"/>
  <c r="D303" i="34"/>
  <c r="D304" i="34"/>
  <c r="D305" i="34"/>
  <c r="D306" i="34"/>
  <c r="D307" i="34"/>
  <c r="D308" i="34"/>
  <c r="D309" i="34"/>
  <c r="D310" i="34"/>
  <c r="D311" i="34"/>
  <c r="D312" i="34"/>
  <c r="D313" i="34"/>
  <c r="D314" i="34"/>
  <c r="D315" i="34"/>
  <c r="D316" i="34"/>
  <c r="D317" i="34"/>
  <c r="D318" i="34"/>
  <c r="D319" i="34"/>
  <c r="D320" i="34"/>
  <c r="D321" i="34"/>
  <c r="D322" i="34"/>
  <c r="D323" i="34"/>
  <c r="D324" i="34"/>
  <c r="A9" i="36"/>
  <c r="B9" i="36"/>
  <c r="A10" i="36"/>
  <c r="B10" i="36"/>
  <c r="A11" i="36"/>
  <c r="B11" i="36"/>
  <c r="A12" i="36"/>
  <c r="B12" i="36"/>
  <c r="A13" i="36"/>
  <c r="B13" i="36"/>
  <c r="A14" i="36"/>
  <c r="B14" i="36"/>
  <c r="A15" i="36"/>
  <c r="B15" i="36"/>
  <c r="A16" i="36"/>
  <c r="B16" i="36"/>
  <c r="A17" i="36"/>
  <c r="B17" i="36"/>
  <c r="A18" i="36"/>
  <c r="B18" i="36"/>
  <c r="A19" i="36"/>
  <c r="B19" i="36"/>
  <c r="A20" i="36"/>
  <c r="B20" i="36"/>
  <c r="A21" i="36"/>
  <c r="B21" i="36"/>
  <c r="A22" i="36"/>
  <c r="B22" i="36"/>
  <c r="A23" i="36"/>
  <c r="B23" i="36"/>
  <c r="A24" i="36"/>
  <c r="B24" i="36"/>
  <c r="A25" i="36"/>
  <c r="B25" i="36"/>
  <c r="A26" i="36"/>
  <c r="B26" i="36"/>
  <c r="A27" i="36"/>
  <c r="B27" i="36"/>
  <c r="A28" i="36"/>
  <c r="B28" i="36"/>
  <c r="A29" i="36"/>
  <c r="B29" i="36"/>
  <c r="A30" i="36"/>
  <c r="B30" i="36"/>
  <c r="A31" i="36"/>
  <c r="B31" i="36"/>
  <c r="A32" i="36"/>
  <c r="B32" i="36"/>
  <c r="A33" i="36"/>
  <c r="B33" i="36"/>
  <c r="A34" i="36"/>
  <c r="B34" i="36"/>
  <c r="A35" i="36"/>
  <c r="B35" i="36"/>
  <c r="A36" i="36"/>
  <c r="B36" i="36"/>
  <c r="A37" i="36"/>
  <c r="B37" i="36"/>
  <c r="A38" i="36"/>
  <c r="B38" i="36"/>
  <c r="A39" i="36"/>
  <c r="B39" i="36"/>
  <c r="A40" i="36"/>
  <c r="B40" i="36"/>
  <c r="A41" i="36"/>
  <c r="B41" i="36"/>
  <c r="A42" i="36"/>
  <c r="B42" i="36"/>
  <c r="A43" i="36"/>
  <c r="B43" i="36"/>
  <c r="A44" i="36"/>
  <c r="B44" i="36"/>
  <c r="A45" i="36"/>
  <c r="B45" i="36"/>
  <c r="A46" i="36"/>
  <c r="B46" i="36"/>
  <c r="A47" i="36"/>
  <c r="B47" i="36"/>
  <c r="A48" i="36"/>
  <c r="B48" i="36"/>
  <c r="A49" i="36"/>
  <c r="B49" i="36"/>
  <c r="A50" i="36"/>
  <c r="B50" i="36"/>
  <c r="A51" i="36"/>
  <c r="B51" i="36"/>
  <c r="A52" i="36"/>
  <c r="B52" i="36"/>
  <c r="A53" i="36"/>
  <c r="B53" i="36"/>
  <c r="A54" i="36"/>
  <c r="B54" i="36"/>
  <c r="A55" i="36"/>
  <c r="B55" i="36"/>
  <c r="A56" i="36"/>
  <c r="B56" i="36"/>
  <c r="A57" i="36"/>
  <c r="B57" i="36"/>
  <c r="A58" i="36"/>
  <c r="B58" i="36"/>
  <c r="A59" i="36"/>
  <c r="B59" i="36"/>
  <c r="A60" i="36"/>
  <c r="B60" i="36"/>
  <c r="A61" i="36"/>
  <c r="B61" i="36"/>
  <c r="A62" i="36"/>
  <c r="B62" i="36"/>
  <c r="A63" i="36"/>
  <c r="B63" i="36"/>
  <c r="A64" i="36"/>
  <c r="B64" i="36"/>
  <c r="A65" i="36"/>
  <c r="B65" i="36"/>
  <c r="A66" i="36"/>
  <c r="B66" i="36"/>
  <c r="A67" i="36"/>
  <c r="B67" i="36"/>
  <c r="A68" i="36"/>
  <c r="B68" i="36"/>
  <c r="A69" i="36"/>
  <c r="B69" i="36"/>
  <c r="A70" i="36"/>
  <c r="B70" i="36"/>
  <c r="A71" i="36"/>
  <c r="B71" i="36"/>
  <c r="A72" i="36"/>
  <c r="B72" i="36"/>
  <c r="A73" i="36"/>
  <c r="B73" i="36"/>
  <c r="A74" i="36"/>
  <c r="B74" i="36"/>
  <c r="A75" i="36"/>
  <c r="B75" i="36"/>
  <c r="A76" i="36"/>
  <c r="B76" i="36"/>
  <c r="A77" i="36"/>
  <c r="B77" i="36"/>
  <c r="A78" i="36"/>
  <c r="B78" i="36"/>
  <c r="A79" i="36"/>
  <c r="B79" i="36"/>
  <c r="A80" i="36"/>
  <c r="B80" i="36"/>
  <c r="A81" i="36"/>
  <c r="B81" i="36"/>
  <c r="A82" i="36"/>
  <c r="B82" i="36"/>
  <c r="A83" i="36"/>
  <c r="B83" i="36"/>
  <c r="A84" i="36"/>
  <c r="B84" i="36"/>
  <c r="A85" i="36"/>
  <c r="B85" i="36"/>
  <c r="A86" i="36"/>
  <c r="B86" i="36"/>
  <c r="A87" i="36"/>
  <c r="B87" i="36"/>
  <c r="A88" i="36"/>
  <c r="B88" i="36"/>
  <c r="A89" i="36"/>
  <c r="B89" i="36"/>
  <c r="A90" i="36"/>
  <c r="B90" i="36"/>
  <c r="A91" i="36"/>
  <c r="B91" i="36"/>
  <c r="A92" i="36"/>
  <c r="B92" i="36"/>
  <c r="A93" i="36"/>
  <c r="B93" i="36"/>
  <c r="A94" i="36"/>
  <c r="B94" i="36"/>
  <c r="A95" i="36"/>
  <c r="B95" i="36"/>
  <c r="A96" i="36"/>
  <c r="B96" i="36"/>
  <c r="A97" i="36"/>
  <c r="B97" i="36"/>
  <c r="A98" i="36"/>
  <c r="B98" i="36"/>
  <c r="A99" i="36"/>
  <c r="B99" i="36"/>
  <c r="A100" i="36"/>
  <c r="B100" i="36"/>
  <c r="A101" i="36"/>
  <c r="B101" i="36"/>
  <c r="A102" i="36"/>
  <c r="B102" i="36"/>
  <c r="A103" i="36"/>
  <c r="B103" i="36"/>
  <c r="A104" i="36"/>
  <c r="B104" i="36"/>
  <c r="A105" i="36"/>
  <c r="B105" i="36"/>
  <c r="A106" i="36"/>
  <c r="B106" i="36"/>
  <c r="A107" i="36"/>
  <c r="B107" i="36"/>
  <c r="A108" i="36"/>
  <c r="B108" i="36"/>
  <c r="A109" i="36"/>
  <c r="B109" i="36"/>
  <c r="A110" i="36"/>
  <c r="B110" i="36"/>
  <c r="A111" i="36"/>
  <c r="B111" i="36"/>
  <c r="A112" i="36"/>
  <c r="B112" i="36"/>
  <c r="A113" i="36"/>
  <c r="B113" i="36"/>
  <c r="A114" i="36"/>
  <c r="B114" i="36"/>
  <c r="A115" i="36"/>
  <c r="B115" i="36"/>
  <c r="A116" i="36"/>
  <c r="B116" i="36"/>
  <c r="A117" i="36"/>
  <c r="B117" i="36"/>
  <c r="A118" i="36"/>
  <c r="B118" i="36"/>
  <c r="A119" i="36"/>
  <c r="B119" i="36"/>
  <c r="A120" i="36"/>
  <c r="B120" i="36"/>
  <c r="A121" i="36"/>
  <c r="B121" i="36"/>
  <c r="A122" i="36"/>
  <c r="B122" i="36"/>
  <c r="A123" i="36"/>
  <c r="B123" i="36"/>
  <c r="A124" i="36"/>
  <c r="B124" i="36"/>
  <c r="A125" i="36"/>
  <c r="B125" i="36"/>
  <c r="A126" i="36"/>
  <c r="B126" i="36"/>
  <c r="A127" i="36"/>
  <c r="B127" i="36"/>
  <c r="A128" i="36"/>
  <c r="B128" i="36"/>
  <c r="A129" i="36"/>
  <c r="B129" i="36"/>
  <c r="A130" i="36"/>
  <c r="B130" i="36"/>
  <c r="A131" i="36"/>
  <c r="B131" i="36"/>
  <c r="A132" i="36"/>
  <c r="B132" i="36"/>
  <c r="A133" i="36"/>
  <c r="B133" i="36"/>
  <c r="A134" i="36"/>
  <c r="B134" i="36"/>
  <c r="A135" i="36"/>
  <c r="B135" i="36"/>
  <c r="A136" i="36"/>
  <c r="B136" i="36"/>
  <c r="A137" i="36"/>
  <c r="B137" i="36"/>
  <c r="A138" i="36"/>
  <c r="B138" i="36"/>
  <c r="A139" i="36"/>
  <c r="B139" i="36"/>
  <c r="A140" i="36"/>
  <c r="B140" i="36"/>
  <c r="A141" i="36"/>
  <c r="B141" i="36"/>
  <c r="A142" i="36"/>
  <c r="B142" i="36"/>
  <c r="A143" i="36"/>
  <c r="B143" i="36"/>
  <c r="A144" i="36"/>
  <c r="B144" i="36"/>
  <c r="A145" i="36"/>
  <c r="B145" i="36"/>
  <c r="A146" i="36"/>
  <c r="B146" i="36"/>
  <c r="A147" i="36"/>
  <c r="B147" i="36"/>
  <c r="A148" i="36"/>
  <c r="B148" i="36"/>
  <c r="A149" i="36"/>
  <c r="B149" i="36"/>
  <c r="A150" i="36"/>
  <c r="B150" i="36"/>
  <c r="A151" i="36"/>
  <c r="B151" i="36"/>
  <c r="A152" i="36"/>
  <c r="B152" i="36"/>
  <c r="A153" i="36"/>
  <c r="B153" i="36"/>
  <c r="A154" i="36"/>
  <c r="B154" i="36"/>
  <c r="A155" i="36"/>
  <c r="B155" i="36"/>
  <c r="A156" i="36"/>
  <c r="B156" i="36"/>
  <c r="A157" i="36"/>
  <c r="B157" i="36"/>
  <c r="A158" i="36"/>
  <c r="B158" i="36"/>
  <c r="A159" i="36"/>
  <c r="B159" i="36"/>
  <c r="A160" i="36"/>
  <c r="B160" i="36"/>
  <c r="A161" i="36"/>
  <c r="B161" i="36"/>
  <c r="A162" i="36"/>
  <c r="B162" i="36"/>
  <c r="A163" i="36"/>
  <c r="B163" i="36"/>
  <c r="A164" i="36"/>
  <c r="B164" i="36"/>
  <c r="A165" i="36"/>
  <c r="B165" i="36"/>
  <c r="A166" i="36"/>
  <c r="B166" i="36"/>
  <c r="A167" i="36"/>
  <c r="B167" i="36"/>
  <c r="A168" i="36"/>
  <c r="B168" i="36"/>
  <c r="A169" i="36"/>
  <c r="B169" i="36"/>
  <c r="A170" i="36"/>
  <c r="B170" i="36"/>
  <c r="A171" i="36"/>
  <c r="B171" i="36"/>
  <c r="A172" i="36"/>
  <c r="B172" i="36"/>
  <c r="A173" i="36"/>
  <c r="B173" i="36"/>
  <c r="A174" i="36"/>
  <c r="B174" i="36"/>
  <c r="A175" i="36"/>
  <c r="B175" i="36"/>
  <c r="A176" i="36"/>
  <c r="B176" i="36"/>
  <c r="A177" i="36"/>
  <c r="B177" i="36"/>
  <c r="A178" i="36"/>
  <c r="B178" i="36"/>
  <c r="A179" i="36"/>
  <c r="B179" i="36"/>
  <c r="A180" i="36"/>
  <c r="B180" i="36"/>
  <c r="A181" i="36"/>
  <c r="B181" i="36"/>
  <c r="A182" i="36"/>
  <c r="B182" i="36"/>
  <c r="A183" i="36"/>
  <c r="B183" i="36"/>
  <c r="A184" i="36"/>
  <c r="B184" i="36"/>
  <c r="A185" i="36"/>
  <c r="B185" i="36"/>
  <c r="A186" i="36"/>
  <c r="B186" i="36"/>
  <c r="A187" i="36"/>
  <c r="B187" i="36"/>
  <c r="A188" i="36"/>
  <c r="B188" i="36"/>
  <c r="A189" i="36"/>
  <c r="B189" i="36"/>
  <c r="A190" i="36"/>
  <c r="B190" i="36"/>
  <c r="A191" i="36"/>
  <c r="B191" i="36"/>
  <c r="A192" i="36"/>
  <c r="B192" i="36"/>
  <c r="A193" i="36"/>
  <c r="B193" i="36"/>
  <c r="A194" i="36"/>
  <c r="B194" i="36"/>
  <c r="A195" i="36"/>
  <c r="B195" i="36"/>
  <c r="A196" i="36"/>
  <c r="B196" i="36"/>
  <c r="A197" i="36"/>
  <c r="B197" i="36"/>
  <c r="A198" i="36"/>
  <c r="B198" i="36"/>
  <c r="A199" i="36"/>
  <c r="B199" i="36"/>
  <c r="A200" i="36"/>
  <c r="B200" i="36"/>
  <c r="A201" i="36"/>
  <c r="B201" i="36"/>
  <c r="A202" i="36"/>
  <c r="B202" i="36"/>
  <c r="A203" i="36"/>
  <c r="B203" i="36"/>
  <c r="A204" i="36"/>
  <c r="B204" i="36"/>
  <c r="A205" i="36"/>
  <c r="B205" i="36"/>
  <c r="A206" i="36"/>
  <c r="B206" i="36"/>
  <c r="A207" i="36"/>
  <c r="B207" i="36"/>
  <c r="A208" i="36"/>
  <c r="B208" i="36"/>
  <c r="A209" i="36"/>
  <c r="B209" i="36"/>
  <c r="A210" i="36"/>
  <c r="B210" i="36"/>
  <c r="A211" i="36"/>
  <c r="B211" i="36"/>
  <c r="A212" i="36"/>
  <c r="B212" i="36"/>
  <c r="A213" i="36"/>
  <c r="B213" i="36"/>
  <c r="A214" i="36"/>
  <c r="B214" i="36"/>
  <c r="A215" i="36"/>
  <c r="B215" i="36"/>
  <c r="A216" i="36"/>
  <c r="B216" i="36"/>
  <c r="A217" i="36"/>
  <c r="B217" i="36"/>
  <c r="A218" i="36"/>
  <c r="B218" i="36"/>
  <c r="A219" i="36"/>
  <c r="B219" i="36"/>
  <c r="A220" i="36"/>
  <c r="B220" i="36"/>
  <c r="A221" i="36"/>
  <c r="B221" i="36"/>
  <c r="A222" i="36"/>
  <c r="B222" i="36"/>
  <c r="A223" i="36"/>
  <c r="B223" i="36"/>
  <c r="A224" i="36"/>
  <c r="B224" i="36"/>
  <c r="A225" i="36"/>
  <c r="B225" i="36"/>
  <c r="A226" i="36"/>
  <c r="B226" i="36"/>
  <c r="A227" i="36"/>
  <c r="B227" i="36"/>
  <c r="A228" i="36"/>
  <c r="B228" i="36"/>
  <c r="A229" i="36"/>
  <c r="B229" i="36"/>
  <c r="A230" i="36"/>
  <c r="B230" i="36"/>
  <c r="A231" i="36"/>
  <c r="B231" i="36"/>
  <c r="A232" i="36"/>
  <c r="B232" i="36"/>
  <c r="A233" i="36"/>
  <c r="B233" i="36"/>
  <c r="A234" i="36"/>
  <c r="B234" i="36"/>
  <c r="A235" i="36"/>
  <c r="B235" i="36"/>
  <c r="A236" i="36"/>
  <c r="B236" i="36"/>
  <c r="A237" i="36"/>
  <c r="B237" i="36"/>
  <c r="A238" i="36"/>
  <c r="B238" i="36"/>
  <c r="A239" i="36"/>
  <c r="B239" i="36"/>
  <c r="A240" i="36"/>
  <c r="B240" i="36"/>
  <c r="A241" i="36"/>
  <c r="B241" i="36"/>
  <c r="A242" i="36"/>
  <c r="B242" i="36"/>
  <c r="A243" i="36"/>
  <c r="B243" i="36"/>
  <c r="A244" i="36"/>
  <c r="B244" i="36"/>
  <c r="A245" i="36"/>
  <c r="B245" i="36"/>
  <c r="A246" i="36"/>
  <c r="B246" i="36"/>
  <c r="A247" i="36"/>
  <c r="B247" i="36"/>
  <c r="A248" i="36"/>
  <c r="B248" i="36"/>
  <c r="A249" i="36"/>
  <c r="B249" i="36"/>
  <c r="A250" i="36"/>
  <c r="B250" i="36"/>
  <c r="A251" i="36"/>
  <c r="B251" i="36"/>
  <c r="A252" i="36"/>
  <c r="B252" i="36"/>
  <c r="A253" i="36"/>
  <c r="B253" i="36"/>
  <c r="A254" i="36"/>
  <c r="B254" i="36"/>
  <c r="A255" i="36"/>
  <c r="B255" i="36"/>
  <c r="A256" i="36"/>
  <c r="B256" i="36"/>
  <c r="A257" i="36"/>
  <c r="B257" i="36"/>
  <c r="A258" i="36"/>
  <c r="B258" i="36"/>
  <c r="A259" i="36"/>
  <c r="B259" i="36"/>
  <c r="A260" i="36"/>
  <c r="B260" i="36"/>
  <c r="A261" i="36"/>
  <c r="B261" i="36"/>
  <c r="A262" i="36"/>
  <c r="B262" i="36"/>
  <c r="A263" i="36"/>
  <c r="B263" i="36"/>
  <c r="A264" i="36"/>
  <c r="B264" i="36"/>
  <c r="A265" i="36"/>
  <c r="B265" i="36"/>
  <c r="A266" i="36"/>
  <c r="B266" i="36"/>
  <c r="A267" i="36"/>
  <c r="B267" i="36"/>
  <c r="A268" i="36"/>
  <c r="B268" i="36"/>
  <c r="A269" i="36"/>
  <c r="B269" i="36"/>
  <c r="A270" i="36"/>
  <c r="B270" i="36"/>
  <c r="A271" i="36"/>
  <c r="B271" i="36"/>
  <c r="A272" i="36"/>
  <c r="B272" i="36"/>
  <c r="A273" i="36"/>
  <c r="B273" i="36"/>
  <c r="A274" i="36"/>
  <c r="B274" i="36"/>
  <c r="A275" i="36"/>
  <c r="B275" i="36"/>
  <c r="A276" i="36"/>
  <c r="B276" i="36"/>
  <c r="A277" i="36"/>
  <c r="B277" i="36"/>
  <c r="A278" i="36"/>
  <c r="B278" i="36"/>
  <c r="A279" i="36"/>
  <c r="B279" i="36"/>
  <c r="A280" i="36"/>
  <c r="B280" i="36"/>
  <c r="A281" i="36"/>
  <c r="B281" i="36"/>
  <c r="A282" i="36"/>
  <c r="B282" i="36"/>
  <c r="A283" i="36"/>
  <c r="B283" i="36"/>
  <c r="A284" i="36"/>
  <c r="B284" i="36"/>
  <c r="A285" i="36"/>
  <c r="B285" i="36"/>
  <c r="A286" i="36"/>
  <c r="B286" i="36"/>
  <c r="A287" i="36"/>
  <c r="B287" i="36"/>
  <c r="A288" i="36"/>
  <c r="B288" i="36"/>
  <c r="A289" i="36"/>
  <c r="B289" i="36"/>
  <c r="A290" i="36"/>
  <c r="B290" i="36"/>
  <c r="A291" i="36"/>
  <c r="B291" i="36"/>
  <c r="A292" i="36"/>
  <c r="B292" i="36"/>
  <c r="A293" i="36"/>
  <c r="B293" i="36"/>
  <c r="A294" i="36"/>
  <c r="B294" i="36"/>
  <c r="A295" i="36"/>
  <c r="B295" i="36"/>
  <c r="A296" i="36"/>
  <c r="B296" i="36"/>
  <c r="A297" i="36"/>
  <c r="B297" i="36"/>
  <c r="A298" i="36"/>
  <c r="B298" i="36"/>
  <c r="A299" i="36"/>
  <c r="B299" i="36"/>
  <c r="A300" i="36"/>
  <c r="B300" i="36"/>
  <c r="A301" i="36"/>
  <c r="B301" i="36"/>
  <c r="A302" i="36"/>
  <c r="B302" i="36"/>
  <c r="A303" i="36"/>
  <c r="B303" i="36"/>
  <c r="A304" i="36"/>
  <c r="B304" i="36"/>
  <c r="A305" i="36"/>
  <c r="B305" i="36"/>
  <c r="A306" i="36"/>
  <c r="B306" i="36"/>
  <c r="A307" i="36"/>
  <c r="B307" i="36"/>
  <c r="A308" i="36"/>
  <c r="B308" i="36"/>
  <c r="A309" i="36"/>
  <c r="B309" i="36"/>
  <c r="A310" i="36"/>
  <c r="B310" i="36"/>
  <c r="A311" i="36"/>
  <c r="B311" i="36"/>
  <c r="A312" i="36"/>
  <c r="B312" i="36"/>
  <c r="A313" i="36"/>
  <c r="B313" i="36"/>
  <c r="A314" i="36"/>
  <c r="B314" i="36"/>
  <c r="A315" i="36"/>
  <c r="B315" i="36"/>
  <c r="A316" i="36"/>
  <c r="B316" i="36"/>
  <c r="A12" i="9"/>
  <c r="B12" i="9"/>
  <c r="A13" i="9"/>
  <c r="B13" i="9"/>
  <c r="A14" i="9"/>
  <c r="B14" i="9"/>
  <c r="A15" i="9"/>
  <c r="B15" i="9"/>
  <c r="A16" i="9"/>
  <c r="B16" i="9"/>
  <c r="A17" i="9"/>
  <c r="B17" i="9"/>
  <c r="A18" i="9"/>
  <c r="B18" i="9"/>
  <c r="A19" i="9"/>
  <c r="B19" i="9"/>
  <c r="A20" i="9"/>
  <c r="B20" i="9"/>
  <c r="A21" i="9"/>
  <c r="B21" i="9"/>
  <c r="A22" i="9"/>
  <c r="B22" i="9"/>
  <c r="A23" i="9"/>
  <c r="B23" i="9"/>
  <c r="A24" i="9"/>
  <c r="B24" i="9"/>
  <c r="A25" i="9"/>
  <c r="B25" i="9"/>
  <c r="A26" i="9"/>
  <c r="B26" i="9"/>
  <c r="A27" i="9"/>
  <c r="B27" i="9"/>
  <c r="A28" i="9"/>
  <c r="B28" i="9"/>
  <c r="A29" i="9"/>
  <c r="B29" i="9"/>
  <c r="A30" i="9"/>
  <c r="B30" i="9"/>
  <c r="A31" i="9"/>
  <c r="B31" i="9"/>
  <c r="A32" i="9"/>
  <c r="B32" i="9"/>
  <c r="A33" i="9"/>
  <c r="B33" i="9"/>
  <c r="A34" i="9"/>
  <c r="B34" i="9"/>
  <c r="A35" i="9"/>
  <c r="B35" i="9"/>
  <c r="A36" i="9"/>
  <c r="B36" i="9"/>
  <c r="A37" i="9"/>
  <c r="B37" i="9"/>
  <c r="A38" i="9"/>
  <c r="B38" i="9"/>
  <c r="A39" i="9"/>
  <c r="B39" i="9"/>
  <c r="A40" i="9"/>
  <c r="B40" i="9"/>
  <c r="A41" i="9"/>
  <c r="B41" i="9"/>
  <c r="A42" i="9"/>
  <c r="B42" i="9"/>
  <c r="A43" i="9"/>
  <c r="B43" i="9"/>
  <c r="A44" i="9"/>
  <c r="B44" i="9"/>
  <c r="A45" i="9"/>
  <c r="B45" i="9"/>
  <c r="A46" i="9"/>
  <c r="B46" i="9"/>
  <c r="A47" i="9"/>
  <c r="B47" i="9"/>
  <c r="A48" i="9"/>
  <c r="B48" i="9"/>
  <c r="A49" i="9"/>
  <c r="B49" i="9"/>
  <c r="A50" i="9"/>
  <c r="B50" i="9"/>
  <c r="A51" i="9"/>
  <c r="B51" i="9"/>
  <c r="A52" i="9"/>
  <c r="B52" i="9"/>
  <c r="A53" i="9"/>
  <c r="B53" i="9"/>
  <c r="A54" i="9"/>
  <c r="B54" i="9"/>
  <c r="A55" i="9"/>
  <c r="B55" i="9"/>
  <c r="A56" i="9"/>
  <c r="B56" i="9"/>
  <c r="A57" i="9"/>
  <c r="B57" i="9"/>
  <c r="A58" i="9"/>
  <c r="B58" i="9"/>
  <c r="A59" i="9"/>
  <c r="B59" i="9"/>
  <c r="A60" i="9"/>
  <c r="B60" i="9"/>
  <c r="A61" i="9"/>
  <c r="B61" i="9"/>
  <c r="A62" i="9"/>
  <c r="B62" i="9"/>
  <c r="A63" i="9"/>
  <c r="B63" i="9"/>
  <c r="A64" i="9"/>
  <c r="B64" i="9"/>
  <c r="A65" i="9"/>
  <c r="B65" i="9"/>
  <c r="A66" i="9"/>
  <c r="B66" i="9"/>
  <c r="A67" i="9"/>
  <c r="B67" i="9"/>
  <c r="A68" i="9"/>
  <c r="B68" i="9"/>
  <c r="A69" i="9"/>
  <c r="B69" i="9"/>
  <c r="A70" i="9"/>
  <c r="B70" i="9"/>
  <c r="A71" i="9"/>
  <c r="B71" i="9"/>
  <c r="A72" i="9"/>
  <c r="B72" i="9"/>
  <c r="A73" i="9"/>
  <c r="B73" i="9"/>
  <c r="A74" i="9"/>
  <c r="B74" i="9"/>
  <c r="A75" i="9"/>
  <c r="B75" i="9"/>
  <c r="A76" i="9"/>
  <c r="B76" i="9"/>
  <c r="A77" i="9"/>
  <c r="B77" i="9"/>
  <c r="A78" i="9"/>
  <c r="B78" i="9"/>
  <c r="A79" i="9"/>
  <c r="B79" i="9"/>
  <c r="A80" i="9"/>
  <c r="B80" i="9"/>
  <c r="A81" i="9"/>
  <c r="B81" i="9"/>
  <c r="A82" i="9"/>
  <c r="B82" i="9"/>
  <c r="A83" i="9"/>
  <c r="B83" i="9"/>
  <c r="A84" i="9"/>
  <c r="B84" i="9"/>
  <c r="A85" i="9"/>
  <c r="B85" i="9"/>
  <c r="A86" i="9"/>
  <c r="B86" i="9"/>
  <c r="A87" i="9"/>
  <c r="B87" i="9"/>
  <c r="A88" i="9"/>
  <c r="B88" i="9"/>
  <c r="A89" i="9"/>
  <c r="B89" i="9"/>
  <c r="A90" i="9"/>
  <c r="B90" i="9"/>
  <c r="A91" i="9"/>
  <c r="B91" i="9"/>
  <c r="A92" i="9"/>
  <c r="B92" i="9"/>
  <c r="A93" i="9"/>
  <c r="B93" i="9"/>
  <c r="A94" i="9"/>
  <c r="B94" i="9"/>
  <c r="A95" i="9"/>
  <c r="B95" i="9"/>
  <c r="A96" i="9"/>
  <c r="B96" i="9"/>
  <c r="A97" i="9"/>
  <c r="B97" i="9"/>
  <c r="A98" i="9"/>
  <c r="B98" i="9"/>
  <c r="A99" i="9"/>
  <c r="B99" i="9"/>
  <c r="A100" i="9"/>
  <c r="B100" i="9"/>
  <c r="A101" i="9"/>
  <c r="B101" i="9"/>
  <c r="A102" i="9"/>
  <c r="B102" i="9"/>
  <c r="A103" i="9"/>
  <c r="B103" i="9"/>
  <c r="A104" i="9"/>
  <c r="B104" i="9"/>
  <c r="A105" i="9"/>
  <c r="B105" i="9"/>
  <c r="A106" i="9"/>
  <c r="B106" i="9"/>
  <c r="A107" i="9"/>
  <c r="B107" i="9"/>
  <c r="A108" i="9"/>
  <c r="B108" i="9"/>
  <c r="A109" i="9"/>
  <c r="B109" i="9"/>
  <c r="A110" i="9"/>
  <c r="B110" i="9"/>
  <c r="A111" i="9"/>
  <c r="B111" i="9"/>
  <c r="A112" i="9"/>
  <c r="B112" i="9"/>
  <c r="A113" i="9"/>
  <c r="B113" i="9"/>
  <c r="A114" i="9"/>
  <c r="B114" i="9"/>
  <c r="A115" i="9"/>
  <c r="B115" i="9"/>
  <c r="A116" i="9"/>
  <c r="B116" i="9"/>
  <c r="A117" i="9"/>
  <c r="B117" i="9"/>
  <c r="A118" i="9"/>
  <c r="B118" i="9"/>
  <c r="A119" i="9"/>
  <c r="B119" i="9"/>
  <c r="A120" i="9"/>
  <c r="B120" i="9"/>
  <c r="A121" i="9"/>
  <c r="B121" i="9"/>
  <c r="A122" i="9"/>
  <c r="B122" i="9"/>
  <c r="A123" i="9"/>
  <c r="B123" i="9"/>
  <c r="A124" i="9"/>
  <c r="B124" i="9"/>
  <c r="A125" i="9"/>
  <c r="B125" i="9"/>
  <c r="A126" i="9"/>
  <c r="B126" i="9"/>
  <c r="A127" i="9"/>
  <c r="B127" i="9"/>
  <c r="A128" i="9"/>
  <c r="B128" i="9"/>
  <c r="A129" i="9"/>
  <c r="B129" i="9"/>
  <c r="A130" i="9"/>
  <c r="B130" i="9"/>
  <c r="A131" i="9"/>
  <c r="B131" i="9"/>
  <c r="A132" i="9"/>
  <c r="B132" i="9"/>
  <c r="A133" i="9"/>
  <c r="B133" i="9"/>
  <c r="A134" i="9"/>
  <c r="B134" i="9"/>
  <c r="A135" i="9"/>
  <c r="B135" i="9"/>
  <c r="A136" i="9"/>
  <c r="B136" i="9"/>
  <c r="A137" i="9"/>
  <c r="B137" i="9"/>
  <c r="A138" i="9"/>
  <c r="B138" i="9"/>
  <c r="A139" i="9"/>
  <c r="B139" i="9"/>
  <c r="A140" i="9"/>
  <c r="B140" i="9"/>
  <c r="A141" i="9"/>
  <c r="B141" i="9"/>
  <c r="A142" i="9"/>
  <c r="B142" i="9"/>
  <c r="A143" i="9"/>
  <c r="B143" i="9"/>
  <c r="A144" i="9"/>
  <c r="B144" i="9"/>
  <c r="A145" i="9"/>
  <c r="B145" i="9"/>
  <c r="A146" i="9"/>
  <c r="B146" i="9"/>
  <c r="A147" i="9"/>
  <c r="B147" i="9"/>
  <c r="A148" i="9"/>
  <c r="B148" i="9"/>
  <c r="A149" i="9"/>
  <c r="B149" i="9"/>
  <c r="A150" i="9"/>
  <c r="B150" i="9"/>
  <c r="A151" i="9"/>
  <c r="B151" i="9"/>
  <c r="A152" i="9"/>
  <c r="B152" i="9"/>
  <c r="A153" i="9"/>
  <c r="B153" i="9"/>
  <c r="A154" i="9"/>
  <c r="B154" i="9"/>
  <c r="A155" i="9"/>
  <c r="B155" i="9"/>
  <c r="A156" i="9"/>
  <c r="B156" i="9"/>
  <c r="A157" i="9"/>
  <c r="B157" i="9"/>
  <c r="A158" i="9"/>
  <c r="B158" i="9"/>
  <c r="A159" i="9"/>
  <c r="B159" i="9"/>
  <c r="A160" i="9"/>
  <c r="B160" i="9"/>
  <c r="A161" i="9"/>
  <c r="B161" i="9"/>
  <c r="A162" i="9"/>
  <c r="B162" i="9"/>
  <c r="A163" i="9"/>
  <c r="B163" i="9"/>
  <c r="A164" i="9"/>
  <c r="B164" i="9"/>
  <c r="A165" i="9"/>
  <c r="B165" i="9"/>
  <c r="A166" i="9"/>
  <c r="B166" i="9"/>
  <c r="A167" i="9"/>
  <c r="B167" i="9"/>
  <c r="A168" i="9"/>
  <c r="B168" i="9"/>
  <c r="A169" i="9"/>
  <c r="B169" i="9"/>
  <c r="A170" i="9"/>
  <c r="B170" i="9"/>
  <c r="A171" i="9"/>
  <c r="B171" i="9"/>
  <c r="A172" i="9"/>
  <c r="B172" i="9"/>
  <c r="A173" i="9"/>
  <c r="B173" i="9"/>
  <c r="A174" i="9"/>
  <c r="B174" i="9"/>
  <c r="A175" i="9"/>
  <c r="B175" i="9"/>
  <c r="A176" i="9"/>
  <c r="B176" i="9"/>
  <c r="A177" i="9"/>
  <c r="B177" i="9"/>
  <c r="A178" i="9"/>
  <c r="B178" i="9"/>
  <c r="A179" i="9"/>
  <c r="B179" i="9"/>
  <c r="A180" i="9"/>
  <c r="B180" i="9"/>
  <c r="A181" i="9"/>
  <c r="B181" i="9"/>
  <c r="A182" i="9"/>
  <c r="B182" i="9"/>
  <c r="A183" i="9"/>
  <c r="B183" i="9"/>
  <c r="A184" i="9"/>
  <c r="B184" i="9"/>
  <c r="A185" i="9"/>
  <c r="B185" i="9"/>
  <c r="A186" i="9"/>
  <c r="B186" i="9"/>
  <c r="A187" i="9"/>
  <c r="B187" i="9"/>
  <c r="A188" i="9"/>
  <c r="B188" i="9"/>
  <c r="A189" i="9"/>
  <c r="B189" i="9"/>
  <c r="A190" i="9"/>
  <c r="B190" i="9"/>
  <c r="A191" i="9"/>
  <c r="B191" i="9"/>
  <c r="A192" i="9"/>
  <c r="B192" i="9"/>
  <c r="A193" i="9"/>
  <c r="B193" i="9"/>
  <c r="A194" i="9"/>
  <c r="B194" i="9"/>
  <c r="A195" i="9"/>
  <c r="B195" i="9"/>
  <c r="A196" i="9"/>
  <c r="B196" i="9"/>
  <c r="A197" i="9"/>
  <c r="B197" i="9"/>
  <c r="A198" i="9"/>
  <c r="B198" i="9"/>
  <c r="A199" i="9"/>
  <c r="B199" i="9"/>
  <c r="A200" i="9"/>
  <c r="B200" i="9"/>
  <c r="A201" i="9"/>
  <c r="B201" i="9"/>
  <c r="A202" i="9"/>
  <c r="B202" i="9"/>
  <c r="A203" i="9"/>
  <c r="B203" i="9"/>
  <c r="A204" i="9"/>
  <c r="B204" i="9"/>
  <c r="A205" i="9"/>
  <c r="B205" i="9"/>
  <c r="A206" i="9"/>
  <c r="B206" i="9"/>
  <c r="A207" i="9"/>
  <c r="B207" i="9"/>
  <c r="A208" i="9"/>
  <c r="B208" i="9"/>
  <c r="A209" i="9"/>
  <c r="B209" i="9"/>
  <c r="A210" i="9"/>
  <c r="B210" i="9"/>
  <c r="A211" i="9"/>
  <c r="B211" i="9"/>
  <c r="A212" i="9"/>
  <c r="B212" i="9"/>
  <c r="A213" i="9"/>
  <c r="B213" i="9"/>
  <c r="A214" i="9"/>
  <c r="B214" i="9"/>
  <c r="A215" i="9"/>
  <c r="B215" i="9"/>
  <c r="A216" i="9"/>
  <c r="B216" i="9"/>
  <c r="A217" i="9"/>
  <c r="B217" i="9"/>
  <c r="A218" i="9"/>
  <c r="B218" i="9"/>
  <c r="A219" i="9"/>
  <c r="B219" i="9"/>
  <c r="A220" i="9"/>
  <c r="B220" i="9"/>
  <c r="A221" i="9"/>
  <c r="B221" i="9"/>
  <c r="A222" i="9"/>
  <c r="B222" i="9"/>
  <c r="A223" i="9"/>
  <c r="B223" i="9"/>
  <c r="A224" i="9"/>
  <c r="B224" i="9"/>
  <c r="A225" i="9"/>
  <c r="B225" i="9"/>
  <c r="A226" i="9"/>
  <c r="B226" i="9"/>
  <c r="A227" i="9"/>
  <c r="B227" i="9"/>
  <c r="A228" i="9"/>
  <c r="B228" i="9"/>
  <c r="A229" i="9"/>
  <c r="B229" i="9"/>
  <c r="A230" i="9"/>
  <c r="B230" i="9"/>
  <c r="A231" i="9"/>
  <c r="B231" i="9"/>
  <c r="A232" i="9"/>
  <c r="B232" i="9"/>
  <c r="A233" i="9"/>
  <c r="B233" i="9"/>
  <c r="A234" i="9"/>
  <c r="B234" i="9"/>
  <c r="A235" i="9"/>
  <c r="B235" i="9"/>
  <c r="A236" i="9"/>
  <c r="B236" i="9"/>
  <c r="A237" i="9"/>
  <c r="B237" i="9"/>
  <c r="A238" i="9"/>
  <c r="B238" i="9"/>
  <c r="A239" i="9"/>
  <c r="B239" i="9"/>
  <c r="A240" i="9"/>
  <c r="B240" i="9"/>
  <c r="A241" i="9"/>
  <c r="B241" i="9"/>
  <c r="A242" i="9"/>
  <c r="B242" i="9"/>
  <c r="A243" i="9"/>
  <c r="B243" i="9"/>
  <c r="A244" i="9"/>
  <c r="B244" i="9"/>
  <c r="A245" i="9"/>
  <c r="B245" i="9"/>
  <c r="A246" i="9"/>
  <c r="B246" i="9"/>
  <c r="A247" i="9"/>
  <c r="B247" i="9"/>
  <c r="A248" i="9"/>
  <c r="B248" i="9"/>
  <c r="A249" i="9"/>
  <c r="B249" i="9"/>
  <c r="A250" i="9"/>
  <c r="B250" i="9"/>
  <c r="A251" i="9"/>
  <c r="B251" i="9"/>
  <c r="A252" i="9"/>
  <c r="B252" i="9"/>
  <c r="A253" i="9"/>
  <c r="B253" i="9"/>
  <c r="A254" i="9"/>
  <c r="B254" i="9"/>
  <c r="A255" i="9"/>
  <c r="B255" i="9"/>
  <c r="A256" i="9"/>
  <c r="B256" i="9"/>
  <c r="A257" i="9"/>
  <c r="B257" i="9"/>
  <c r="A258" i="9"/>
  <c r="B258" i="9"/>
  <c r="A259" i="9"/>
  <c r="B259" i="9"/>
  <c r="A260" i="9"/>
  <c r="B260" i="9"/>
  <c r="A261" i="9"/>
  <c r="B261" i="9"/>
  <c r="A262" i="9"/>
  <c r="B262" i="9"/>
  <c r="A263" i="9"/>
  <c r="B263" i="9"/>
  <c r="A264" i="9"/>
  <c r="B264" i="9"/>
  <c r="A265" i="9"/>
  <c r="B265" i="9"/>
  <c r="A266" i="9"/>
  <c r="B266" i="9"/>
  <c r="A267" i="9"/>
  <c r="B267" i="9"/>
  <c r="A268" i="9"/>
  <c r="B268" i="9"/>
  <c r="A269" i="9"/>
  <c r="B269" i="9"/>
  <c r="A270" i="9"/>
  <c r="B270" i="9"/>
  <c r="A271" i="9"/>
  <c r="B271" i="9"/>
  <c r="A272" i="9"/>
  <c r="B272" i="9"/>
  <c r="A273" i="9"/>
  <c r="B273" i="9"/>
  <c r="A274" i="9"/>
  <c r="B274" i="9"/>
  <c r="A275" i="9"/>
  <c r="B275" i="9"/>
  <c r="A276" i="9"/>
  <c r="B276" i="9"/>
  <c r="A277" i="9"/>
  <c r="B277" i="9"/>
  <c r="A278" i="9"/>
  <c r="B278" i="9"/>
  <c r="A279" i="9"/>
  <c r="B279" i="9"/>
  <c r="A280" i="9"/>
  <c r="B280" i="9"/>
  <c r="A281" i="9"/>
  <c r="B281" i="9"/>
  <c r="A282" i="9"/>
  <c r="B282" i="9"/>
  <c r="A283" i="9"/>
  <c r="B283" i="9"/>
  <c r="A284" i="9"/>
  <c r="B284" i="9"/>
  <c r="A285" i="9"/>
  <c r="B285" i="9"/>
  <c r="A286" i="9"/>
  <c r="B286" i="9"/>
  <c r="A287" i="9"/>
  <c r="B287" i="9"/>
  <c r="A288" i="9"/>
  <c r="B288" i="9"/>
  <c r="A289" i="9"/>
  <c r="B289" i="9"/>
  <c r="A290" i="9"/>
  <c r="B290" i="9"/>
  <c r="A291" i="9"/>
  <c r="B291" i="9"/>
  <c r="A292" i="9"/>
  <c r="B292" i="9"/>
  <c r="A293" i="9"/>
  <c r="B293" i="9"/>
  <c r="A294" i="9"/>
  <c r="B294" i="9"/>
  <c r="A295" i="9"/>
  <c r="B295" i="9"/>
  <c r="A296" i="9"/>
  <c r="B296" i="9"/>
  <c r="A297" i="9"/>
  <c r="B297" i="9"/>
  <c r="A298" i="9"/>
  <c r="B298" i="9"/>
  <c r="A299" i="9"/>
  <c r="B299" i="9"/>
  <c r="A300" i="9"/>
  <c r="B300" i="9"/>
  <c r="A301" i="9"/>
  <c r="B301" i="9"/>
  <c r="A302" i="9"/>
  <c r="B302" i="9"/>
  <c r="A303" i="9"/>
  <c r="B303" i="9"/>
  <c r="A304" i="9"/>
  <c r="B304" i="9"/>
  <c r="A305" i="9"/>
  <c r="B305" i="9"/>
  <c r="A306" i="9"/>
  <c r="B306" i="9"/>
  <c r="A307" i="9"/>
  <c r="B307" i="9"/>
  <c r="A308" i="9"/>
  <c r="B308" i="9"/>
  <c r="A309" i="9"/>
  <c r="B309" i="9"/>
  <c r="A310" i="9"/>
  <c r="B310" i="9"/>
  <c r="A311" i="9"/>
  <c r="B311" i="9"/>
  <c r="A312" i="9"/>
  <c r="B312" i="9"/>
  <c r="A313" i="9"/>
  <c r="B313" i="9"/>
  <c r="A314" i="9"/>
  <c r="B314" i="9"/>
  <c r="A315" i="9"/>
  <c r="B315" i="9"/>
  <c r="A316" i="9"/>
  <c r="B316" i="9"/>
  <c r="A317" i="9"/>
  <c r="B317" i="9"/>
  <c r="A318" i="9"/>
  <c r="B318" i="9"/>
  <c r="A319" i="9"/>
  <c r="B319" i="9"/>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C208" i="36"/>
  <c r="C209" i="36"/>
  <c r="C210" i="36"/>
  <c r="C211" i="36"/>
  <c r="C212" i="36"/>
  <c r="C213" i="36"/>
  <c r="C214" i="36"/>
  <c r="C215" i="36"/>
  <c r="C216" i="36"/>
  <c r="C217" i="36"/>
  <c r="C218" i="36"/>
  <c r="C219" i="36"/>
  <c r="C220" i="36"/>
  <c r="C221" i="36"/>
  <c r="C222" i="36"/>
  <c r="C223" i="36"/>
  <c r="C224" i="36"/>
  <c r="C225" i="36"/>
  <c r="C226" i="36"/>
  <c r="C227" i="36"/>
  <c r="C228" i="36"/>
  <c r="C229" i="36"/>
  <c r="C230" i="36"/>
  <c r="C231"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289" i="36"/>
  <c r="C290" i="36"/>
  <c r="C291" i="36"/>
  <c r="C292" i="36"/>
  <c r="C293" i="36"/>
  <c r="C294" i="36"/>
  <c r="C295" i="36"/>
  <c r="C296" i="36"/>
  <c r="C297" i="36"/>
  <c r="C298" i="36"/>
  <c r="C299" i="36"/>
  <c r="C300" i="36"/>
  <c r="C301" i="36"/>
  <c r="C302" i="36"/>
  <c r="C303" i="36"/>
  <c r="C304" i="36"/>
  <c r="C305" i="36"/>
  <c r="C306" i="36"/>
  <c r="C307" i="36"/>
  <c r="C308" i="36"/>
  <c r="C309" i="36"/>
  <c r="C310" i="36"/>
  <c r="C311" i="36"/>
  <c r="C312" i="36"/>
  <c r="C313" i="36"/>
  <c r="C314" i="36"/>
  <c r="C315" i="36"/>
  <c r="C316" i="36"/>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A6" i="33"/>
  <c r="B6" i="33"/>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6" i="32"/>
  <c r="B6" i="32"/>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Z8" i="19"/>
  <c r="D6" i="32" s="1"/>
  <c r="AR8" i="19"/>
  <c r="Z9" i="19"/>
  <c r="D7" i="32" s="1"/>
  <c r="AR9" i="19"/>
  <c r="D8" i="25" s="1"/>
  <c r="Z10" i="19"/>
  <c r="D8" i="32" s="1"/>
  <c r="AR10" i="19"/>
  <c r="Z11" i="19"/>
  <c r="D9" i="32" s="1"/>
  <c r="AR11" i="19"/>
  <c r="D10" i="25" s="1"/>
  <c r="Z12" i="19"/>
  <c r="D10" i="32" s="1"/>
  <c r="AR12" i="19"/>
  <c r="D11" i="25" s="1"/>
  <c r="Z13" i="19"/>
  <c r="D11" i="32" s="1"/>
  <c r="AR13" i="19"/>
  <c r="Z14" i="19"/>
  <c r="D12" i="32" s="1"/>
  <c r="AR14" i="19"/>
  <c r="Z15" i="19"/>
  <c r="D13" i="32" s="1"/>
  <c r="AR15" i="19"/>
  <c r="Z16" i="19"/>
  <c r="D14" i="32" s="1"/>
  <c r="AR16" i="19"/>
  <c r="D15" i="25" s="1"/>
  <c r="Z17" i="19"/>
  <c r="D15" i="32" s="1"/>
  <c r="AR17" i="19"/>
  <c r="D16" i="25" s="1"/>
  <c r="Z18" i="19"/>
  <c r="D16" i="32" s="1"/>
  <c r="AR18" i="19"/>
  <c r="Z19" i="19"/>
  <c r="D17" i="32" s="1"/>
  <c r="AR19" i="19"/>
  <c r="Z20" i="19"/>
  <c r="D18" i="32" s="1"/>
  <c r="AR20" i="19"/>
  <c r="D19" i="25" s="1"/>
  <c r="Z21" i="19"/>
  <c r="D19" i="32" s="1"/>
  <c r="AR21" i="19"/>
  <c r="D20" i="25" s="1"/>
  <c r="Z22" i="19"/>
  <c r="D20" i="32" s="1"/>
  <c r="AR22" i="19"/>
  <c r="Z23" i="19"/>
  <c r="D21" i="32" s="1"/>
  <c r="AR23" i="19"/>
  <c r="Z24" i="19"/>
  <c r="D22" i="32" s="1"/>
  <c r="AR24" i="19"/>
  <c r="D23" i="25" s="1"/>
  <c r="Z25" i="19"/>
  <c r="D23" i="32" s="1"/>
  <c r="AR25" i="19"/>
  <c r="Z26" i="19"/>
  <c r="D24" i="32" s="1"/>
  <c r="AR26" i="19"/>
  <c r="Z27" i="19"/>
  <c r="D25" i="32" s="1"/>
  <c r="AR27" i="19"/>
  <c r="D26" i="25" s="1"/>
  <c r="Z28" i="19"/>
  <c r="D26" i="32" s="1"/>
  <c r="AR28" i="19"/>
  <c r="Z29" i="19"/>
  <c r="D27" i="32" s="1"/>
  <c r="AR29" i="19"/>
  <c r="D28" i="25" s="1"/>
  <c r="Z30" i="19"/>
  <c r="D28" i="32" s="1"/>
  <c r="AR30" i="19"/>
  <c r="Z31" i="19"/>
  <c r="D29" i="32" s="1"/>
  <c r="AR31" i="19"/>
  <c r="Z32" i="19"/>
  <c r="D30" i="32" s="1"/>
  <c r="AR32" i="19"/>
  <c r="D31" i="25" s="1"/>
  <c r="Z33" i="19"/>
  <c r="D31" i="32" s="1"/>
  <c r="AR33" i="19"/>
  <c r="D32" i="25" s="1"/>
  <c r="Z34" i="19"/>
  <c r="D32" i="32" s="1"/>
  <c r="AR34" i="19"/>
  <c r="Z35" i="19"/>
  <c r="D33" i="32" s="1"/>
  <c r="AR35" i="19"/>
  <c r="D34" i="25" s="1"/>
  <c r="Z36" i="19"/>
  <c r="D34" i="32" s="1"/>
  <c r="AR36" i="19"/>
  <c r="D35" i="25" s="1"/>
  <c r="Z37" i="19"/>
  <c r="D35" i="32" s="1"/>
  <c r="AR37" i="19"/>
  <c r="D36" i="25" s="1"/>
  <c r="Z38" i="19"/>
  <c r="D36" i="32" s="1"/>
  <c r="AR38" i="19"/>
  <c r="Z39" i="19"/>
  <c r="D37" i="32" s="1"/>
  <c r="AR39" i="19"/>
  <c r="Z40" i="19"/>
  <c r="D38" i="32" s="1"/>
  <c r="AR40" i="19"/>
  <c r="Z41" i="19"/>
  <c r="D39" i="32" s="1"/>
  <c r="AR41" i="19"/>
  <c r="Z42" i="19"/>
  <c r="D40" i="32" s="1"/>
  <c r="AR42" i="19"/>
  <c r="Z43" i="19"/>
  <c r="D41" i="32" s="1"/>
  <c r="AR43" i="19"/>
  <c r="D42" i="25" s="1"/>
  <c r="Z44" i="19"/>
  <c r="D42" i="32" s="1"/>
  <c r="AR44" i="19"/>
  <c r="D43" i="25" s="1"/>
  <c r="Z45" i="19"/>
  <c r="D43" i="32" s="1"/>
  <c r="AR45" i="19"/>
  <c r="Z46" i="19"/>
  <c r="D44" i="32" s="1"/>
  <c r="AR46" i="19"/>
  <c r="Z47" i="19"/>
  <c r="D45" i="32" s="1"/>
  <c r="AR47" i="19"/>
  <c r="Z48" i="19"/>
  <c r="D46" i="32" s="1"/>
  <c r="AR48" i="19"/>
  <c r="D47" i="25" s="1"/>
  <c r="Z49" i="19"/>
  <c r="D47" i="32" s="1"/>
  <c r="AR49" i="19"/>
  <c r="D48" i="25" s="1"/>
  <c r="Z50" i="19"/>
  <c r="D48" i="32" s="1"/>
  <c r="AR50" i="19"/>
  <c r="Z51" i="19"/>
  <c r="D49" i="32" s="1"/>
  <c r="AR51" i="19"/>
  <c r="Z52" i="19"/>
  <c r="D50" i="32" s="1"/>
  <c r="AR52" i="19"/>
  <c r="D51" i="25" s="1"/>
  <c r="Z53" i="19"/>
  <c r="D51" i="32" s="1"/>
  <c r="AR53" i="19"/>
  <c r="D52" i="25" s="1"/>
  <c r="Z54" i="19"/>
  <c r="D52" i="32" s="1"/>
  <c r="AR54" i="19"/>
  <c r="Z55" i="19"/>
  <c r="D53" i="32" s="1"/>
  <c r="AR55" i="19"/>
  <c r="Z56" i="19"/>
  <c r="D54" i="32" s="1"/>
  <c r="AR56" i="19"/>
  <c r="D55" i="25" s="1"/>
  <c r="Z57" i="19"/>
  <c r="D55" i="32" s="1"/>
  <c r="AR57" i="19"/>
  <c r="Z58" i="19"/>
  <c r="D56" i="32" s="1"/>
  <c r="AR58" i="19"/>
  <c r="Z59" i="19"/>
  <c r="D57" i="32" s="1"/>
  <c r="AR59" i="19"/>
  <c r="Z60" i="19"/>
  <c r="D58" i="32" s="1"/>
  <c r="AR60" i="19"/>
  <c r="D59" i="25" s="1"/>
  <c r="Z61" i="19"/>
  <c r="D59" i="32" s="1"/>
  <c r="AR61" i="19"/>
  <c r="D60" i="25" s="1"/>
  <c r="Z62" i="19"/>
  <c r="D60" i="32" s="1"/>
  <c r="AR62" i="19"/>
  <c r="Z63" i="19"/>
  <c r="D61" i="32" s="1"/>
  <c r="AR63" i="19"/>
  <c r="Z64" i="19"/>
  <c r="D62" i="32" s="1"/>
  <c r="AR64" i="19"/>
  <c r="D63" i="25" s="1"/>
  <c r="Z65" i="19"/>
  <c r="D63" i="32" s="1"/>
  <c r="AR65" i="19"/>
  <c r="D64" i="25" s="1"/>
  <c r="Z66" i="19"/>
  <c r="D64" i="32" s="1"/>
  <c r="AR66" i="19"/>
  <c r="Z67" i="19"/>
  <c r="D65" i="32" s="1"/>
  <c r="AR67" i="19"/>
  <c r="D66" i="25" s="1"/>
  <c r="Z68" i="19"/>
  <c r="D66" i="32" s="1"/>
  <c r="AR68" i="19"/>
  <c r="Z69" i="19"/>
  <c r="D67" i="32" s="1"/>
  <c r="AR69" i="19"/>
  <c r="D68" i="25" s="1"/>
  <c r="Z70" i="19"/>
  <c r="D68" i="32" s="1"/>
  <c r="AR70" i="19"/>
  <c r="Z71" i="19"/>
  <c r="D69" i="32" s="1"/>
  <c r="AR71" i="19"/>
  <c r="Z72" i="19"/>
  <c r="D70" i="32" s="1"/>
  <c r="AR72" i="19"/>
  <c r="D71" i="25" s="1"/>
  <c r="Z73" i="19"/>
  <c r="D71" i="32" s="1"/>
  <c r="AR73" i="19"/>
  <c r="D72" i="25" s="1"/>
  <c r="Z74" i="19"/>
  <c r="D72" i="32" s="1"/>
  <c r="AR74" i="19"/>
  <c r="Z75" i="19"/>
  <c r="D73" i="32" s="1"/>
  <c r="AR75" i="19"/>
  <c r="D74" i="25" s="1"/>
  <c r="Z76" i="19"/>
  <c r="D74" i="32" s="1"/>
  <c r="AR76" i="19"/>
  <c r="Z77" i="19"/>
  <c r="D75" i="32" s="1"/>
  <c r="AR77" i="19"/>
  <c r="Z78" i="19"/>
  <c r="D76" i="32" s="1"/>
  <c r="AR78" i="19"/>
  <c r="Z79" i="19"/>
  <c r="D77" i="32" s="1"/>
  <c r="AR79" i="19"/>
  <c r="Z80" i="19"/>
  <c r="D78" i="32" s="1"/>
  <c r="AR80" i="19"/>
  <c r="Z81" i="19"/>
  <c r="D79" i="32" s="1"/>
  <c r="AR81" i="19"/>
  <c r="D80" i="25" s="1"/>
  <c r="Z82" i="19"/>
  <c r="D80" i="32" s="1"/>
  <c r="AR82" i="19"/>
  <c r="Z83" i="19"/>
  <c r="D81" i="32" s="1"/>
  <c r="AR83" i="19"/>
  <c r="Z84" i="19"/>
  <c r="D82" i="32" s="1"/>
  <c r="AR84" i="19"/>
  <c r="Z85" i="19"/>
  <c r="D83" i="32" s="1"/>
  <c r="AR85" i="19"/>
  <c r="D84" i="25" s="1"/>
  <c r="Z86" i="19"/>
  <c r="D84" i="32" s="1"/>
  <c r="AR86" i="19"/>
  <c r="Z87" i="19"/>
  <c r="D85" i="32" s="1"/>
  <c r="AR87" i="19"/>
  <c r="Z88" i="19"/>
  <c r="D86" i="32" s="1"/>
  <c r="AR88" i="19"/>
  <c r="Z89" i="19"/>
  <c r="D87" i="32" s="1"/>
  <c r="AR89" i="19"/>
  <c r="Z90" i="19"/>
  <c r="D88" i="32" s="1"/>
  <c r="AR90" i="19"/>
  <c r="Z91" i="19"/>
  <c r="D89" i="32" s="1"/>
  <c r="AR91" i="19"/>
  <c r="D90" i="25" s="1"/>
  <c r="Z92" i="19"/>
  <c r="D90" i="32" s="1"/>
  <c r="AR92" i="19"/>
  <c r="Z93" i="19"/>
  <c r="D91" i="32" s="1"/>
  <c r="AR93" i="19"/>
  <c r="Z94" i="19"/>
  <c r="D92" i="32" s="1"/>
  <c r="AR94" i="19"/>
  <c r="Z95" i="19"/>
  <c r="D93" i="32" s="1"/>
  <c r="AR95" i="19"/>
  <c r="Z96" i="19"/>
  <c r="D94" i="32" s="1"/>
  <c r="AR96" i="19"/>
  <c r="Z97" i="19"/>
  <c r="D95" i="32" s="1"/>
  <c r="AR97" i="19"/>
  <c r="D96" i="25" s="1"/>
  <c r="Z98" i="19"/>
  <c r="D96" i="32" s="1"/>
  <c r="AR98" i="19"/>
  <c r="D97" i="25" s="1"/>
  <c r="Z99" i="19"/>
  <c r="D97" i="32" s="1"/>
  <c r="AR99" i="19"/>
  <c r="D98" i="25" s="1"/>
  <c r="Z100" i="19"/>
  <c r="D98" i="32" s="1"/>
  <c r="AR100" i="19"/>
  <c r="Z101" i="19"/>
  <c r="D99" i="32" s="1"/>
  <c r="AR101" i="19"/>
  <c r="D100" i="25" s="1"/>
  <c r="Z102" i="19"/>
  <c r="D100" i="32" s="1"/>
  <c r="AR102" i="19"/>
  <c r="Z103" i="19"/>
  <c r="D101" i="32" s="1"/>
  <c r="AR103" i="19"/>
  <c r="Z104" i="19"/>
  <c r="D102" i="32" s="1"/>
  <c r="AR104" i="19"/>
  <c r="D103" i="25" s="1"/>
  <c r="Z105" i="19"/>
  <c r="D103" i="32" s="1"/>
  <c r="AR105" i="19"/>
  <c r="D104" i="25" s="1"/>
  <c r="Z106" i="19"/>
  <c r="D104" i="32" s="1"/>
  <c r="AR106" i="19"/>
  <c r="Z107" i="19"/>
  <c r="D105" i="32" s="1"/>
  <c r="AR107" i="19"/>
  <c r="D106" i="25" s="1"/>
  <c r="Z108" i="19"/>
  <c r="D106" i="32" s="1"/>
  <c r="AR108" i="19"/>
  <c r="Z109" i="19"/>
  <c r="D107" i="32" s="1"/>
  <c r="AR109" i="19"/>
  <c r="Z110" i="19"/>
  <c r="D108" i="32" s="1"/>
  <c r="AR110" i="19"/>
  <c r="Z111" i="19"/>
  <c r="D109" i="32" s="1"/>
  <c r="AR111" i="19"/>
  <c r="Z112" i="19"/>
  <c r="D110" i="32" s="1"/>
  <c r="AR112" i="19"/>
  <c r="Z113" i="19"/>
  <c r="D111" i="32" s="1"/>
  <c r="AR113" i="19"/>
  <c r="D112" i="25" s="1"/>
  <c r="Z114" i="19"/>
  <c r="D112" i="32" s="1"/>
  <c r="AR114" i="19"/>
  <c r="Z115" i="19"/>
  <c r="D113" i="32" s="1"/>
  <c r="AR115" i="19"/>
  <c r="Z116" i="19"/>
  <c r="D114" i="32" s="1"/>
  <c r="AR116" i="19"/>
  <c r="Z117" i="19"/>
  <c r="D115" i="32" s="1"/>
  <c r="AR117" i="19"/>
  <c r="D116" i="25" s="1"/>
  <c r="Z118" i="19"/>
  <c r="D116" i="32" s="1"/>
  <c r="AR118" i="19"/>
  <c r="Z119" i="19"/>
  <c r="D117" i="32" s="1"/>
  <c r="AR119" i="19"/>
  <c r="Z120" i="19"/>
  <c r="D118" i="32" s="1"/>
  <c r="AR120" i="19"/>
  <c r="Z121" i="19"/>
  <c r="D119" i="32" s="1"/>
  <c r="AR121" i="19"/>
  <c r="Z122" i="19"/>
  <c r="D120" i="32" s="1"/>
  <c r="AR122" i="19"/>
  <c r="Z123" i="19"/>
  <c r="D121" i="32" s="1"/>
  <c r="AR123" i="19"/>
  <c r="Z124" i="19"/>
  <c r="D122" i="32" s="1"/>
  <c r="AR124" i="19"/>
  <c r="D123" i="25" s="1"/>
  <c r="Z125" i="19"/>
  <c r="D123" i="32" s="1"/>
  <c r="AR125" i="19"/>
  <c r="D124" i="25" s="1"/>
  <c r="Z126" i="19"/>
  <c r="D124" i="32" s="1"/>
  <c r="AR126" i="19"/>
  <c r="Z127" i="19"/>
  <c r="D125" i="32" s="1"/>
  <c r="AR127" i="19"/>
  <c r="D126" i="25" s="1"/>
  <c r="Z128" i="19"/>
  <c r="D126" i="32" s="1"/>
  <c r="AR128" i="19"/>
  <c r="Z129" i="19"/>
  <c r="D127" i="32" s="1"/>
  <c r="AR129" i="19"/>
  <c r="Z130" i="19"/>
  <c r="D128" i="32" s="1"/>
  <c r="AR130" i="19"/>
  <c r="Z131" i="19"/>
  <c r="D129" i="32" s="1"/>
  <c r="AR131" i="19"/>
  <c r="D130" i="25" s="1"/>
  <c r="Z132" i="19"/>
  <c r="D130" i="32" s="1"/>
  <c r="AR132" i="19"/>
  <c r="Z133" i="19"/>
  <c r="D131" i="32" s="1"/>
  <c r="AR133" i="19"/>
  <c r="D132" i="25" s="1"/>
  <c r="Z134" i="19"/>
  <c r="D132" i="32" s="1"/>
  <c r="AR134" i="19"/>
  <c r="Z135" i="19"/>
  <c r="D133" i="32" s="1"/>
  <c r="AR135" i="19"/>
  <c r="Z136" i="19"/>
  <c r="D134" i="32" s="1"/>
  <c r="AR136" i="19"/>
  <c r="Z137" i="19"/>
  <c r="D135" i="32" s="1"/>
  <c r="AR137" i="19"/>
  <c r="Z138" i="19"/>
  <c r="D136" i="32" s="1"/>
  <c r="AR138" i="19"/>
  <c r="Z139" i="19"/>
  <c r="D137" i="32" s="1"/>
  <c r="AR139" i="19"/>
  <c r="D138" i="25" s="1"/>
  <c r="Z140" i="19"/>
  <c r="D138" i="32" s="1"/>
  <c r="AR140" i="19"/>
  <c r="D139" i="25" s="1"/>
  <c r="Z141" i="19"/>
  <c r="D139" i="32" s="1"/>
  <c r="AR141" i="19"/>
  <c r="D140" i="25" s="1"/>
  <c r="Z142" i="19"/>
  <c r="D140" i="32" s="1"/>
  <c r="AR142" i="19"/>
  <c r="Z143" i="19"/>
  <c r="D141" i="32" s="1"/>
  <c r="AR143" i="19"/>
  <c r="D142" i="25" s="1"/>
  <c r="Z144" i="19"/>
  <c r="D142" i="32" s="1"/>
  <c r="AR144" i="19"/>
  <c r="Z145" i="19"/>
  <c r="D143" i="32" s="1"/>
  <c r="AR145" i="19"/>
  <c r="Z146" i="19"/>
  <c r="D144" i="32" s="1"/>
  <c r="AR146" i="19"/>
  <c r="Z147" i="19"/>
  <c r="D145" i="32" s="1"/>
  <c r="AR147" i="19"/>
  <c r="Z148" i="19"/>
  <c r="D146" i="32" s="1"/>
  <c r="AR148" i="19"/>
  <c r="Z149" i="19"/>
  <c r="D147" i="32" s="1"/>
  <c r="AR149" i="19"/>
  <c r="Z150" i="19"/>
  <c r="D148" i="32" s="1"/>
  <c r="AR150" i="19"/>
  <c r="Z151" i="19"/>
  <c r="D149" i="32" s="1"/>
  <c r="AR151" i="19"/>
  <c r="D150" i="25" s="1"/>
  <c r="Z152" i="19"/>
  <c r="D150" i="32" s="1"/>
  <c r="AR152" i="19"/>
  <c r="Z153" i="19"/>
  <c r="D151" i="32" s="1"/>
  <c r="AR153" i="19"/>
  <c r="Z154" i="19"/>
  <c r="D152" i="32" s="1"/>
  <c r="AR154" i="19"/>
  <c r="Z155" i="19"/>
  <c r="D153" i="32" s="1"/>
  <c r="AR155" i="19"/>
  <c r="D154" i="25" s="1"/>
  <c r="Z156" i="19"/>
  <c r="D154" i="32" s="1"/>
  <c r="AR156" i="19"/>
  <c r="D155" i="25" s="1"/>
  <c r="Z157" i="19"/>
  <c r="D155" i="32" s="1"/>
  <c r="AR157" i="19"/>
  <c r="D156" i="25" s="1"/>
  <c r="Z158" i="19"/>
  <c r="D156" i="32" s="1"/>
  <c r="AR158" i="19"/>
  <c r="Z159" i="19"/>
  <c r="D157" i="32" s="1"/>
  <c r="AR159" i="19"/>
  <c r="D158" i="25" s="1"/>
  <c r="Z160" i="19"/>
  <c r="D158" i="32" s="1"/>
  <c r="AR160" i="19"/>
  <c r="Z161" i="19"/>
  <c r="D159" i="32" s="1"/>
  <c r="AR161" i="19"/>
  <c r="Z162" i="19"/>
  <c r="D160" i="32" s="1"/>
  <c r="AR162" i="19"/>
  <c r="Z163" i="19"/>
  <c r="D161" i="32" s="1"/>
  <c r="AR163" i="19"/>
  <c r="D162" i="25" s="1"/>
  <c r="Z164" i="19"/>
  <c r="D162" i="32" s="1"/>
  <c r="AR164" i="19"/>
  <c r="Z165" i="19"/>
  <c r="D163" i="32" s="1"/>
  <c r="AR165" i="19"/>
  <c r="D164" i="25" s="1"/>
  <c r="Z166" i="19"/>
  <c r="D164" i="32" s="1"/>
  <c r="AR166" i="19"/>
  <c r="Z167" i="19"/>
  <c r="D165" i="32" s="1"/>
  <c r="AR167" i="19"/>
  <c r="D166" i="25" s="1"/>
  <c r="Z168" i="19"/>
  <c r="D166" i="32" s="1"/>
  <c r="AR168" i="19"/>
  <c r="Z169" i="19"/>
  <c r="D167" i="32" s="1"/>
  <c r="AR169" i="19"/>
  <c r="Z170" i="19"/>
  <c r="D168" i="32" s="1"/>
  <c r="AR170" i="19"/>
  <c r="Z171" i="19"/>
  <c r="D169" i="32" s="1"/>
  <c r="AR171" i="19"/>
  <c r="D170" i="25" s="1"/>
  <c r="Z172" i="19"/>
  <c r="D170" i="32" s="1"/>
  <c r="AR172" i="19"/>
  <c r="D171" i="25" s="1"/>
  <c r="Z173" i="19"/>
  <c r="D171" i="32" s="1"/>
  <c r="AR173" i="19"/>
  <c r="D172" i="25" s="1"/>
  <c r="Z174" i="19"/>
  <c r="D172" i="32" s="1"/>
  <c r="AR174" i="19"/>
  <c r="Z175" i="19"/>
  <c r="D173" i="32" s="1"/>
  <c r="AR175" i="19"/>
  <c r="D174" i="25" s="1"/>
  <c r="Z176" i="19"/>
  <c r="D174" i="32" s="1"/>
  <c r="AR176" i="19"/>
  <c r="Z177" i="19"/>
  <c r="D175" i="32" s="1"/>
  <c r="AR177" i="19"/>
  <c r="Z178" i="19"/>
  <c r="D176" i="32" s="1"/>
  <c r="AR178" i="19"/>
  <c r="D176" i="33" s="1"/>
  <c r="Z179" i="19"/>
  <c r="D177" i="32" s="1"/>
  <c r="AR179" i="19"/>
  <c r="D178" i="25" s="1"/>
  <c r="Z180" i="19"/>
  <c r="D178" i="32" s="1"/>
  <c r="AR180" i="19"/>
  <c r="Z181" i="19"/>
  <c r="D179" i="32" s="1"/>
  <c r="AR181" i="19"/>
  <c r="D180" i="25" s="1"/>
  <c r="Z182" i="19"/>
  <c r="D180" i="32" s="1"/>
  <c r="AR182" i="19"/>
  <c r="Z183" i="19"/>
  <c r="D181" i="32" s="1"/>
  <c r="AR183" i="19"/>
  <c r="D182" i="25" s="1"/>
  <c r="Z184" i="19"/>
  <c r="D182" i="32" s="1"/>
  <c r="AR184" i="19"/>
  <c r="Z185" i="19"/>
  <c r="D183" i="32" s="1"/>
  <c r="AR185" i="19"/>
  <c r="Z186" i="19"/>
  <c r="D184" i="32" s="1"/>
  <c r="AR186" i="19"/>
  <c r="Z187" i="19"/>
  <c r="D185" i="32" s="1"/>
  <c r="AR187" i="19"/>
  <c r="D186" i="25" s="1"/>
  <c r="Z188" i="19"/>
  <c r="D186" i="32" s="1"/>
  <c r="AR188" i="19"/>
  <c r="D187" i="25" s="1"/>
  <c r="Z189" i="19"/>
  <c r="D187" i="32" s="1"/>
  <c r="AR189" i="19"/>
  <c r="D188" i="25" s="1"/>
  <c r="Z190" i="19"/>
  <c r="D188" i="32" s="1"/>
  <c r="AR190" i="19"/>
  <c r="Z191" i="19"/>
  <c r="D189" i="32" s="1"/>
  <c r="AR191" i="19"/>
  <c r="D190" i="25" s="1"/>
  <c r="Z192" i="19"/>
  <c r="D190" i="32" s="1"/>
  <c r="AR192" i="19"/>
  <c r="Z193" i="19"/>
  <c r="D191" i="32" s="1"/>
  <c r="AR193" i="19"/>
  <c r="Z194" i="19"/>
  <c r="D192" i="32" s="1"/>
  <c r="AR194" i="19"/>
  <c r="Z195" i="19"/>
  <c r="D193" i="32" s="1"/>
  <c r="AR195" i="19"/>
  <c r="D194" i="25" s="1"/>
  <c r="Z196" i="19"/>
  <c r="D194" i="32" s="1"/>
  <c r="AR196" i="19"/>
  <c r="D195" i="25" s="1"/>
  <c r="Z197" i="19"/>
  <c r="D195" i="32" s="1"/>
  <c r="AR197" i="19"/>
  <c r="D196" i="25" s="1"/>
  <c r="Z198" i="19"/>
  <c r="D196" i="32" s="1"/>
  <c r="AR198" i="19"/>
  <c r="Z199" i="19"/>
  <c r="D197" i="32" s="1"/>
  <c r="AR199" i="19"/>
  <c r="D198" i="25" s="1"/>
  <c r="Z200" i="19"/>
  <c r="D198" i="32" s="1"/>
  <c r="AR200" i="19"/>
  <c r="Z201" i="19"/>
  <c r="D199" i="32" s="1"/>
  <c r="AR201" i="19"/>
  <c r="Z202" i="19"/>
  <c r="D200" i="32" s="1"/>
  <c r="AR202" i="19"/>
  <c r="Z203" i="19"/>
  <c r="D201" i="32" s="1"/>
  <c r="AR203" i="19"/>
  <c r="D202" i="25" s="1"/>
  <c r="Z204" i="19"/>
  <c r="D202" i="32" s="1"/>
  <c r="AR204" i="19"/>
  <c r="D203" i="25" s="1"/>
  <c r="Z205" i="19"/>
  <c r="D203" i="32" s="1"/>
  <c r="AR205" i="19"/>
  <c r="D204" i="25" s="1"/>
  <c r="Z206" i="19"/>
  <c r="D204" i="32" s="1"/>
  <c r="AR206" i="19"/>
  <c r="Z207" i="19"/>
  <c r="D205" i="32" s="1"/>
  <c r="AR207" i="19"/>
  <c r="D206" i="25" s="1"/>
  <c r="Z208" i="19"/>
  <c r="D206" i="32" s="1"/>
  <c r="AR208" i="19"/>
  <c r="Z209" i="19"/>
  <c r="D207" i="32" s="1"/>
  <c r="AR209" i="19"/>
  <c r="Z210" i="19"/>
  <c r="D208" i="32" s="1"/>
  <c r="AR210" i="19"/>
  <c r="Z211" i="19"/>
  <c r="D209" i="32" s="1"/>
  <c r="AR211" i="19"/>
  <c r="D210" i="25" s="1"/>
  <c r="Z212" i="19"/>
  <c r="D210" i="32" s="1"/>
  <c r="AR212" i="19"/>
  <c r="Z213" i="19"/>
  <c r="D211" i="32" s="1"/>
  <c r="AR213" i="19"/>
  <c r="D212" i="25" s="1"/>
  <c r="Z214" i="19"/>
  <c r="D212" i="32" s="1"/>
  <c r="AR214" i="19"/>
  <c r="Z215" i="19"/>
  <c r="D213" i="32" s="1"/>
  <c r="AR215" i="19"/>
  <c r="D214" i="25" s="1"/>
  <c r="Z216" i="19"/>
  <c r="D214" i="32" s="1"/>
  <c r="AR216" i="19"/>
  <c r="Z217" i="19"/>
  <c r="D215" i="32" s="1"/>
  <c r="AR217" i="19"/>
  <c r="Z218" i="19"/>
  <c r="D216" i="32" s="1"/>
  <c r="AR218" i="19"/>
  <c r="Z219" i="19"/>
  <c r="D217" i="32" s="1"/>
  <c r="AR219" i="19"/>
  <c r="D218" i="25" s="1"/>
  <c r="Z220" i="19"/>
  <c r="D218" i="32" s="1"/>
  <c r="AR220" i="19"/>
  <c r="D219" i="25" s="1"/>
  <c r="Z221" i="19"/>
  <c r="D219" i="32" s="1"/>
  <c r="AR221" i="19"/>
  <c r="D220" i="25" s="1"/>
  <c r="Z222" i="19"/>
  <c r="D220" i="32" s="1"/>
  <c r="AR222" i="19"/>
  <c r="Z223" i="19"/>
  <c r="D221" i="32" s="1"/>
  <c r="AR223" i="19"/>
  <c r="D222" i="25" s="1"/>
  <c r="Z224" i="19"/>
  <c r="D222" i="32" s="1"/>
  <c r="AR224" i="19"/>
  <c r="Z225" i="19"/>
  <c r="D223" i="32" s="1"/>
  <c r="AR225" i="19"/>
  <c r="Z226" i="19"/>
  <c r="D224" i="32" s="1"/>
  <c r="AR226" i="19"/>
  <c r="Z227" i="19"/>
  <c r="D225" i="32" s="1"/>
  <c r="AR227" i="19"/>
  <c r="D226" i="25" s="1"/>
  <c r="Z228" i="19"/>
  <c r="D226" i="32" s="1"/>
  <c r="AR228" i="19"/>
  <c r="Z229" i="19"/>
  <c r="D227" i="32" s="1"/>
  <c r="AR229" i="19"/>
  <c r="D228" i="25" s="1"/>
  <c r="Z230" i="19"/>
  <c r="D228" i="32" s="1"/>
  <c r="AR230" i="19"/>
  <c r="Z231" i="19"/>
  <c r="D229" i="32" s="1"/>
  <c r="AR231" i="19"/>
  <c r="D230" i="25" s="1"/>
  <c r="Z232" i="19"/>
  <c r="D230" i="32" s="1"/>
  <c r="AR232" i="19"/>
  <c r="Z233" i="19"/>
  <c r="D231" i="32" s="1"/>
  <c r="AR233" i="19"/>
  <c r="Z234" i="19"/>
  <c r="D232" i="32" s="1"/>
  <c r="AR234" i="19"/>
  <c r="Z235" i="19"/>
  <c r="D233" i="32" s="1"/>
  <c r="AR235" i="19"/>
  <c r="D234" i="25" s="1"/>
  <c r="Z236" i="19"/>
  <c r="D234" i="32" s="1"/>
  <c r="AR236" i="19"/>
  <c r="D235" i="25" s="1"/>
  <c r="Z237" i="19"/>
  <c r="D235" i="32" s="1"/>
  <c r="AR237" i="19"/>
  <c r="D236" i="25" s="1"/>
  <c r="Z238" i="19"/>
  <c r="D236" i="32" s="1"/>
  <c r="AR238" i="19"/>
  <c r="Z239" i="19"/>
  <c r="D237" i="32" s="1"/>
  <c r="AR239" i="19"/>
  <c r="D238" i="25" s="1"/>
  <c r="Z240" i="19"/>
  <c r="D238" i="32" s="1"/>
  <c r="AR240" i="19"/>
  <c r="Z241" i="19"/>
  <c r="D239" i="32" s="1"/>
  <c r="AR241" i="19"/>
  <c r="Z242" i="19"/>
  <c r="D240" i="32" s="1"/>
  <c r="AR242" i="19"/>
  <c r="Z243" i="19"/>
  <c r="D241" i="32" s="1"/>
  <c r="AR243" i="19"/>
  <c r="D242" i="25" s="1"/>
  <c r="Z244" i="19"/>
  <c r="D242" i="32" s="1"/>
  <c r="AR244" i="19"/>
  <c r="D243" i="25" s="1"/>
  <c r="Z245" i="19"/>
  <c r="D243" i="32" s="1"/>
  <c r="AR245" i="19"/>
  <c r="D244" i="25" s="1"/>
  <c r="Z246" i="19"/>
  <c r="D244" i="32" s="1"/>
  <c r="AR246" i="19"/>
  <c r="Z247" i="19"/>
  <c r="D245" i="32" s="1"/>
  <c r="AR247" i="19"/>
  <c r="D246" i="25" s="1"/>
  <c r="Z248" i="19"/>
  <c r="D246" i="32" s="1"/>
  <c r="AR248" i="19"/>
  <c r="Z249" i="19"/>
  <c r="D247" i="32" s="1"/>
  <c r="AR249" i="19"/>
  <c r="Z250" i="19"/>
  <c r="D248" i="32" s="1"/>
  <c r="AR250" i="19"/>
  <c r="Z251" i="19"/>
  <c r="D249" i="32" s="1"/>
  <c r="AR251" i="19"/>
  <c r="D250" i="25" s="1"/>
  <c r="Z252" i="19"/>
  <c r="D250" i="32" s="1"/>
  <c r="AR252" i="19"/>
  <c r="D251" i="25" s="1"/>
  <c r="Z253" i="19"/>
  <c r="D251" i="32" s="1"/>
  <c r="AR253" i="19"/>
  <c r="D252" i="25" s="1"/>
  <c r="Z254" i="19"/>
  <c r="D252" i="32" s="1"/>
  <c r="AR254" i="19"/>
  <c r="Z255" i="19"/>
  <c r="D253" i="32" s="1"/>
  <c r="AR255" i="19"/>
  <c r="D254" i="25" s="1"/>
  <c r="Z256" i="19"/>
  <c r="D254" i="32" s="1"/>
  <c r="AR256" i="19"/>
  <c r="Z257" i="19"/>
  <c r="D255" i="32" s="1"/>
  <c r="AR257" i="19"/>
  <c r="Z258" i="19"/>
  <c r="D256" i="32" s="1"/>
  <c r="AR258" i="19"/>
  <c r="Z259" i="19"/>
  <c r="D257" i="32" s="1"/>
  <c r="AR259" i="19"/>
  <c r="D258" i="25" s="1"/>
  <c r="Z260" i="19"/>
  <c r="D258" i="32" s="1"/>
  <c r="AR260" i="19"/>
  <c r="Z261" i="19"/>
  <c r="D259" i="32" s="1"/>
  <c r="AR261" i="19"/>
  <c r="D260" i="25" s="1"/>
  <c r="Z262" i="19"/>
  <c r="D260" i="32" s="1"/>
  <c r="AR262" i="19"/>
  <c r="Z263" i="19"/>
  <c r="D261" i="32" s="1"/>
  <c r="AR263" i="19"/>
  <c r="D262" i="25" s="1"/>
  <c r="Z264" i="19"/>
  <c r="D262" i="32" s="1"/>
  <c r="AR264" i="19"/>
  <c r="Z265" i="19"/>
  <c r="D263" i="32" s="1"/>
  <c r="AR265" i="19"/>
  <c r="Z266" i="19"/>
  <c r="D264" i="32" s="1"/>
  <c r="AR266" i="19"/>
  <c r="Z267" i="19"/>
  <c r="D265" i="32" s="1"/>
  <c r="AR267" i="19"/>
  <c r="D266" i="25" s="1"/>
  <c r="Z268" i="19"/>
  <c r="D266" i="32" s="1"/>
  <c r="AR268" i="19"/>
  <c r="D267" i="25" s="1"/>
  <c r="Z269" i="19"/>
  <c r="D267" i="32" s="1"/>
  <c r="AR269" i="19"/>
  <c r="D268" i="25" s="1"/>
  <c r="Z270" i="19"/>
  <c r="D268" i="32" s="1"/>
  <c r="AR270" i="19"/>
  <c r="Z271" i="19"/>
  <c r="D269" i="32" s="1"/>
  <c r="AR271" i="19"/>
  <c r="D270" i="25" s="1"/>
  <c r="Z272" i="19"/>
  <c r="D270" i="32" s="1"/>
  <c r="AR272" i="19"/>
  <c r="Z273" i="19"/>
  <c r="D271" i="32" s="1"/>
  <c r="AR273" i="19"/>
  <c r="Z274" i="19"/>
  <c r="D272" i="32" s="1"/>
  <c r="AR274" i="19"/>
  <c r="Z275" i="19"/>
  <c r="D273" i="32" s="1"/>
  <c r="AR275" i="19"/>
  <c r="D274" i="25" s="1"/>
  <c r="Z276" i="19"/>
  <c r="D274" i="32" s="1"/>
  <c r="AR276" i="19"/>
  <c r="Z277" i="19"/>
  <c r="D275" i="32" s="1"/>
  <c r="AR277" i="19"/>
  <c r="D276" i="25" s="1"/>
  <c r="Z278" i="19"/>
  <c r="D276" i="32" s="1"/>
  <c r="AR278" i="19"/>
  <c r="Z279" i="19"/>
  <c r="D277" i="32" s="1"/>
  <c r="AR279" i="19"/>
  <c r="D278" i="25" s="1"/>
  <c r="Z280" i="19"/>
  <c r="D278" i="32" s="1"/>
  <c r="AR280" i="19"/>
  <c r="Z281" i="19"/>
  <c r="D279" i="32" s="1"/>
  <c r="AR281" i="19"/>
  <c r="Z282" i="19"/>
  <c r="D280" i="32" s="1"/>
  <c r="AR282" i="19"/>
  <c r="Z283" i="19"/>
  <c r="D281" i="32" s="1"/>
  <c r="AR283" i="19"/>
  <c r="D282" i="25" s="1"/>
  <c r="Z284" i="19"/>
  <c r="D282" i="32" s="1"/>
  <c r="AR284" i="19"/>
  <c r="D283" i="25" s="1"/>
  <c r="Z285" i="19"/>
  <c r="D283" i="32" s="1"/>
  <c r="AR285" i="19"/>
  <c r="D284" i="25" s="1"/>
  <c r="Z286" i="19"/>
  <c r="D284" i="32" s="1"/>
  <c r="AR286" i="19"/>
  <c r="Z287" i="19"/>
  <c r="D285" i="32" s="1"/>
  <c r="AR287" i="19"/>
  <c r="D286" i="25" s="1"/>
  <c r="Z288" i="19"/>
  <c r="D286" i="32" s="1"/>
  <c r="AR288" i="19"/>
  <c r="Z289" i="19"/>
  <c r="D287" i="32" s="1"/>
  <c r="AR289" i="19"/>
  <c r="Z290" i="19"/>
  <c r="D288" i="32" s="1"/>
  <c r="AR290" i="19"/>
  <c r="Z291" i="19"/>
  <c r="D289" i="32" s="1"/>
  <c r="AR291" i="19"/>
  <c r="D290" i="25" s="1"/>
  <c r="Z292" i="19"/>
  <c r="D290" i="32" s="1"/>
  <c r="AR292" i="19"/>
  <c r="Z293" i="19"/>
  <c r="D291" i="32" s="1"/>
  <c r="AR293" i="19"/>
  <c r="D292" i="25" s="1"/>
  <c r="Z294" i="19"/>
  <c r="D292" i="32" s="1"/>
  <c r="AR294" i="19"/>
  <c r="Z295" i="19"/>
  <c r="D293" i="32" s="1"/>
  <c r="AR295" i="19"/>
  <c r="D294" i="25" s="1"/>
  <c r="Z296" i="19"/>
  <c r="D294" i="32" s="1"/>
  <c r="AR296" i="19"/>
  <c r="Z297" i="19"/>
  <c r="D295" i="32" s="1"/>
  <c r="AR297" i="19"/>
  <c r="Z298" i="19"/>
  <c r="D296" i="32" s="1"/>
  <c r="AR298" i="19"/>
  <c r="Z299" i="19"/>
  <c r="D297" i="32" s="1"/>
  <c r="AR299" i="19"/>
  <c r="D298" i="25" s="1"/>
  <c r="Z300" i="19"/>
  <c r="D298" i="32" s="1"/>
  <c r="AR300" i="19"/>
  <c r="D299" i="25" s="1"/>
  <c r="Z301" i="19"/>
  <c r="D299" i="32" s="1"/>
  <c r="AR301" i="19"/>
  <c r="D300" i="25" s="1"/>
  <c r="Z302" i="19"/>
  <c r="D300" i="32" s="1"/>
  <c r="AR302" i="19"/>
  <c r="Z303" i="19"/>
  <c r="D301" i="32" s="1"/>
  <c r="AR303" i="19"/>
  <c r="D302" i="25" s="1"/>
  <c r="Z304" i="19"/>
  <c r="D302" i="32" s="1"/>
  <c r="AR304" i="19"/>
  <c r="Z305" i="19"/>
  <c r="D303" i="32" s="1"/>
  <c r="AR305" i="19"/>
  <c r="Z306" i="19"/>
  <c r="D304" i="32" s="1"/>
  <c r="AR306" i="19"/>
  <c r="Z307" i="19"/>
  <c r="D305" i="32" s="1"/>
  <c r="AR307" i="19"/>
  <c r="D306" i="25" s="1"/>
  <c r="Z308" i="19"/>
  <c r="D306" i="32" s="1"/>
  <c r="AR308" i="19"/>
  <c r="Z309" i="19"/>
  <c r="D307" i="32" s="1"/>
  <c r="AR309" i="19"/>
  <c r="D308" i="25" s="1"/>
  <c r="Z310" i="19"/>
  <c r="D308" i="32" s="1"/>
  <c r="AR310" i="19"/>
  <c r="Z311" i="19"/>
  <c r="D309" i="32" s="1"/>
  <c r="AR311" i="19"/>
  <c r="D309" i="33" s="1"/>
  <c r="Z312" i="19"/>
  <c r="D310" i="32" s="1"/>
  <c r="AR312" i="19"/>
  <c r="Z313" i="19"/>
  <c r="D311" i="32" s="1"/>
  <c r="AR313" i="19"/>
  <c r="Z314" i="19"/>
  <c r="D312" i="32" s="1"/>
  <c r="AR314" i="19"/>
  <c r="Z315" i="19"/>
  <c r="D313" i="32" s="1"/>
  <c r="AR315" i="19"/>
  <c r="D314" i="25" s="1"/>
  <c r="V8" i="19"/>
  <c r="W8" i="19"/>
  <c r="X8" i="19"/>
  <c r="V9" i="19"/>
  <c r="W9" i="19"/>
  <c r="X9" i="19"/>
  <c r="V10" i="19"/>
  <c r="W10" i="19"/>
  <c r="X10" i="19"/>
  <c r="V11" i="19"/>
  <c r="W11" i="19"/>
  <c r="X11" i="19"/>
  <c r="V12" i="19"/>
  <c r="W12" i="19"/>
  <c r="X12" i="19"/>
  <c r="V13" i="19"/>
  <c r="W13" i="19"/>
  <c r="X13" i="19"/>
  <c r="V14" i="19"/>
  <c r="W14" i="19"/>
  <c r="X14" i="19"/>
  <c r="V15" i="19"/>
  <c r="W15" i="19"/>
  <c r="X15" i="19"/>
  <c r="V16" i="19"/>
  <c r="W16" i="19"/>
  <c r="X16" i="19"/>
  <c r="V17" i="19"/>
  <c r="W17" i="19"/>
  <c r="X17" i="19"/>
  <c r="V18" i="19"/>
  <c r="W18" i="19"/>
  <c r="X18" i="19"/>
  <c r="V19" i="19"/>
  <c r="W19" i="19"/>
  <c r="X19" i="19"/>
  <c r="V20" i="19"/>
  <c r="W20" i="19"/>
  <c r="X20" i="19"/>
  <c r="V21" i="19"/>
  <c r="W21" i="19"/>
  <c r="X21" i="19"/>
  <c r="V22" i="19"/>
  <c r="W22" i="19"/>
  <c r="X22" i="19"/>
  <c r="V23" i="19"/>
  <c r="W23" i="19"/>
  <c r="X23" i="19"/>
  <c r="V24" i="19"/>
  <c r="W24" i="19"/>
  <c r="X24" i="19"/>
  <c r="V25" i="19"/>
  <c r="W25" i="19"/>
  <c r="X25" i="19"/>
  <c r="V26" i="19"/>
  <c r="W26" i="19"/>
  <c r="X26" i="19"/>
  <c r="V27" i="19"/>
  <c r="W27" i="19"/>
  <c r="X27" i="19"/>
  <c r="V28" i="19"/>
  <c r="W28" i="19"/>
  <c r="X28" i="19"/>
  <c r="V29" i="19"/>
  <c r="W29" i="19"/>
  <c r="X29" i="19"/>
  <c r="V30" i="19"/>
  <c r="W30" i="19"/>
  <c r="X30" i="19"/>
  <c r="V31" i="19"/>
  <c r="W31" i="19"/>
  <c r="X31" i="19"/>
  <c r="V32" i="19"/>
  <c r="W32" i="19"/>
  <c r="X32" i="19"/>
  <c r="V33" i="19"/>
  <c r="W33" i="19"/>
  <c r="X33" i="19"/>
  <c r="V34" i="19"/>
  <c r="W34" i="19"/>
  <c r="X34" i="19"/>
  <c r="V35" i="19"/>
  <c r="W35" i="19"/>
  <c r="X35" i="19"/>
  <c r="V36" i="19"/>
  <c r="W36" i="19"/>
  <c r="X36" i="19"/>
  <c r="V37" i="19"/>
  <c r="W37" i="19"/>
  <c r="X37" i="19"/>
  <c r="V38" i="19"/>
  <c r="W38" i="19"/>
  <c r="X38" i="19"/>
  <c r="V39" i="19"/>
  <c r="W39" i="19"/>
  <c r="X39" i="19"/>
  <c r="V40" i="19"/>
  <c r="W40" i="19"/>
  <c r="X40" i="19"/>
  <c r="V41" i="19"/>
  <c r="W41" i="19"/>
  <c r="X41" i="19"/>
  <c r="V42" i="19"/>
  <c r="W42" i="19"/>
  <c r="X42" i="19"/>
  <c r="V43" i="19"/>
  <c r="W43" i="19"/>
  <c r="X43" i="19"/>
  <c r="V44" i="19"/>
  <c r="W44" i="19"/>
  <c r="X44" i="19"/>
  <c r="V45" i="19"/>
  <c r="W45" i="19"/>
  <c r="X45" i="19"/>
  <c r="V46" i="19"/>
  <c r="W46" i="19"/>
  <c r="X46" i="19"/>
  <c r="V47" i="19"/>
  <c r="W47" i="19"/>
  <c r="X47" i="19"/>
  <c r="V48" i="19"/>
  <c r="W48" i="19"/>
  <c r="X48" i="19"/>
  <c r="V49" i="19"/>
  <c r="W49" i="19"/>
  <c r="X49" i="19"/>
  <c r="V50" i="19"/>
  <c r="W50" i="19"/>
  <c r="X50" i="19"/>
  <c r="V51" i="19"/>
  <c r="W51" i="19"/>
  <c r="X51" i="19"/>
  <c r="V52" i="19"/>
  <c r="W52" i="19"/>
  <c r="X52" i="19"/>
  <c r="V53" i="19"/>
  <c r="W53" i="19"/>
  <c r="X53" i="19"/>
  <c r="V54" i="19"/>
  <c r="W54" i="19"/>
  <c r="X54" i="19"/>
  <c r="V55" i="19"/>
  <c r="W55" i="19"/>
  <c r="X55" i="19"/>
  <c r="V56" i="19"/>
  <c r="W56" i="19"/>
  <c r="X56" i="19"/>
  <c r="V57" i="19"/>
  <c r="W57" i="19"/>
  <c r="X57" i="19"/>
  <c r="V58" i="19"/>
  <c r="W58" i="19"/>
  <c r="X58" i="19"/>
  <c r="V59" i="19"/>
  <c r="W59" i="19"/>
  <c r="X59" i="19"/>
  <c r="V60" i="19"/>
  <c r="W60" i="19"/>
  <c r="X60" i="19"/>
  <c r="V61" i="19"/>
  <c r="W61" i="19"/>
  <c r="X61" i="19"/>
  <c r="V62" i="19"/>
  <c r="W62" i="19"/>
  <c r="X62" i="19"/>
  <c r="V63" i="19"/>
  <c r="W63" i="19"/>
  <c r="X63" i="19"/>
  <c r="V64" i="19"/>
  <c r="W64" i="19"/>
  <c r="X64" i="19"/>
  <c r="V65" i="19"/>
  <c r="W65" i="19"/>
  <c r="X65" i="19"/>
  <c r="V66" i="19"/>
  <c r="W66" i="19"/>
  <c r="X66" i="19"/>
  <c r="V67" i="19"/>
  <c r="W67" i="19"/>
  <c r="X67" i="19"/>
  <c r="V68" i="19"/>
  <c r="W68" i="19"/>
  <c r="X68" i="19"/>
  <c r="V69" i="19"/>
  <c r="W69" i="19"/>
  <c r="X69" i="19"/>
  <c r="V70" i="19"/>
  <c r="W70" i="19"/>
  <c r="X70" i="19"/>
  <c r="V71" i="19"/>
  <c r="W71" i="19"/>
  <c r="X71" i="19"/>
  <c r="V72" i="19"/>
  <c r="W72" i="19"/>
  <c r="X72" i="19"/>
  <c r="V73" i="19"/>
  <c r="W73" i="19"/>
  <c r="X73" i="19"/>
  <c r="V74" i="19"/>
  <c r="W74" i="19"/>
  <c r="X74" i="19"/>
  <c r="V75" i="19"/>
  <c r="W75" i="19"/>
  <c r="X75" i="19"/>
  <c r="V76" i="19"/>
  <c r="W76" i="19"/>
  <c r="X76" i="19"/>
  <c r="V77" i="19"/>
  <c r="W77" i="19"/>
  <c r="X77" i="19"/>
  <c r="V78" i="19"/>
  <c r="W78" i="19"/>
  <c r="X78" i="19"/>
  <c r="V79" i="19"/>
  <c r="W79" i="19"/>
  <c r="X79" i="19"/>
  <c r="V80" i="19"/>
  <c r="W80" i="19"/>
  <c r="X80" i="19"/>
  <c r="V81" i="19"/>
  <c r="W81" i="19"/>
  <c r="X81" i="19"/>
  <c r="V82" i="19"/>
  <c r="W82" i="19"/>
  <c r="X82" i="19"/>
  <c r="V83" i="19"/>
  <c r="W83" i="19"/>
  <c r="X83" i="19"/>
  <c r="V84" i="19"/>
  <c r="W84" i="19"/>
  <c r="X84" i="19"/>
  <c r="V85" i="19"/>
  <c r="W85" i="19"/>
  <c r="X85" i="19"/>
  <c r="V86" i="19"/>
  <c r="W86" i="19"/>
  <c r="X86" i="19"/>
  <c r="V87" i="19"/>
  <c r="W87" i="19"/>
  <c r="X87" i="19"/>
  <c r="V88" i="19"/>
  <c r="W88" i="19"/>
  <c r="X88" i="19"/>
  <c r="V89" i="19"/>
  <c r="W89" i="19"/>
  <c r="X89" i="19"/>
  <c r="V90" i="19"/>
  <c r="W90" i="19"/>
  <c r="X90" i="19"/>
  <c r="V91" i="19"/>
  <c r="W91" i="19"/>
  <c r="X91" i="19"/>
  <c r="V92" i="19"/>
  <c r="W92" i="19"/>
  <c r="X92" i="19"/>
  <c r="V93" i="19"/>
  <c r="W93" i="19"/>
  <c r="X93" i="19"/>
  <c r="V94" i="19"/>
  <c r="W94" i="19"/>
  <c r="X94" i="19"/>
  <c r="V95" i="19"/>
  <c r="W95" i="19"/>
  <c r="X95" i="19"/>
  <c r="V96" i="19"/>
  <c r="W96" i="19"/>
  <c r="X96" i="19"/>
  <c r="V97" i="19"/>
  <c r="W97" i="19"/>
  <c r="X97" i="19"/>
  <c r="V98" i="19"/>
  <c r="W98" i="19"/>
  <c r="X98" i="19"/>
  <c r="V99" i="19"/>
  <c r="W99" i="19"/>
  <c r="X99" i="19"/>
  <c r="V100" i="19"/>
  <c r="W100" i="19"/>
  <c r="X100" i="19"/>
  <c r="V101" i="19"/>
  <c r="W101" i="19"/>
  <c r="X101" i="19"/>
  <c r="V102" i="19"/>
  <c r="W102" i="19"/>
  <c r="X102" i="19"/>
  <c r="V103" i="19"/>
  <c r="W103" i="19"/>
  <c r="X103" i="19"/>
  <c r="V104" i="19"/>
  <c r="W104" i="19"/>
  <c r="X104" i="19"/>
  <c r="V105" i="19"/>
  <c r="W105" i="19"/>
  <c r="X105" i="19"/>
  <c r="V106" i="19"/>
  <c r="W106" i="19"/>
  <c r="X106" i="19"/>
  <c r="V107" i="19"/>
  <c r="W107" i="19"/>
  <c r="X107" i="19"/>
  <c r="V108" i="19"/>
  <c r="W108" i="19"/>
  <c r="X108" i="19"/>
  <c r="V109" i="19"/>
  <c r="W109" i="19"/>
  <c r="X109" i="19"/>
  <c r="V110" i="19"/>
  <c r="W110" i="19"/>
  <c r="X110" i="19"/>
  <c r="V111" i="19"/>
  <c r="W111" i="19"/>
  <c r="X111" i="19"/>
  <c r="V112" i="19"/>
  <c r="W112" i="19"/>
  <c r="X112" i="19"/>
  <c r="V113" i="19"/>
  <c r="W113" i="19"/>
  <c r="X113" i="19"/>
  <c r="V114" i="19"/>
  <c r="W114" i="19"/>
  <c r="X114" i="19"/>
  <c r="V115" i="19"/>
  <c r="W115" i="19"/>
  <c r="X115" i="19"/>
  <c r="V116" i="19"/>
  <c r="W116" i="19"/>
  <c r="X116" i="19"/>
  <c r="V117" i="19"/>
  <c r="W117" i="19"/>
  <c r="X117" i="19"/>
  <c r="V118" i="19"/>
  <c r="W118" i="19"/>
  <c r="X118" i="19"/>
  <c r="V119" i="19"/>
  <c r="W119" i="19"/>
  <c r="X119" i="19"/>
  <c r="V120" i="19"/>
  <c r="W120" i="19"/>
  <c r="X120" i="19"/>
  <c r="V121" i="19"/>
  <c r="W121" i="19"/>
  <c r="X121" i="19"/>
  <c r="V122" i="19"/>
  <c r="W122" i="19"/>
  <c r="X122" i="19"/>
  <c r="V123" i="19"/>
  <c r="W123" i="19"/>
  <c r="X123" i="19"/>
  <c r="V124" i="19"/>
  <c r="W124" i="19"/>
  <c r="X124" i="19"/>
  <c r="V125" i="19"/>
  <c r="W125" i="19"/>
  <c r="X125" i="19"/>
  <c r="V126" i="19"/>
  <c r="W126" i="19"/>
  <c r="X126" i="19"/>
  <c r="V127" i="19"/>
  <c r="W127" i="19"/>
  <c r="X127" i="19"/>
  <c r="V128" i="19"/>
  <c r="W128" i="19"/>
  <c r="X128" i="19"/>
  <c r="V129" i="19"/>
  <c r="W129" i="19"/>
  <c r="X129" i="19"/>
  <c r="V130" i="19"/>
  <c r="W130" i="19"/>
  <c r="X130" i="19"/>
  <c r="V131" i="19"/>
  <c r="W131" i="19"/>
  <c r="X131" i="19"/>
  <c r="V132" i="19"/>
  <c r="W132" i="19"/>
  <c r="X132" i="19"/>
  <c r="V133" i="19"/>
  <c r="W133" i="19"/>
  <c r="X133" i="19"/>
  <c r="V134" i="19"/>
  <c r="W134" i="19"/>
  <c r="X134" i="19"/>
  <c r="V135" i="19"/>
  <c r="W135" i="19"/>
  <c r="X135" i="19"/>
  <c r="V136" i="19"/>
  <c r="W136" i="19"/>
  <c r="X136" i="19"/>
  <c r="V137" i="19"/>
  <c r="W137" i="19"/>
  <c r="X137" i="19"/>
  <c r="V138" i="19"/>
  <c r="W138" i="19"/>
  <c r="X138" i="19"/>
  <c r="V139" i="19"/>
  <c r="W139" i="19"/>
  <c r="X139" i="19"/>
  <c r="V140" i="19"/>
  <c r="W140" i="19"/>
  <c r="X140" i="19"/>
  <c r="V141" i="19"/>
  <c r="W141" i="19"/>
  <c r="X141" i="19"/>
  <c r="V142" i="19"/>
  <c r="W142" i="19"/>
  <c r="X142" i="19"/>
  <c r="V143" i="19"/>
  <c r="W143" i="19"/>
  <c r="X143" i="19"/>
  <c r="V144" i="19"/>
  <c r="W144" i="19"/>
  <c r="X144" i="19"/>
  <c r="V145" i="19"/>
  <c r="W145" i="19"/>
  <c r="X145" i="19"/>
  <c r="V146" i="19"/>
  <c r="W146" i="19"/>
  <c r="X146" i="19"/>
  <c r="V147" i="19"/>
  <c r="W147" i="19"/>
  <c r="X147" i="19"/>
  <c r="V148" i="19"/>
  <c r="W148" i="19"/>
  <c r="X148" i="19"/>
  <c r="V149" i="19"/>
  <c r="W149" i="19"/>
  <c r="X149" i="19"/>
  <c r="V150" i="19"/>
  <c r="W150" i="19"/>
  <c r="X150" i="19"/>
  <c r="V151" i="19"/>
  <c r="W151" i="19"/>
  <c r="X151" i="19"/>
  <c r="V152" i="19"/>
  <c r="W152" i="19"/>
  <c r="X152" i="19"/>
  <c r="V153" i="19"/>
  <c r="W153" i="19"/>
  <c r="X153" i="19"/>
  <c r="V154" i="19"/>
  <c r="W154" i="19"/>
  <c r="X154" i="19"/>
  <c r="V155" i="19"/>
  <c r="W155" i="19"/>
  <c r="X155" i="19"/>
  <c r="V156" i="19"/>
  <c r="W156" i="19"/>
  <c r="X156" i="19"/>
  <c r="V157" i="19"/>
  <c r="W157" i="19"/>
  <c r="X157" i="19"/>
  <c r="V158" i="19"/>
  <c r="W158" i="19"/>
  <c r="X158" i="19"/>
  <c r="V159" i="19"/>
  <c r="W159" i="19"/>
  <c r="X159" i="19"/>
  <c r="V160" i="19"/>
  <c r="W160" i="19"/>
  <c r="X160" i="19"/>
  <c r="V161" i="19"/>
  <c r="W161" i="19"/>
  <c r="X161" i="19"/>
  <c r="V162" i="19"/>
  <c r="W162" i="19"/>
  <c r="X162" i="19"/>
  <c r="V163" i="19"/>
  <c r="W163" i="19"/>
  <c r="X163" i="19"/>
  <c r="V164" i="19"/>
  <c r="W164" i="19"/>
  <c r="X164" i="19"/>
  <c r="V165" i="19"/>
  <c r="W165" i="19"/>
  <c r="X165" i="19"/>
  <c r="V166" i="19"/>
  <c r="W166" i="19"/>
  <c r="X166" i="19"/>
  <c r="V167" i="19"/>
  <c r="W167" i="19"/>
  <c r="X167" i="19"/>
  <c r="V168" i="19"/>
  <c r="W168" i="19"/>
  <c r="X168" i="19"/>
  <c r="V169" i="19"/>
  <c r="W169" i="19"/>
  <c r="X169" i="19"/>
  <c r="V170" i="19"/>
  <c r="W170" i="19"/>
  <c r="X170" i="19"/>
  <c r="V171" i="19"/>
  <c r="W171" i="19"/>
  <c r="X171" i="19"/>
  <c r="V172" i="19"/>
  <c r="W172" i="19"/>
  <c r="X172" i="19"/>
  <c r="V173" i="19"/>
  <c r="W173" i="19"/>
  <c r="X173" i="19"/>
  <c r="V174" i="19"/>
  <c r="W174" i="19"/>
  <c r="X174" i="19"/>
  <c r="V175" i="19"/>
  <c r="W175" i="19"/>
  <c r="X175" i="19"/>
  <c r="V176" i="19"/>
  <c r="W176" i="19"/>
  <c r="X176" i="19"/>
  <c r="V177" i="19"/>
  <c r="W177" i="19"/>
  <c r="X177" i="19"/>
  <c r="V178" i="19"/>
  <c r="W178" i="19"/>
  <c r="X178" i="19"/>
  <c r="V179" i="19"/>
  <c r="W179" i="19"/>
  <c r="X179" i="19"/>
  <c r="V180" i="19"/>
  <c r="W180" i="19"/>
  <c r="X180" i="19"/>
  <c r="V181" i="19"/>
  <c r="W181" i="19"/>
  <c r="X181" i="19"/>
  <c r="V182" i="19"/>
  <c r="W182" i="19"/>
  <c r="X182" i="19"/>
  <c r="V183" i="19"/>
  <c r="W183" i="19"/>
  <c r="X183" i="19"/>
  <c r="V184" i="19"/>
  <c r="W184" i="19"/>
  <c r="X184" i="19"/>
  <c r="V185" i="19"/>
  <c r="W185" i="19"/>
  <c r="X185" i="19"/>
  <c r="V186" i="19"/>
  <c r="W186" i="19"/>
  <c r="X186" i="19"/>
  <c r="V187" i="19"/>
  <c r="W187" i="19"/>
  <c r="X187" i="19"/>
  <c r="V188" i="19"/>
  <c r="W188" i="19"/>
  <c r="X188" i="19"/>
  <c r="V189" i="19"/>
  <c r="W189" i="19"/>
  <c r="X189" i="19"/>
  <c r="V190" i="19"/>
  <c r="W190" i="19"/>
  <c r="X190" i="19"/>
  <c r="V191" i="19"/>
  <c r="W191" i="19"/>
  <c r="X191" i="19"/>
  <c r="V192" i="19"/>
  <c r="W192" i="19"/>
  <c r="X192" i="19"/>
  <c r="V193" i="19"/>
  <c r="W193" i="19"/>
  <c r="X193" i="19"/>
  <c r="V194" i="19"/>
  <c r="W194" i="19"/>
  <c r="X194" i="19"/>
  <c r="V195" i="19"/>
  <c r="W195" i="19"/>
  <c r="X195" i="19"/>
  <c r="V196" i="19"/>
  <c r="W196" i="19"/>
  <c r="X196" i="19"/>
  <c r="V197" i="19"/>
  <c r="W197" i="19"/>
  <c r="X197" i="19"/>
  <c r="V198" i="19"/>
  <c r="W198" i="19"/>
  <c r="X198" i="19"/>
  <c r="V199" i="19"/>
  <c r="W199" i="19"/>
  <c r="X199" i="19"/>
  <c r="V200" i="19"/>
  <c r="W200" i="19"/>
  <c r="X200" i="19"/>
  <c r="V201" i="19"/>
  <c r="W201" i="19"/>
  <c r="X201" i="19"/>
  <c r="V202" i="19"/>
  <c r="W202" i="19"/>
  <c r="X202" i="19"/>
  <c r="V203" i="19"/>
  <c r="W203" i="19"/>
  <c r="X203" i="19"/>
  <c r="V204" i="19"/>
  <c r="W204" i="19"/>
  <c r="X204" i="19"/>
  <c r="V205" i="19"/>
  <c r="W205" i="19"/>
  <c r="X205" i="19"/>
  <c r="V206" i="19"/>
  <c r="W206" i="19"/>
  <c r="X206" i="19"/>
  <c r="V207" i="19"/>
  <c r="W207" i="19"/>
  <c r="X207" i="19"/>
  <c r="V208" i="19"/>
  <c r="W208" i="19"/>
  <c r="X208" i="19"/>
  <c r="V209" i="19"/>
  <c r="W209" i="19"/>
  <c r="X209" i="19"/>
  <c r="V210" i="19"/>
  <c r="W210" i="19"/>
  <c r="X210" i="19"/>
  <c r="V211" i="19"/>
  <c r="W211" i="19"/>
  <c r="X211" i="19"/>
  <c r="V212" i="19"/>
  <c r="W212" i="19"/>
  <c r="X212" i="19"/>
  <c r="V213" i="19"/>
  <c r="W213" i="19"/>
  <c r="X213" i="19"/>
  <c r="V214" i="19"/>
  <c r="W214" i="19"/>
  <c r="X214" i="19"/>
  <c r="V215" i="19"/>
  <c r="W215" i="19"/>
  <c r="X215" i="19"/>
  <c r="V216" i="19"/>
  <c r="W216" i="19"/>
  <c r="X216" i="19"/>
  <c r="V217" i="19"/>
  <c r="W217" i="19"/>
  <c r="X217" i="19"/>
  <c r="V218" i="19"/>
  <c r="W218" i="19"/>
  <c r="X218" i="19"/>
  <c r="V219" i="19"/>
  <c r="W219" i="19"/>
  <c r="X219" i="19"/>
  <c r="V220" i="19"/>
  <c r="W220" i="19"/>
  <c r="X220" i="19"/>
  <c r="V221" i="19"/>
  <c r="W221" i="19"/>
  <c r="X221" i="19"/>
  <c r="V222" i="19"/>
  <c r="W222" i="19"/>
  <c r="X222" i="19"/>
  <c r="V223" i="19"/>
  <c r="W223" i="19"/>
  <c r="X223" i="19"/>
  <c r="V224" i="19"/>
  <c r="W224" i="19"/>
  <c r="X224" i="19"/>
  <c r="V225" i="19"/>
  <c r="W225" i="19"/>
  <c r="X225" i="19"/>
  <c r="V226" i="19"/>
  <c r="W226" i="19"/>
  <c r="X226" i="19"/>
  <c r="V227" i="19"/>
  <c r="W227" i="19"/>
  <c r="X227" i="19"/>
  <c r="V228" i="19"/>
  <c r="W228" i="19"/>
  <c r="X228" i="19"/>
  <c r="V229" i="19"/>
  <c r="W229" i="19"/>
  <c r="X229" i="19"/>
  <c r="V230" i="19"/>
  <c r="W230" i="19"/>
  <c r="X230" i="19"/>
  <c r="V231" i="19"/>
  <c r="W231" i="19"/>
  <c r="X231" i="19"/>
  <c r="V232" i="19"/>
  <c r="W232" i="19"/>
  <c r="X232" i="19"/>
  <c r="V233" i="19"/>
  <c r="W233" i="19"/>
  <c r="X233" i="19"/>
  <c r="V234" i="19"/>
  <c r="W234" i="19"/>
  <c r="X234" i="19"/>
  <c r="V235" i="19"/>
  <c r="W235" i="19"/>
  <c r="X235" i="19"/>
  <c r="V236" i="19"/>
  <c r="W236" i="19"/>
  <c r="X236" i="19"/>
  <c r="V237" i="19"/>
  <c r="W237" i="19"/>
  <c r="X237" i="19"/>
  <c r="V238" i="19"/>
  <c r="W238" i="19"/>
  <c r="X238" i="19"/>
  <c r="V239" i="19"/>
  <c r="W239" i="19"/>
  <c r="X239" i="19"/>
  <c r="V240" i="19"/>
  <c r="W240" i="19"/>
  <c r="X240" i="19"/>
  <c r="V241" i="19"/>
  <c r="W241" i="19"/>
  <c r="X241" i="19"/>
  <c r="V242" i="19"/>
  <c r="W242" i="19"/>
  <c r="X242" i="19"/>
  <c r="V243" i="19"/>
  <c r="W243" i="19"/>
  <c r="X243" i="19"/>
  <c r="V244" i="19"/>
  <c r="W244" i="19"/>
  <c r="X244" i="19"/>
  <c r="V245" i="19"/>
  <c r="W245" i="19"/>
  <c r="X245" i="19"/>
  <c r="V246" i="19"/>
  <c r="W246" i="19"/>
  <c r="X246" i="19"/>
  <c r="V247" i="19"/>
  <c r="W247" i="19"/>
  <c r="X247" i="19"/>
  <c r="V248" i="19"/>
  <c r="W248" i="19"/>
  <c r="X248" i="19"/>
  <c r="V249" i="19"/>
  <c r="W249" i="19"/>
  <c r="X249" i="19"/>
  <c r="V250" i="19"/>
  <c r="W250" i="19"/>
  <c r="X250" i="19"/>
  <c r="V251" i="19"/>
  <c r="W251" i="19"/>
  <c r="X251" i="19"/>
  <c r="V252" i="19"/>
  <c r="W252" i="19"/>
  <c r="X252" i="19"/>
  <c r="V253" i="19"/>
  <c r="W253" i="19"/>
  <c r="X253" i="19"/>
  <c r="V254" i="19"/>
  <c r="W254" i="19"/>
  <c r="X254" i="19"/>
  <c r="V255" i="19"/>
  <c r="W255" i="19"/>
  <c r="X255" i="19"/>
  <c r="V256" i="19"/>
  <c r="W256" i="19"/>
  <c r="X256" i="19"/>
  <c r="V257" i="19"/>
  <c r="W257" i="19"/>
  <c r="X257" i="19"/>
  <c r="V258" i="19"/>
  <c r="W258" i="19"/>
  <c r="X258" i="19"/>
  <c r="V259" i="19"/>
  <c r="W259" i="19"/>
  <c r="X259" i="19"/>
  <c r="V260" i="19"/>
  <c r="W260" i="19"/>
  <c r="X260" i="19"/>
  <c r="V261" i="19"/>
  <c r="W261" i="19"/>
  <c r="X261" i="19"/>
  <c r="V262" i="19"/>
  <c r="W262" i="19"/>
  <c r="X262" i="19"/>
  <c r="V263" i="19"/>
  <c r="W263" i="19"/>
  <c r="X263" i="19"/>
  <c r="V264" i="19"/>
  <c r="W264" i="19"/>
  <c r="X264" i="19"/>
  <c r="V265" i="19"/>
  <c r="W265" i="19"/>
  <c r="X265" i="19"/>
  <c r="V266" i="19"/>
  <c r="W266" i="19"/>
  <c r="X266" i="19"/>
  <c r="V267" i="19"/>
  <c r="W267" i="19"/>
  <c r="X267" i="19"/>
  <c r="V268" i="19"/>
  <c r="W268" i="19"/>
  <c r="X268" i="19"/>
  <c r="V269" i="19"/>
  <c r="W269" i="19"/>
  <c r="X269" i="19"/>
  <c r="V270" i="19"/>
  <c r="W270" i="19"/>
  <c r="X270" i="19"/>
  <c r="V271" i="19"/>
  <c r="W271" i="19"/>
  <c r="X271" i="19"/>
  <c r="V272" i="19"/>
  <c r="W272" i="19"/>
  <c r="X272" i="19"/>
  <c r="V273" i="19"/>
  <c r="W273" i="19"/>
  <c r="X273" i="19"/>
  <c r="V274" i="19"/>
  <c r="W274" i="19"/>
  <c r="X274" i="19"/>
  <c r="V275" i="19"/>
  <c r="W275" i="19"/>
  <c r="X275" i="19"/>
  <c r="V276" i="19"/>
  <c r="W276" i="19"/>
  <c r="X276" i="19"/>
  <c r="V277" i="19"/>
  <c r="W277" i="19"/>
  <c r="X277" i="19"/>
  <c r="V278" i="19"/>
  <c r="W278" i="19"/>
  <c r="X278" i="19"/>
  <c r="V279" i="19"/>
  <c r="W279" i="19"/>
  <c r="X279" i="19"/>
  <c r="V280" i="19"/>
  <c r="W280" i="19"/>
  <c r="X280" i="19"/>
  <c r="V281" i="19"/>
  <c r="W281" i="19"/>
  <c r="X281" i="19"/>
  <c r="V282" i="19"/>
  <c r="W282" i="19"/>
  <c r="X282" i="19"/>
  <c r="V283" i="19"/>
  <c r="W283" i="19"/>
  <c r="X283" i="19"/>
  <c r="V284" i="19"/>
  <c r="W284" i="19"/>
  <c r="X284" i="19"/>
  <c r="V285" i="19"/>
  <c r="W285" i="19"/>
  <c r="X285" i="19"/>
  <c r="V286" i="19"/>
  <c r="W286" i="19"/>
  <c r="X286" i="19"/>
  <c r="V287" i="19"/>
  <c r="W287" i="19"/>
  <c r="X287" i="19"/>
  <c r="V288" i="19"/>
  <c r="W288" i="19"/>
  <c r="X288" i="19"/>
  <c r="V289" i="19"/>
  <c r="W289" i="19"/>
  <c r="X289" i="19"/>
  <c r="V290" i="19"/>
  <c r="W290" i="19"/>
  <c r="X290" i="19"/>
  <c r="V291" i="19"/>
  <c r="W291" i="19"/>
  <c r="X291" i="19"/>
  <c r="V292" i="19"/>
  <c r="W292" i="19"/>
  <c r="X292" i="19"/>
  <c r="V293" i="19"/>
  <c r="W293" i="19"/>
  <c r="X293" i="19"/>
  <c r="V294" i="19"/>
  <c r="W294" i="19"/>
  <c r="X294" i="19"/>
  <c r="V295" i="19"/>
  <c r="W295" i="19"/>
  <c r="X295" i="19"/>
  <c r="V296" i="19"/>
  <c r="W296" i="19"/>
  <c r="X296" i="19"/>
  <c r="V297" i="19"/>
  <c r="W297" i="19"/>
  <c r="X297" i="19"/>
  <c r="V298" i="19"/>
  <c r="W298" i="19"/>
  <c r="X298" i="19"/>
  <c r="V299" i="19"/>
  <c r="W299" i="19"/>
  <c r="X299" i="19"/>
  <c r="V300" i="19"/>
  <c r="W300" i="19"/>
  <c r="X300" i="19"/>
  <c r="V301" i="19"/>
  <c r="W301" i="19"/>
  <c r="X301" i="19"/>
  <c r="V302" i="19"/>
  <c r="W302" i="19"/>
  <c r="X302" i="19"/>
  <c r="V303" i="19"/>
  <c r="W303" i="19"/>
  <c r="X303" i="19"/>
  <c r="V304" i="19"/>
  <c r="W304" i="19"/>
  <c r="X304" i="19"/>
  <c r="V305" i="19"/>
  <c r="W305" i="19"/>
  <c r="X305" i="19"/>
  <c r="V306" i="19"/>
  <c r="W306" i="19"/>
  <c r="X306" i="19"/>
  <c r="V307" i="19"/>
  <c r="W307" i="19"/>
  <c r="X307" i="19"/>
  <c r="V308" i="19"/>
  <c r="W308" i="19"/>
  <c r="X308" i="19"/>
  <c r="V309" i="19"/>
  <c r="W309" i="19"/>
  <c r="X309" i="19"/>
  <c r="V310" i="19"/>
  <c r="W310" i="19"/>
  <c r="X310" i="19"/>
  <c r="V311" i="19"/>
  <c r="W311" i="19"/>
  <c r="X311" i="19"/>
  <c r="V312" i="19"/>
  <c r="W312" i="19"/>
  <c r="X312" i="19"/>
  <c r="V313" i="19"/>
  <c r="W313" i="19"/>
  <c r="X313" i="19"/>
  <c r="V314" i="19"/>
  <c r="W314" i="19"/>
  <c r="X314" i="19"/>
  <c r="V315" i="19"/>
  <c r="W315" i="19"/>
  <c r="X315" i="19"/>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H8" i="19"/>
  <c r="I8" i="19"/>
  <c r="K8" i="19"/>
  <c r="L8" i="19"/>
  <c r="M8" i="19"/>
  <c r="N8" i="19"/>
  <c r="P8" i="19"/>
  <c r="Q8" i="19"/>
  <c r="H9" i="19"/>
  <c r="I9" i="19"/>
  <c r="K9" i="19"/>
  <c r="L9" i="19"/>
  <c r="M9" i="19"/>
  <c r="N9" i="19"/>
  <c r="P9" i="19"/>
  <c r="Q9" i="19"/>
  <c r="H10" i="19"/>
  <c r="I10" i="19"/>
  <c r="K10" i="19"/>
  <c r="L10" i="19"/>
  <c r="M10" i="19"/>
  <c r="N10" i="19"/>
  <c r="P10" i="19"/>
  <c r="Q10" i="19"/>
  <c r="H11" i="19"/>
  <c r="I11" i="19"/>
  <c r="K11" i="19"/>
  <c r="L11" i="19"/>
  <c r="M11" i="19"/>
  <c r="N11" i="19"/>
  <c r="P11" i="19"/>
  <c r="Q11" i="19"/>
  <c r="H12" i="19"/>
  <c r="I12" i="19"/>
  <c r="K12" i="19"/>
  <c r="L12" i="19"/>
  <c r="M12" i="19"/>
  <c r="N12" i="19"/>
  <c r="P12" i="19"/>
  <c r="Q12" i="19"/>
  <c r="H13" i="19"/>
  <c r="I13" i="19"/>
  <c r="K13" i="19"/>
  <c r="L13" i="19"/>
  <c r="M13" i="19"/>
  <c r="N13" i="19"/>
  <c r="P13" i="19"/>
  <c r="Q13" i="19"/>
  <c r="H14" i="19"/>
  <c r="I14" i="19"/>
  <c r="K14" i="19"/>
  <c r="L14" i="19"/>
  <c r="M14" i="19"/>
  <c r="N14" i="19"/>
  <c r="P14" i="19"/>
  <c r="Q14" i="19"/>
  <c r="H15" i="19"/>
  <c r="I15" i="19"/>
  <c r="K15" i="19"/>
  <c r="L15" i="19"/>
  <c r="M15" i="19"/>
  <c r="N15" i="19"/>
  <c r="P15" i="19"/>
  <c r="Q15" i="19"/>
  <c r="H16" i="19"/>
  <c r="I16" i="19"/>
  <c r="K16" i="19"/>
  <c r="L16" i="19"/>
  <c r="M16" i="19"/>
  <c r="N16" i="19"/>
  <c r="P16" i="19"/>
  <c r="Q16" i="19"/>
  <c r="H17" i="19"/>
  <c r="I17" i="19"/>
  <c r="K17" i="19"/>
  <c r="L17" i="19"/>
  <c r="M17" i="19"/>
  <c r="N17" i="19"/>
  <c r="P17" i="19"/>
  <c r="Q17" i="19"/>
  <c r="H18" i="19"/>
  <c r="I18" i="19"/>
  <c r="K18" i="19"/>
  <c r="L18" i="19"/>
  <c r="M18" i="19"/>
  <c r="N18" i="19"/>
  <c r="P18" i="19"/>
  <c r="Q18" i="19"/>
  <c r="H19" i="19"/>
  <c r="I19" i="19"/>
  <c r="K19" i="19"/>
  <c r="L19" i="19"/>
  <c r="M19" i="19"/>
  <c r="N19" i="19"/>
  <c r="P19" i="19"/>
  <c r="Q19" i="19"/>
  <c r="H20" i="19"/>
  <c r="I20" i="19"/>
  <c r="K20" i="19"/>
  <c r="L20" i="19"/>
  <c r="M20" i="19"/>
  <c r="N20" i="19"/>
  <c r="P20" i="19"/>
  <c r="Q20" i="19"/>
  <c r="H21" i="19"/>
  <c r="I21" i="19"/>
  <c r="K21" i="19"/>
  <c r="L21" i="19"/>
  <c r="M21" i="19"/>
  <c r="N21" i="19"/>
  <c r="P21" i="19"/>
  <c r="Q21" i="19"/>
  <c r="H22" i="19"/>
  <c r="I22" i="19"/>
  <c r="K22" i="19"/>
  <c r="L22" i="19"/>
  <c r="M22" i="19"/>
  <c r="N22" i="19"/>
  <c r="P22" i="19"/>
  <c r="Q22" i="19"/>
  <c r="H23" i="19"/>
  <c r="I23" i="19"/>
  <c r="K23" i="19"/>
  <c r="L23" i="19"/>
  <c r="M23" i="19"/>
  <c r="N23" i="19"/>
  <c r="P23" i="19"/>
  <c r="Q23" i="19"/>
  <c r="H24" i="19"/>
  <c r="I24" i="19"/>
  <c r="K24" i="19"/>
  <c r="L24" i="19"/>
  <c r="M24" i="19"/>
  <c r="N24" i="19"/>
  <c r="P24" i="19"/>
  <c r="Q24" i="19"/>
  <c r="H25" i="19"/>
  <c r="I25" i="19"/>
  <c r="K25" i="19"/>
  <c r="L25" i="19"/>
  <c r="M25" i="19"/>
  <c r="N25" i="19"/>
  <c r="P25" i="19"/>
  <c r="Q25" i="19"/>
  <c r="H26" i="19"/>
  <c r="I26" i="19"/>
  <c r="K26" i="19"/>
  <c r="L26" i="19"/>
  <c r="M26" i="19"/>
  <c r="N26" i="19"/>
  <c r="P26" i="19"/>
  <c r="Q26" i="19"/>
  <c r="H27" i="19"/>
  <c r="I27" i="19"/>
  <c r="K27" i="19"/>
  <c r="L27" i="19"/>
  <c r="M27" i="19"/>
  <c r="N27" i="19"/>
  <c r="P27" i="19"/>
  <c r="Q27" i="19"/>
  <c r="H28" i="19"/>
  <c r="I28" i="19"/>
  <c r="K28" i="19"/>
  <c r="L28" i="19"/>
  <c r="M28" i="19"/>
  <c r="N28" i="19"/>
  <c r="P28" i="19"/>
  <c r="Q28" i="19"/>
  <c r="H29" i="19"/>
  <c r="I29" i="19"/>
  <c r="K29" i="19"/>
  <c r="L29" i="19"/>
  <c r="M29" i="19"/>
  <c r="N29" i="19"/>
  <c r="P29" i="19"/>
  <c r="Q29" i="19"/>
  <c r="H30" i="19"/>
  <c r="I30" i="19"/>
  <c r="K30" i="19"/>
  <c r="L30" i="19"/>
  <c r="M30" i="19"/>
  <c r="N30" i="19"/>
  <c r="P30" i="19"/>
  <c r="Q30" i="19"/>
  <c r="H31" i="19"/>
  <c r="I31" i="19"/>
  <c r="K31" i="19"/>
  <c r="L31" i="19"/>
  <c r="M31" i="19"/>
  <c r="N31" i="19"/>
  <c r="P31" i="19"/>
  <c r="Q31" i="19"/>
  <c r="H32" i="19"/>
  <c r="I32" i="19"/>
  <c r="K32" i="19"/>
  <c r="L32" i="19"/>
  <c r="M32" i="19"/>
  <c r="N32" i="19"/>
  <c r="P32" i="19"/>
  <c r="Q32" i="19"/>
  <c r="H33" i="19"/>
  <c r="I33" i="19"/>
  <c r="K33" i="19"/>
  <c r="L33" i="19"/>
  <c r="M33" i="19"/>
  <c r="N33" i="19"/>
  <c r="P33" i="19"/>
  <c r="Q33" i="19"/>
  <c r="H34" i="19"/>
  <c r="I34" i="19"/>
  <c r="K34" i="19"/>
  <c r="L34" i="19"/>
  <c r="M34" i="19"/>
  <c r="N34" i="19"/>
  <c r="P34" i="19"/>
  <c r="Q34" i="19"/>
  <c r="H35" i="19"/>
  <c r="I35" i="19"/>
  <c r="K35" i="19"/>
  <c r="L35" i="19"/>
  <c r="M35" i="19"/>
  <c r="N35" i="19"/>
  <c r="P35" i="19"/>
  <c r="Q35" i="19"/>
  <c r="H36" i="19"/>
  <c r="I36" i="19"/>
  <c r="K36" i="19"/>
  <c r="L36" i="19"/>
  <c r="M36" i="19"/>
  <c r="N36" i="19"/>
  <c r="P36" i="19"/>
  <c r="Q36" i="19"/>
  <c r="H37" i="19"/>
  <c r="I37" i="19"/>
  <c r="K37" i="19"/>
  <c r="L37" i="19"/>
  <c r="M37" i="19"/>
  <c r="N37" i="19"/>
  <c r="P37" i="19"/>
  <c r="Q37" i="19"/>
  <c r="H38" i="19"/>
  <c r="I38" i="19"/>
  <c r="K38" i="19"/>
  <c r="L38" i="19"/>
  <c r="M38" i="19"/>
  <c r="N38" i="19"/>
  <c r="P38" i="19"/>
  <c r="Q38" i="19"/>
  <c r="H39" i="19"/>
  <c r="I39" i="19"/>
  <c r="K39" i="19"/>
  <c r="L39" i="19"/>
  <c r="M39" i="19"/>
  <c r="N39" i="19"/>
  <c r="P39" i="19"/>
  <c r="Q39" i="19"/>
  <c r="H40" i="19"/>
  <c r="I40" i="19"/>
  <c r="K40" i="19"/>
  <c r="L40" i="19"/>
  <c r="M40" i="19"/>
  <c r="N40" i="19"/>
  <c r="P40" i="19"/>
  <c r="Q40" i="19"/>
  <c r="H41" i="19"/>
  <c r="I41" i="19"/>
  <c r="K41" i="19"/>
  <c r="L41" i="19"/>
  <c r="M41" i="19"/>
  <c r="N41" i="19"/>
  <c r="P41" i="19"/>
  <c r="Q41" i="19"/>
  <c r="H42" i="19"/>
  <c r="I42" i="19"/>
  <c r="K42" i="19"/>
  <c r="L42" i="19"/>
  <c r="M42" i="19"/>
  <c r="N42" i="19"/>
  <c r="P42" i="19"/>
  <c r="Q42" i="19"/>
  <c r="H43" i="19"/>
  <c r="I43" i="19"/>
  <c r="K43" i="19"/>
  <c r="L43" i="19"/>
  <c r="M43" i="19"/>
  <c r="N43" i="19"/>
  <c r="P43" i="19"/>
  <c r="Q43" i="19"/>
  <c r="H44" i="19"/>
  <c r="I44" i="19"/>
  <c r="K44" i="19"/>
  <c r="L44" i="19"/>
  <c r="M44" i="19"/>
  <c r="N44" i="19"/>
  <c r="P44" i="19"/>
  <c r="Q44" i="19"/>
  <c r="H45" i="19"/>
  <c r="I45" i="19"/>
  <c r="K45" i="19"/>
  <c r="L45" i="19"/>
  <c r="M45" i="19"/>
  <c r="N45" i="19"/>
  <c r="P45" i="19"/>
  <c r="Q45" i="19"/>
  <c r="H46" i="19"/>
  <c r="I46" i="19"/>
  <c r="K46" i="19"/>
  <c r="L46" i="19"/>
  <c r="M46" i="19"/>
  <c r="N46" i="19"/>
  <c r="P46" i="19"/>
  <c r="Q46" i="19"/>
  <c r="H47" i="19"/>
  <c r="I47" i="19"/>
  <c r="K47" i="19"/>
  <c r="L47" i="19"/>
  <c r="M47" i="19"/>
  <c r="N47" i="19"/>
  <c r="P47" i="19"/>
  <c r="Q47" i="19"/>
  <c r="H48" i="19"/>
  <c r="I48" i="19"/>
  <c r="K48" i="19"/>
  <c r="L48" i="19"/>
  <c r="M48" i="19"/>
  <c r="N48" i="19"/>
  <c r="P48" i="19"/>
  <c r="Q48" i="19"/>
  <c r="H49" i="19"/>
  <c r="I49" i="19"/>
  <c r="K49" i="19"/>
  <c r="L49" i="19"/>
  <c r="M49" i="19"/>
  <c r="N49" i="19"/>
  <c r="P49" i="19"/>
  <c r="Q49" i="19"/>
  <c r="H50" i="19"/>
  <c r="I50" i="19"/>
  <c r="K50" i="19"/>
  <c r="L50" i="19"/>
  <c r="M50" i="19"/>
  <c r="N50" i="19"/>
  <c r="P50" i="19"/>
  <c r="Q50" i="19"/>
  <c r="H51" i="19"/>
  <c r="I51" i="19"/>
  <c r="K51" i="19"/>
  <c r="L51" i="19"/>
  <c r="M51" i="19"/>
  <c r="N51" i="19"/>
  <c r="P51" i="19"/>
  <c r="Q51" i="19"/>
  <c r="H52" i="19"/>
  <c r="I52" i="19"/>
  <c r="K52" i="19"/>
  <c r="L52" i="19"/>
  <c r="M52" i="19"/>
  <c r="N52" i="19"/>
  <c r="P52" i="19"/>
  <c r="Q52" i="19"/>
  <c r="H53" i="19"/>
  <c r="I53" i="19"/>
  <c r="K53" i="19"/>
  <c r="L53" i="19"/>
  <c r="M53" i="19"/>
  <c r="N53" i="19"/>
  <c r="P53" i="19"/>
  <c r="Q53" i="19"/>
  <c r="H54" i="19"/>
  <c r="I54" i="19"/>
  <c r="K54" i="19"/>
  <c r="L54" i="19"/>
  <c r="M54" i="19"/>
  <c r="N54" i="19"/>
  <c r="P54" i="19"/>
  <c r="Q54" i="19"/>
  <c r="H55" i="19"/>
  <c r="I55" i="19"/>
  <c r="K55" i="19"/>
  <c r="L55" i="19"/>
  <c r="M55" i="19"/>
  <c r="N55" i="19"/>
  <c r="P55" i="19"/>
  <c r="Q55" i="19"/>
  <c r="H56" i="19"/>
  <c r="I56" i="19"/>
  <c r="K56" i="19"/>
  <c r="L56" i="19"/>
  <c r="M56" i="19"/>
  <c r="N56" i="19"/>
  <c r="P56" i="19"/>
  <c r="Q56" i="19"/>
  <c r="H57" i="19"/>
  <c r="I57" i="19"/>
  <c r="K57" i="19"/>
  <c r="L57" i="19"/>
  <c r="M57" i="19"/>
  <c r="N57" i="19"/>
  <c r="P57" i="19"/>
  <c r="Q57" i="19"/>
  <c r="H58" i="19"/>
  <c r="I58" i="19"/>
  <c r="K58" i="19"/>
  <c r="L58" i="19"/>
  <c r="M58" i="19"/>
  <c r="N58" i="19"/>
  <c r="P58" i="19"/>
  <c r="Q58" i="19"/>
  <c r="H59" i="19"/>
  <c r="I59" i="19"/>
  <c r="K59" i="19"/>
  <c r="L59" i="19"/>
  <c r="M59" i="19"/>
  <c r="N59" i="19"/>
  <c r="P59" i="19"/>
  <c r="Q59" i="19"/>
  <c r="H60" i="19"/>
  <c r="I60" i="19"/>
  <c r="K60" i="19"/>
  <c r="L60" i="19"/>
  <c r="M60" i="19"/>
  <c r="N60" i="19"/>
  <c r="P60" i="19"/>
  <c r="Q60" i="19"/>
  <c r="H61" i="19"/>
  <c r="I61" i="19"/>
  <c r="K61" i="19"/>
  <c r="L61" i="19"/>
  <c r="M61" i="19"/>
  <c r="N61" i="19"/>
  <c r="P61" i="19"/>
  <c r="Q61" i="19"/>
  <c r="H62" i="19"/>
  <c r="I62" i="19"/>
  <c r="K62" i="19"/>
  <c r="L62" i="19"/>
  <c r="M62" i="19"/>
  <c r="N62" i="19"/>
  <c r="P62" i="19"/>
  <c r="Q62" i="19"/>
  <c r="H63" i="19"/>
  <c r="I63" i="19"/>
  <c r="K63" i="19"/>
  <c r="L63" i="19"/>
  <c r="M63" i="19"/>
  <c r="N63" i="19"/>
  <c r="P63" i="19"/>
  <c r="Q63" i="19"/>
  <c r="H64" i="19"/>
  <c r="I64" i="19"/>
  <c r="K64" i="19"/>
  <c r="L64" i="19"/>
  <c r="M64" i="19"/>
  <c r="N64" i="19"/>
  <c r="P64" i="19"/>
  <c r="Q64" i="19"/>
  <c r="H65" i="19"/>
  <c r="I65" i="19"/>
  <c r="K65" i="19"/>
  <c r="L65" i="19"/>
  <c r="M65" i="19"/>
  <c r="N65" i="19"/>
  <c r="P65" i="19"/>
  <c r="Q65" i="19"/>
  <c r="H66" i="19"/>
  <c r="I66" i="19"/>
  <c r="K66" i="19"/>
  <c r="L66" i="19"/>
  <c r="M66" i="19"/>
  <c r="N66" i="19"/>
  <c r="P66" i="19"/>
  <c r="Q66" i="19"/>
  <c r="H67" i="19"/>
  <c r="I67" i="19"/>
  <c r="K67" i="19"/>
  <c r="L67" i="19"/>
  <c r="M67" i="19"/>
  <c r="N67" i="19"/>
  <c r="P67" i="19"/>
  <c r="Q67" i="19"/>
  <c r="H68" i="19"/>
  <c r="I68" i="19"/>
  <c r="K68" i="19"/>
  <c r="L68" i="19"/>
  <c r="M68" i="19"/>
  <c r="N68" i="19"/>
  <c r="P68" i="19"/>
  <c r="Q68" i="19"/>
  <c r="H69" i="19"/>
  <c r="I69" i="19"/>
  <c r="K69" i="19"/>
  <c r="L69" i="19"/>
  <c r="M69" i="19"/>
  <c r="N69" i="19"/>
  <c r="P69" i="19"/>
  <c r="Q69" i="19"/>
  <c r="H70" i="19"/>
  <c r="I70" i="19"/>
  <c r="K70" i="19"/>
  <c r="L70" i="19"/>
  <c r="M70" i="19"/>
  <c r="N70" i="19"/>
  <c r="P70" i="19"/>
  <c r="Q70" i="19"/>
  <c r="H71" i="19"/>
  <c r="I71" i="19"/>
  <c r="K71" i="19"/>
  <c r="L71" i="19"/>
  <c r="M71" i="19"/>
  <c r="N71" i="19"/>
  <c r="P71" i="19"/>
  <c r="Q71" i="19"/>
  <c r="H72" i="19"/>
  <c r="I72" i="19"/>
  <c r="K72" i="19"/>
  <c r="L72" i="19"/>
  <c r="M72" i="19"/>
  <c r="N72" i="19"/>
  <c r="P72" i="19"/>
  <c r="Q72" i="19"/>
  <c r="H73" i="19"/>
  <c r="I73" i="19"/>
  <c r="K73" i="19"/>
  <c r="L73" i="19"/>
  <c r="M73" i="19"/>
  <c r="N73" i="19"/>
  <c r="P73" i="19"/>
  <c r="Q73" i="19"/>
  <c r="H74" i="19"/>
  <c r="I74" i="19"/>
  <c r="K74" i="19"/>
  <c r="L74" i="19"/>
  <c r="M74" i="19"/>
  <c r="N74" i="19"/>
  <c r="P74" i="19"/>
  <c r="Q74" i="19"/>
  <c r="H75" i="19"/>
  <c r="I75" i="19"/>
  <c r="K75" i="19"/>
  <c r="L75" i="19"/>
  <c r="M75" i="19"/>
  <c r="N75" i="19"/>
  <c r="P75" i="19"/>
  <c r="Q75" i="19"/>
  <c r="H76" i="19"/>
  <c r="I76" i="19"/>
  <c r="K76" i="19"/>
  <c r="L76" i="19"/>
  <c r="M76" i="19"/>
  <c r="N76" i="19"/>
  <c r="P76" i="19"/>
  <c r="Q76" i="19"/>
  <c r="H77" i="19"/>
  <c r="I77" i="19"/>
  <c r="K77" i="19"/>
  <c r="L77" i="19"/>
  <c r="M77" i="19"/>
  <c r="N77" i="19"/>
  <c r="P77" i="19"/>
  <c r="Q77" i="19"/>
  <c r="H78" i="19"/>
  <c r="I78" i="19"/>
  <c r="K78" i="19"/>
  <c r="L78" i="19"/>
  <c r="M78" i="19"/>
  <c r="N78" i="19"/>
  <c r="P78" i="19"/>
  <c r="Q78" i="19"/>
  <c r="H79" i="19"/>
  <c r="I79" i="19"/>
  <c r="K79" i="19"/>
  <c r="L79" i="19"/>
  <c r="M79" i="19"/>
  <c r="N79" i="19"/>
  <c r="P79" i="19"/>
  <c r="Q79" i="19"/>
  <c r="H80" i="19"/>
  <c r="I80" i="19"/>
  <c r="K80" i="19"/>
  <c r="L80" i="19"/>
  <c r="M80" i="19"/>
  <c r="N80" i="19"/>
  <c r="P80" i="19"/>
  <c r="Q80" i="19"/>
  <c r="H81" i="19"/>
  <c r="I81" i="19"/>
  <c r="K81" i="19"/>
  <c r="L81" i="19"/>
  <c r="M81" i="19"/>
  <c r="N81" i="19"/>
  <c r="P81" i="19"/>
  <c r="Q81" i="19"/>
  <c r="H82" i="19"/>
  <c r="I82" i="19"/>
  <c r="K82" i="19"/>
  <c r="L82" i="19"/>
  <c r="M82" i="19"/>
  <c r="N82" i="19"/>
  <c r="P82" i="19"/>
  <c r="Q82" i="19"/>
  <c r="H83" i="19"/>
  <c r="I83" i="19"/>
  <c r="K83" i="19"/>
  <c r="L83" i="19"/>
  <c r="M83" i="19"/>
  <c r="N83" i="19"/>
  <c r="P83" i="19"/>
  <c r="Q83" i="19"/>
  <c r="H84" i="19"/>
  <c r="I84" i="19"/>
  <c r="K84" i="19"/>
  <c r="L84" i="19"/>
  <c r="M84" i="19"/>
  <c r="N84" i="19"/>
  <c r="P84" i="19"/>
  <c r="Q84" i="19"/>
  <c r="H85" i="19"/>
  <c r="I85" i="19"/>
  <c r="K85" i="19"/>
  <c r="L85" i="19"/>
  <c r="M85" i="19"/>
  <c r="N85" i="19"/>
  <c r="P85" i="19"/>
  <c r="Q85" i="19"/>
  <c r="H86" i="19"/>
  <c r="I86" i="19"/>
  <c r="K86" i="19"/>
  <c r="L86" i="19"/>
  <c r="M86" i="19"/>
  <c r="N86" i="19"/>
  <c r="P86" i="19"/>
  <c r="Q86" i="19"/>
  <c r="H87" i="19"/>
  <c r="I87" i="19"/>
  <c r="K87" i="19"/>
  <c r="L87" i="19"/>
  <c r="M87" i="19"/>
  <c r="N87" i="19"/>
  <c r="P87" i="19"/>
  <c r="Q87" i="19"/>
  <c r="H88" i="19"/>
  <c r="I88" i="19"/>
  <c r="K88" i="19"/>
  <c r="L88" i="19"/>
  <c r="M88" i="19"/>
  <c r="N88" i="19"/>
  <c r="P88" i="19"/>
  <c r="Q88" i="19"/>
  <c r="H89" i="19"/>
  <c r="I89" i="19"/>
  <c r="K89" i="19"/>
  <c r="L89" i="19"/>
  <c r="M89" i="19"/>
  <c r="N89" i="19"/>
  <c r="P89" i="19"/>
  <c r="Q89" i="19"/>
  <c r="H90" i="19"/>
  <c r="I90" i="19"/>
  <c r="K90" i="19"/>
  <c r="L90" i="19"/>
  <c r="M90" i="19"/>
  <c r="N90" i="19"/>
  <c r="P90" i="19"/>
  <c r="Q90" i="19"/>
  <c r="H91" i="19"/>
  <c r="I91" i="19"/>
  <c r="K91" i="19"/>
  <c r="L91" i="19"/>
  <c r="M91" i="19"/>
  <c r="N91" i="19"/>
  <c r="P91" i="19"/>
  <c r="Q91" i="19"/>
  <c r="H92" i="19"/>
  <c r="I92" i="19"/>
  <c r="K92" i="19"/>
  <c r="L92" i="19"/>
  <c r="M92" i="19"/>
  <c r="N92" i="19"/>
  <c r="P92" i="19"/>
  <c r="Q92" i="19"/>
  <c r="H93" i="19"/>
  <c r="I93" i="19"/>
  <c r="K93" i="19"/>
  <c r="L93" i="19"/>
  <c r="M93" i="19"/>
  <c r="N93" i="19"/>
  <c r="P93" i="19"/>
  <c r="Q93" i="19"/>
  <c r="H94" i="19"/>
  <c r="I94" i="19"/>
  <c r="K94" i="19"/>
  <c r="L94" i="19"/>
  <c r="M94" i="19"/>
  <c r="N94" i="19"/>
  <c r="P94" i="19"/>
  <c r="Q94" i="19"/>
  <c r="H95" i="19"/>
  <c r="I95" i="19"/>
  <c r="K95" i="19"/>
  <c r="L95" i="19"/>
  <c r="M95" i="19"/>
  <c r="N95" i="19"/>
  <c r="P95" i="19"/>
  <c r="Q95" i="19"/>
  <c r="H96" i="19"/>
  <c r="I96" i="19"/>
  <c r="K96" i="19"/>
  <c r="L96" i="19"/>
  <c r="M96" i="19"/>
  <c r="N96" i="19"/>
  <c r="P96" i="19"/>
  <c r="Q96" i="19"/>
  <c r="H97" i="19"/>
  <c r="I97" i="19"/>
  <c r="K97" i="19"/>
  <c r="L97" i="19"/>
  <c r="M97" i="19"/>
  <c r="N97" i="19"/>
  <c r="P97" i="19"/>
  <c r="Q97" i="19"/>
  <c r="H98" i="19"/>
  <c r="I98" i="19"/>
  <c r="K98" i="19"/>
  <c r="L98" i="19"/>
  <c r="M98" i="19"/>
  <c r="N98" i="19"/>
  <c r="P98" i="19"/>
  <c r="Q98" i="19"/>
  <c r="H99" i="19"/>
  <c r="I99" i="19"/>
  <c r="K99" i="19"/>
  <c r="L99" i="19"/>
  <c r="M99" i="19"/>
  <c r="N99" i="19"/>
  <c r="P99" i="19"/>
  <c r="Q99" i="19"/>
  <c r="H100" i="19"/>
  <c r="I100" i="19"/>
  <c r="K100" i="19"/>
  <c r="L100" i="19"/>
  <c r="M100" i="19"/>
  <c r="N100" i="19"/>
  <c r="P100" i="19"/>
  <c r="Q100" i="19"/>
  <c r="H101" i="19"/>
  <c r="I101" i="19"/>
  <c r="K101" i="19"/>
  <c r="L101" i="19"/>
  <c r="M101" i="19"/>
  <c r="N101" i="19"/>
  <c r="P101" i="19"/>
  <c r="Q101" i="19"/>
  <c r="H102" i="19"/>
  <c r="I102" i="19"/>
  <c r="K102" i="19"/>
  <c r="L102" i="19"/>
  <c r="M102" i="19"/>
  <c r="N102" i="19"/>
  <c r="P102" i="19"/>
  <c r="Q102" i="19"/>
  <c r="H103" i="19"/>
  <c r="I103" i="19"/>
  <c r="K103" i="19"/>
  <c r="L103" i="19"/>
  <c r="M103" i="19"/>
  <c r="N103" i="19"/>
  <c r="P103" i="19"/>
  <c r="Q103" i="19"/>
  <c r="H104" i="19"/>
  <c r="I104" i="19"/>
  <c r="K104" i="19"/>
  <c r="L104" i="19"/>
  <c r="M104" i="19"/>
  <c r="N104" i="19"/>
  <c r="P104" i="19"/>
  <c r="Q104" i="19"/>
  <c r="H105" i="19"/>
  <c r="I105" i="19"/>
  <c r="K105" i="19"/>
  <c r="L105" i="19"/>
  <c r="M105" i="19"/>
  <c r="N105" i="19"/>
  <c r="P105" i="19"/>
  <c r="Q105" i="19"/>
  <c r="H106" i="19"/>
  <c r="I106" i="19"/>
  <c r="K106" i="19"/>
  <c r="L106" i="19"/>
  <c r="M106" i="19"/>
  <c r="N106" i="19"/>
  <c r="P106" i="19"/>
  <c r="Q106" i="19"/>
  <c r="H107" i="19"/>
  <c r="I107" i="19"/>
  <c r="K107" i="19"/>
  <c r="L107" i="19"/>
  <c r="M107" i="19"/>
  <c r="N107" i="19"/>
  <c r="P107" i="19"/>
  <c r="Q107" i="19"/>
  <c r="H108" i="19"/>
  <c r="I108" i="19"/>
  <c r="K108" i="19"/>
  <c r="L108" i="19"/>
  <c r="M108" i="19"/>
  <c r="N108" i="19"/>
  <c r="P108" i="19"/>
  <c r="Q108" i="19"/>
  <c r="H109" i="19"/>
  <c r="I109" i="19"/>
  <c r="K109" i="19"/>
  <c r="L109" i="19"/>
  <c r="M109" i="19"/>
  <c r="N109" i="19"/>
  <c r="P109" i="19"/>
  <c r="Q109" i="19"/>
  <c r="H110" i="19"/>
  <c r="I110" i="19"/>
  <c r="K110" i="19"/>
  <c r="L110" i="19"/>
  <c r="M110" i="19"/>
  <c r="N110" i="19"/>
  <c r="P110" i="19"/>
  <c r="Q110" i="19"/>
  <c r="H111" i="19"/>
  <c r="I111" i="19"/>
  <c r="K111" i="19"/>
  <c r="L111" i="19"/>
  <c r="M111" i="19"/>
  <c r="N111" i="19"/>
  <c r="P111" i="19"/>
  <c r="Q111" i="19"/>
  <c r="H112" i="19"/>
  <c r="I112" i="19"/>
  <c r="K112" i="19"/>
  <c r="L112" i="19"/>
  <c r="M112" i="19"/>
  <c r="N112" i="19"/>
  <c r="P112" i="19"/>
  <c r="Q112" i="19"/>
  <c r="H113" i="19"/>
  <c r="I113" i="19"/>
  <c r="K113" i="19"/>
  <c r="L113" i="19"/>
  <c r="M113" i="19"/>
  <c r="N113" i="19"/>
  <c r="P113" i="19"/>
  <c r="Q113" i="19"/>
  <c r="H114" i="19"/>
  <c r="I114" i="19"/>
  <c r="K114" i="19"/>
  <c r="L114" i="19"/>
  <c r="M114" i="19"/>
  <c r="N114" i="19"/>
  <c r="P114" i="19"/>
  <c r="Q114" i="19"/>
  <c r="H115" i="19"/>
  <c r="I115" i="19"/>
  <c r="K115" i="19"/>
  <c r="L115" i="19"/>
  <c r="M115" i="19"/>
  <c r="N115" i="19"/>
  <c r="P115" i="19"/>
  <c r="Q115" i="19"/>
  <c r="H116" i="19"/>
  <c r="I116" i="19"/>
  <c r="K116" i="19"/>
  <c r="L116" i="19"/>
  <c r="M116" i="19"/>
  <c r="N116" i="19"/>
  <c r="P116" i="19"/>
  <c r="Q116" i="19"/>
  <c r="H117" i="19"/>
  <c r="I117" i="19"/>
  <c r="K117" i="19"/>
  <c r="L117" i="19"/>
  <c r="M117" i="19"/>
  <c r="N117" i="19"/>
  <c r="P117" i="19"/>
  <c r="Q117" i="19"/>
  <c r="H118" i="19"/>
  <c r="I118" i="19"/>
  <c r="K118" i="19"/>
  <c r="L118" i="19"/>
  <c r="M118" i="19"/>
  <c r="N118" i="19"/>
  <c r="P118" i="19"/>
  <c r="Q118" i="19"/>
  <c r="H119" i="19"/>
  <c r="I119" i="19"/>
  <c r="K119" i="19"/>
  <c r="L119" i="19"/>
  <c r="M119" i="19"/>
  <c r="N119" i="19"/>
  <c r="P119" i="19"/>
  <c r="Q119" i="19"/>
  <c r="H120" i="19"/>
  <c r="I120" i="19"/>
  <c r="K120" i="19"/>
  <c r="L120" i="19"/>
  <c r="M120" i="19"/>
  <c r="N120" i="19"/>
  <c r="P120" i="19"/>
  <c r="Q120" i="19"/>
  <c r="H121" i="19"/>
  <c r="I121" i="19"/>
  <c r="K121" i="19"/>
  <c r="L121" i="19"/>
  <c r="M121" i="19"/>
  <c r="N121" i="19"/>
  <c r="P121" i="19"/>
  <c r="Q121" i="19"/>
  <c r="H122" i="19"/>
  <c r="I122" i="19"/>
  <c r="K122" i="19"/>
  <c r="L122" i="19"/>
  <c r="M122" i="19"/>
  <c r="N122" i="19"/>
  <c r="P122" i="19"/>
  <c r="Q122" i="19"/>
  <c r="H123" i="19"/>
  <c r="I123" i="19"/>
  <c r="K123" i="19"/>
  <c r="L123" i="19"/>
  <c r="M123" i="19"/>
  <c r="N123" i="19"/>
  <c r="P123" i="19"/>
  <c r="Q123" i="19"/>
  <c r="H124" i="19"/>
  <c r="I124" i="19"/>
  <c r="K124" i="19"/>
  <c r="L124" i="19"/>
  <c r="M124" i="19"/>
  <c r="N124" i="19"/>
  <c r="P124" i="19"/>
  <c r="Q124" i="19"/>
  <c r="H125" i="19"/>
  <c r="I125" i="19"/>
  <c r="K125" i="19"/>
  <c r="L125" i="19"/>
  <c r="M125" i="19"/>
  <c r="N125" i="19"/>
  <c r="P125" i="19"/>
  <c r="Q125" i="19"/>
  <c r="H126" i="19"/>
  <c r="I126" i="19"/>
  <c r="K126" i="19"/>
  <c r="L126" i="19"/>
  <c r="M126" i="19"/>
  <c r="N126" i="19"/>
  <c r="P126" i="19"/>
  <c r="Q126" i="19"/>
  <c r="H127" i="19"/>
  <c r="I127" i="19"/>
  <c r="K127" i="19"/>
  <c r="L127" i="19"/>
  <c r="M127" i="19"/>
  <c r="N127" i="19"/>
  <c r="P127" i="19"/>
  <c r="Q127" i="19"/>
  <c r="H128" i="19"/>
  <c r="I128" i="19"/>
  <c r="K128" i="19"/>
  <c r="L128" i="19"/>
  <c r="M128" i="19"/>
  <c r="N128" i="19"/>
  <c r="P128" i="19"/>
  <c r="Q128" i="19"/>
  <c r="H129" i="19"/>
  <c r="I129" i="19"/>
  <c r="K129" i="19"/>
  <c r="L129" i="19"/>
  <c r="M129" i="19"/>
  <c r="N129" i="19"/>
  <c r="P129" i="19"/>
  <c r="Q129" i="19"/>
  <c r="H130" i="19"/>
  <c r="I130" i="19"/>
  <c r="K130" i="19"/>
  <c r="L130" i="19"/>
  <c r="M130" i="19"/>
  <c r="N130" i="19"/>
  <c r="P130" i="19"/>
  <c r="Q130" i="19"/>
  <c r="H131" i="19"/>
  <c r="I131" i="19"/>
  <c r="K131" i="19"/>
  <c r="L131" i="19"/>
  <c r="M131" i="19"/>
  <c r="N131" i="19"/>
  <c r="P131" i="19"/>
  <c r="Q131" i="19"/>
  <c r="H132" i="19"/>
  <c r="I132" i="19"/>
  <c r="K132" i="19"/>
  <c r="L132" i="19"/>
  <c r="M132" i="19"/>
  <c r="N132" i="19"/>
  <c r="P132" i="19"/>
  <c r="Q132" i="19"/>
  <c r="H133" i="19"/>
  <c r="I133" i="19"/>
  <c r="K133" i="19"/>
  <c r="L133" i="19"/>
  <c r="M133" i="19"/>
  <c r="N133" i="19"/>
  <c r="P133" i="19"/>
  <c r="Q133" i="19"/>
  <c r="H134" i="19"/>
  <c r="I134" i="19"/>
  <c r="K134" i="19"/>
  <c r="L134" i="19"/>
  <c r="M134" i="19"/>
  <c r="N134" i="19"/>
  <c r="P134" i="19"/>
  <c r="Q134" i="19"/>
  <c r="H135" i="19"/>
  <c r="I135" i="19"/>
  <c r="K135" i="19"/>
  <c r="L135" i="19"/>
  <c r="M135" i="19"/>
  <c r="N135" i="19"/>
  <c r="P135" i="19"/>
  <c r="Q135" i="19"/>
  <c r="H136" i="19"/>
  <c r="I136" i="19"/>
  <c r="K136" i="19"/>
  <c r="L136" i="19"/>
  <c r="M136" i="19"/>
  <c r="N136" i="19"/>
  <c r="P136" i="19"/>
  <c r="Q136" i="19"/>
  <c r="H137" i="19"/>
  <c r="I137" i="19"/>
  <c r="K137" i="19"/>
  <c r="L137" i="19"/>
  <c r="M137" i="19"/>
  <c r="N137" i="19"/>
  <c r="P137" i="19"/>
  <c r="Q137" i="19"/>
  <c r="H138" i="19"/>
  <c r="I138" i="19"/>
  <c r="K138" i="19"/>
  <c r="L138" i="19"/>
  <c r="M138" i="19"/>
  <c r="N138" i="19"/>
  <c r="P138" i="19"/>
  <c r="Q138" i="19"/>
  <c r="H139" i="19"/>
  <c r="I139" i="19"/>
  <c r="K139" i="19"/>
  <c r="L139" i="19"/>
  <c r="M139" i="19"/>
  <c r="N139" i="19"/>
  <c r="P139" i="19"/>
  <c r="Q139" i="19"/>
  <c r="H140" i="19"/>
  <c r="I140" i="19"/>
  <c r="K140" i="19"/>
  <c r="L140" i="19"/>
  <c r="M140" i="19"/>
  <c r="N140" i="19"/>
  <c r="P140" i="19"/>
  <c r="Q140" i="19"/>
  <c r="H141" i="19"/>
  <c r="I141" i="19"/>
  <c r="K141" i="19"/>
  <c r="L141" i="19"/>
  <c r="M141" i="19"/>
  <c r="N141" i="19"/>
  <c r="P141" i="19"/>
  <c r="Q141" i="19"/>
  <c r="H142" i="19"/>
  <c r="I142" i="19"/>
  <c r="K142" i="19"/>
  <c r="L142" i="19"/>
  <c r="M142" i="19"/>
  <c r="N142" i="19"/>
  <c r="P142" i="19"/>
  <c r="Q142" i="19"/>
  <c r="H143" i="19"/>
  <c r="I143" i="19"/>
  <c r="K143" i="19"/>
  <c r="L143" i="19"/>
  <c r="M143" i="19"/>
  <c r="N143" i="19"/>
  <c r="P143" i="19"/>
  <c r="Q143" i="19"/>
  <c r="H144" i="19"/>
  <c r="I144" i="19"/>
  <c r="K144" i="19"/>
  <c r="L144" i="19"/>
  <c r="M144" i="19"/>
  <c r="N144" i="19"/>
  <c r="P144" i="19"/>
  <c r="Q144" i="19"/>
  <c r="H145" i="19"/>
  <c r="I145" i="19"/>
  <c r="K145" i="19"/>
  <c r="L145" i="19"/>
  <c r="M145" i="19"/>
  <c r="N145" i="19"/>
  <c r="P145" i="19"/>
  <c r="Q145" i="19"/>
  <c r="H146" i="19"/>
  <c r="I146" i="19"/>
  <c r="K146" i="19"/>
  <c r="L146" i="19"/>
  <c r="M146" i="19"/>
  <c r="N146" i="19"/>
  <c r="P146" i="19"/>
  <c r="Q146" i="19"/>
  <c r="H147" i="19"/>
  <c r="I147" i="19"/>
  <c r="K147" i="19"/>
  <c r="L147" i="19"/>
  <c r="M147" i="19"/>
  <c r="N147" i="19"/>
  <c r="P147" i="19"/>
  <c r="Q147" i="19"/>
  <c r="H148" i="19"/>
  <c r="I148" i="19"/>
  <c r="K148" i="19"/>
  <c r="L148" i="19"/>
  <c r="M148" i="19"/>
  <c r="N148" i="19"/>
  <c r="P148" i="19"/>
  <c r="Q148" i="19"/>
  <c r="H149" i="19"/>
  <c r="I149" i="19"/>
  <c r="K149" i="19"/>
  <c r="L149" i="19"/>
  <c r="M149" i="19"/>
  <c r="N149" i="19"/>
  <c r="P149" i="19"/>
  <c r="Q149" i="19"/>
  <c r="H150" i="19"/>
  <c r="I150" i="19"/>
  <c r="K150" i="19"/>
  <c r="L150" i="19"/>
  <c r="M150" i="19"/>
  <c r="N150" i="19"/>
  <c r="P150" i="19"/>
  <c r="Q150" i="19"/>
  <c r="H151" i="19"/>
  <c r="I151" i="19"/>
  <c r="K151" i="19"/>
  <c r="L151" i="19"/>
  <c r="M151" i="19"/>
  <c r="N151" i="19"/>
  <c r="P151" i="19"/>
  <c r="Q151" i="19"/>
  <c r="H152" i="19"/>
  <c r="I152" i="19"/>
  <c r="K152" i="19"/>
  <c r="L152" i="19"/>
  <c r="M152" i="19"/>
  <c r="N152" i="19"/>
  <c r="P152" i="19"/>
  <c r="Q152" i="19"/>
  <c r="H153" i="19"/>
  <c r="I153" i="19"/>
  <c r="K153" i="19"/>
  <c r="L153" i="19"/>
  <c r="M153" i="19"/>
  <c r="N153" i="19"/>
  <c r="P153" i="19"/>
  <c r="Q153" i="19"/>
  <c r="H154" i="19"/>
  <c r="I154" i="19"/>
  <c r="K154" i="19"/>
  <c r="L154" i="19"/>
  <c r="M154" i="19"/>
  <c r="N154" i="19"/>
  <c r="P154" i="19"/>
  <c r="Q154" i="19"/>
  <c r="H155" i="19"/>
  <c r="I155" i="19"/>
  <c r="K155" i="19"/>
  <c r="L155" i="19"/>
  <c r="M155" i="19"/>
  <c r="N155" i="19"/>
  <c r="P155" i="19"/>
  <c r="Q155" i="19"/>
  <c r="H156" i="19"/>
  <c r="I156" i="19"/>
  <c r="K156" i="19"/>
  <c r="L156" i="19"/>
  <c r="M156" i="19"/>
  <c r="N156" i="19"/>
  <c r="P156" i="19"/>
  <c r="Q156" i="19"/>
  <c r="H157" i="19"/>
  <c r="I157" i="19"/>
  <c r="K157" i="19"/>
  <c r="L157" i="19"/>
  <c r="M157" i="19"/>
  <c r="N157" i="19"/>
  <c r="P157" i="19"/>
  <c r="Q157" i="19"/>
  <c r="H158" i="19"/>
  <c r="I158" i="19"/>
  <c r="K158" i="19"/>
  <c r="L158" i="19"/>
  <c r="M158" i="19"/>
  <c r="N158" i="19"/>
  <c r="P158" i="19"/>
  <c r="Q158" i="19"/>
  <c r="H159" i="19"/>
  <c r="I159" i="19"/>
  <c r="K159" i="19"/>
  <c r="L159" i="19"/>
  <c r="M159" i="19"/>
  <c r="N159" i="19"/>
  <c r="P159" i="19"/>
  <c r="Q159" i="19"/>
  <c r="H160" i="19"/>
  <c r="I160" i="19"/>
  <c r="K160" i="19"/>
  <c r="L160" i="19"/>
  <c r="M160" i="19"/>
  <c r="N160" i="19"/>
  <c r="P160" i="19"/>
  <c r="Q160" i="19"/>
  <c r="H161" i="19"/>
  <c r="I161" i="19"/>
  <c r="K161" i="19"/>
  <c r="L161" i="19"/>
  <c r="M161" i="19"/>
  <c r="N161" i="19"/>
  <c r="P161" i="19"/>
  <c r="Q161" i="19"/>
  <c r="H162" i="19"/>
  <c r="I162" i="19"/>
  <c r="K162" i="19"/>
  <c r="L162" i="19"/>
  <c r="M162" i="19"/>
  <c r="N162" i="19"/>
  <c r="P162" i="19"/>
  <c r="Q162" i="19"/>
  <c r="H163" i="19"/>
  <c r="I163" i="19"/>
  <c r="K163" i="19"/>
  <c r="L163" i="19"/>
  <c r="M163" i="19"/>
  <c r="N163" i="19"/>
  <c r="P163" i="19"/>
  <c r="Q163" i="19"/>
  <c r="H164" i="19"/>
  <c r="I164" i="19"/>
  <c r="K164" i="19"/>
  <c r="L164" i="19"/>
  <c r="M164" i="19"/>
  <c r="N164" i="19"/>
  <c r="P164" i="19"/>
  <c r="Q164" i="19"/>
  <c r="H165" i="19"/>
  <c r="I165" i="19"/>
  <c r="K165" i="19"/>
  <c r="L165" i="19"/>
  <c r="M165" i="19"/>
  <c r="N165" i="19"/>
  <c r="P165" i="19"/>
  <c r="Q165" i="19"/>
  <c r="H166" i="19"/>
  <c r="I166" i="19"/>
  <c r="K166" i="19"/>
  <c r="L166" i="19"/>
  <c r="M166" i="19"/>
  <c r="N166" i="19"/>
  <c r="P166" i="19"/>
  <c r="Q166" i="19"/>
  <c r="H167" i="19"/>
  <c r="I167" i="19"/>
  <c r="K167" i="19"/>
  <c r="L167" i="19"/>
  <c r="M167" i="19"/>
  <c r="N167" i="19"/>
  <c r="P167" i="19"/>
  <c r="Q167" i="19"/>
  <c r="H168" i="19"/>
  <c r="I168" i="19"/>
  <c r="K168" i="19"/>
  <c r="L168" i="19"/>
  <c r="M168" i="19"/>
  <c r="N168" i="19"/>
  <c r="P168" i="19"/>
  <c r="Q168" i="19"/>
  <c r="H169" i="19"/>
  <c r="I169" i="19"/>
  <c r="K169" i="19"/>
  <c r="L169" i="19"/>
  <c r="M169" i="19"/>
  <c r="N169" i="19"/>
  <c r="P169" i="19"/>
  <c r="Q169" i="19"/>
  <c r="H170" i="19"/>
  <c r="I170" i="19"/>
  <c r="K170" i="19"/>
  <c r="L170" i="19"/>
  <c r="M170" i="19"/>
  <c r="N170" i="19"/>
  <c r="P170" i="19"/>
  <c r="Q170" i="19"/>
  <c r="H171" i="19"/>
  <c r="I171" i="19"/>
  <c r="K171" i="19"/>
  <c r="L171" i="19"/>
  <c r="M171" i="19"/>
  <c r="N171" i="19"/>
  <c r="P171" i="19"/>
  <c r="Q171" i="19"/>
  <c r="H172" i="19"/>
  <c r="I172" i="19"/>
  <c r="K172" i="19"/>
  <c r="L172" i="19"/>
  <c r="M172" i="19"/>
  <c r="N172" i="19"/>
  <c r="P172" i="19"/>
  <c r="Q172" i="19"/>
  <c r="H173" i="19"/>
  <c r="I173" i="19"/>
  <c r="K173" i="19"/>
  <c r="L173" i="19"/>
  <c r="M173" i="19"/>
  <c r="N173" i="19"/>
  <c r="P173" i="19"/>
  <c r="Q173" i="19"/>
  <c r="H174" i="19"/>
  <c r="I174" i="19"/>
  <c r="K174" i="19"/>
  <c r="L174" i="19"/>
  <c r="M174" i="19"/>
  <c r="N174" i="19"/>
  <c r="P174" i="19"/>
  <c r="Q174" i="19"/>
  <c r="H175" i="19"/>
  <c r="I175" i="19"/>
  <c r="K175" i="19"/>
  <c r="L175" i="19"/>
  <c r="M175" i="19"/>
  <c r="N175" i="19"/>
  <c r="P175" i="19"/>
  <c r="Q175" i="19"/>
  <c r="H176" i="19"/>
  <c r="I176" i="19"/>
  <c r="K176" i="19"/>
  <c r="L176" i="19"/>
  <c r="M176" i="19"/>
  <c r="N176" i="19"/>
  <c r="P176" i="19"/>
  <c r="Q176" i="19"/>
  <c r="H177" i="19"/>
  <c r="I177" i="19"/>
  <c r="K177" i="19"/>
  <c r="L177" i="19"/>
  <c r="M177" i="19"/>
  <c r="N177" i="19"/>
  <c r="P177" i="19"/>
  <c r="Q177" i="19"/>
  <c r="H178" i="19"/>
  <c r="I178" i="19"/>
  <c r="K178" i="19"/>
  <c r="L178" i="19"/>
  <c r="M178" i="19"/>
  <c r="N178" i="19"/>
  <c r="P178" i="19"/>
  <c r="Q178" i="19"/>
  <c r="H179" i="19"/>
  <c r="I179" i="19"/>
  <c r="K179" i="19"/>
  <c r="L179" i="19"/>
  <c r="M179" i="19"/>
  <c r="N179" i="19"/>
  <c r="P179" i="19"/>
  <c r="Q179" i="19"/>
  <c r="H180" i="19"/>
  <c r="I180" i="19"/>
  <c r="K180" i="19"/>
  <c r="L180" i="19"/>
  <c r="M180" i="19"/>
  <c r="N180" i="19"/>
  <c r="P180" i="19"/>
  <c r="Q180" i="19"/>
  <c r="H181" i="19"/>
  <c r="I181" i="19"/>
  <c r="K181" i="19"/>
  <c r="L181" i="19"/>
  <c r="M181" i="19"/>
  <c r="N181" i="19"/>
  <c r="P181" i="19"/>
  <c r="Q181" i="19"/>
  <c r="H182" i="19"/>
  <c r="I182" i="19"/>
  <c r="K182" i="19"/>
  <c r="L182" i="19"/>
  <c r="M182" i="19"/>
  <c r="N182" i="19"/>
  <c r="P182" i="19"/>
  <c r="Q182" i="19"/>
  <c r="H183" i="19"/>
  <c r="I183" i="19"/>
  <c r="K183" i="19"/>
  <c r="L183" i="19"/>
  <c r="M183" i="19"/>
  <c r="N183" i="19"/>
  <c r="P183" i="19"/>
  <c r="Q183" i="19"/>
  <c r="H184" i="19"/>
  <c r="I184" i="19"/>
  <c r="K184" i="19"/>
  <c r="L184" i="19"/>
  <c r="M184" i="19"/>
  <c r="N184" i="19"/>
  <c r="P184" i="19"/>
  <c r="Q184" i="19"/>
  <c r="H185" i="19"/>
  <c r="I185" i="19"/>
  <c r="K185" i="19"/>
  <c r="L185" i="19"/>
  <c r="M185" i="19"/>
  <c r="N185" i="19"/>
  <c r="P185" i="19"/>
  <c r="Q185" i="19"/>
  <c r="H186" i="19"/>
  <c r="I186" i="19"/>
  <c r="K186" i="19"/>
  <c r="L186" i="19"/>
  <c r="M186" i="19"/>
  <c r="N186" i="19"/>
  <c r="P186" i="19"/>
  <c r="Q186" i="19"/>
  <c r="H187" i="19"/>
  <c r="I187" i="19"/>
  <c r="K187" i="19"/>
  <c r="L187" i="19"/>
  <c r="M187" i="19"/>
  <c r="N187" i="19"/>
  <c r="P187" i="19"/>
  <c r="Q187" i="19"/>
  <c r="H188" i="19"/>
  <c r="I188" i="19"/>
  <c r="K188" i="19"/>
  <c r="L188" i="19"/>
  <c r="M188" i="19"/>
  <c r="N188" i="19"/>
  <c r="P188" i="19"/>
  <c r="Q188" i="19"/>
  <c r="H189" i="19"/>
  <c r="I189" i="19"/>
  <c r="K189" i="19"/>
  <c r="L189" i="19"/>
  <c r="M189" i="19"/>
  <c r="N189" i="19"/>
  <c r="P189" i="19"/>
  <c r="Q189" i="19"/>
  <c r="H190" i="19"/>
  <c r="I190" i="19"/>
  <c r="K190" i="19"/>
  <c r="L190" i="19"/>
  <c r="M190" i="19"/>
  <c r="N190" i="19"/>
  <c r="P190" i="19"/>
  <c r="Q190" i="19"/>
  <c r="H191" i="19"/>
  <c r="I191" i="19"/>
  <c r="K191" i="19"/>
  <c r="L191" i="19"/>
  <c r="M191" i="19"/>
  <c r="N191" i="19"/>
  <c r="P191" i="19"/>
  <c r="Q191" i="19"/>
  <c r="H192" i="19"/>
  <c r="I192" i="19"/>
  <c r="K192" i="19"/>
  <c r="L192" i="19"/>
  <c r="M192" i="19"/>
  <c r="N192" i="19"/>
  <c r="P192" i="19"/>
  <c r="Q192" i="19"/>
  <c r="H193" i="19"/>
  <c r="I193" i="19"/>
  <c r="K193" i="19"/>
  <c r="L193" i="19"/>
  <c r="M193" i="19"/>
  <c r="N193" i="19"/>
  <c r="P193" i="19"/>
  <c r="Q193" i="19"/>
  <c r="H194" i="19"/>
  <c r="I194" i="19"/>
  <c r="K194" i="19"/>
  <c r="L194" i="19"/>
  <c r="M194" i="19"/>
  <c r="N194" i="19"/>
  <c r="P194" i="19"/>
  <c r="Q194" i="19"/>
  <c r="H195" i="19"/>
  <c r="I195" i="19"/>
  <c r="K195" i="19"/>
  <c r="L195" i="19"/>
  <c r="M195" i="19"/>
  <c r="N195" i="19"/>
  <c r="P195" i="19"/>
  <c r="Q195" i="19"/>
  <c r="H196" i="19"/>
  <c r="I196" i="19"/>
  <c r="K196" i="19"/>
  <c r="L196" i="19"/>
  <c r="M196" i="19"/>
  <c r="N196" i="19"/>
  <c r="P196" i="19"/>
  <c r="Q196" i="19"/>
  <c r="H197" i="19"/>
  <c r="I197" i="19"/>
  <c r="K197" i="19"/>
  <c r="L197" i="19"/>
  <c r="M197" i="19"/>
  <c r="N197" i="19"/>
  <c r="P197" i="19"/>
  <c r="Q197" i="19"/>
  <c r="H198" i="19"/>
  <c r="I198" i="19"/>
  <c r="K198" i="19"/>
  <c r="L198" i="19"/>
  <c r="M198" i="19"/>
  <c r="N198" i="19"/>
  <c r="P198" i="19"/>
  <c r="Q198" i="19"/>
  <c r="H199" i="19"/>
  <c r="I199" i="19"/>
  <c r="K199" i="19"/>
  <c r="L199" i="19"/>
  <c r="M199" i="19"/>
  <c r="N199" i="19"/>
  <c r="P199" i="19"/>
  <c r="Q199" i="19"/>
  <c r="H200" i="19"/>
  <c r="I200" i="19"/>
  <c r="K200" i="19"/>
  <c r="L200" i="19"/>
  <c r="M200" i="19"/>
  <c r="N200" i="19"/>
  <c r="P200" i="19"/>
  <c r="Q200" i="19"/>
  <c r="H201" i="19"/>
  <c r="I201" i="19"/>
  <c r="K201" i="19"/>
  <c r="L201" i="19"/>
  <c r="M201" i="19"/>
  <c r="N201" i="19"/>
  <c r="P201" i="19"/>
  <c r="Q201" i="19"/>
  <c r="H202" i="19"/>
  <c r="I202" i="19"/>
  <c r="K202" i="19"/>
  <c r="L202" i="19"/>
  <c r="M202" i="19"/>
  <c r="N202" i="19"/>
  <c r="P202" i="19"/>
  <c r="Q202" i="19"/>
  <c r="H203" i="19"/>
  <c r="I203" i="19"/>
  <c r="K203" i="19"/>
  <c r="L203" i="19"/>
  <c r="M203" i="19"/>
  <c r="N203" i="19"/>
  <c r="P203" i="19"/>
  <c r="Q203" i="19"/>
  <c r="H204" i="19"/>
  <c r="I204" i="19"/>
  <c r="K204" i="19"/>
  <c r="L204" i="19"/>
  <c r="M204" i="19"/>
  <c r="N204" i="19"/>
  <c r="P204" i="19"/>
  <c r="Q204" i="19"/>
  <c r="H205" i="19"/>
  <c r="I205" i="19"/>
  <c r="K205" i="19"/>
  <c r="L205" i="19"/>
  <c r="M205" i="19"/>
  <c r="N205" i="19"/>
  <c r="P205" i="19"/>
  <c r="Q205" i="19"/>
  <c r="H206" i="19"/>
  <c r="I206" i="19"/>
  <c r="K206" i="19"/>
  <c r="L206" i="19"/>
  <c r="M206" i="19"/>
  <c r="N206" i="19"/>
  <c r="P206" i="19"/>
  <c r="Q206" i="19"/>
  <c r="H207" i="19"/>
  <c r="I207" i="19"/>
  <c r="K207" i="19"/>
  <c r="L207" i="19"/>
  <c r="M207" i="19"/>
  <c r="N207" i="19"/>
  <c r="P207" i="19"/>
  <c r="Q207" i="19"/>
  <c r="H208" i="19"/>
  <c r="I208" i="19"/>
  <c r="K208" i="19"/>
  <c r="L208" i="19"/>
  <c r="M208" i="19"/>
  <c r="N208" i="19"/>
  <c r="P208" i="19"/>
  <c r="Q208" i="19"/>
  <c r="H209" i="19"/>
  <c r="I209" i="19"/>
  <c r="K209" i="19"/>
  <c r="L209" i="19"/>
  <c r="M209" i="19"/>
  <c r="N209" i="19"/>
  <c r="P209" i="19"/>
  <c r="Q209" i="19"/>
  <c r="H210" i="19"/>
  <c r="I210" i="19"/>
  <c r="K210" i="19"/>
  <c r="L210" i="19"/>
  <c r="M210" i="19"/>
  <c r="N210" i="19"/>
  <c r="P210" i="19"/>
  <c r="Q210" i="19"/>
  <c r="H211" i="19"/>
  <c r="I211" i="19"/>
  <c r="K211" i="19"/>
  <c r="L211" i="19"/>
  <c r="M211" i="19"/>
  <c r="N211" i="19"/>
  <c r="P211" i="19"/>
  <c r="Q211" i="19"/>
  <c r="H212" i="19"/>
  <c r="I212" i="19"/>
  <c r="K212" i="19"/>
  <c r="L212" i="19"/>
  <c r="M212" i="19"/>
  <c r="N212" i="19"/>
  <c r="P212" i="19"/>
  <c r="Q212" i="19"/>
  <c r="H213" i="19"/>
  <c r="I213" i="19"/>
  <c r="K213" i="19"/>
  <c r="L213" i="19"/>
  <c r="M213" i="19"/>
  <c r="N213" i="19"/>
  <c r="P213" i="19"/>
  <c r="Q213" i="19"/>
  <c r="H214" i="19"/>
  <c r="I214" i="19"/>
  <c r="K214" i="19"/>
  <c r="L214" i="19"/>
  <c r="M214" i="19"/>
  <c r="N214" i="19"/>
  <c r="P214" i="19"/>
  <c r="Q214" i="19"/>
  <c r="H215" i="19"/>
  <c r="I215" i="19"/>
  <c r="K215" i="19"/>
  <c r="L215" i="19"/>
  <c r="M215" i="19"/>
  <c r="N215" i="19"/>
  <c r="P215" i="19"/>
  <c r="Q215" i="19"/>
  <c r="H216" i="19"/>
  <c r="I216" i="19"/>
  <c r="K216" i="19"/>
  <c r="L216" i="19"/>
  <c r="M216" i="19"/>
  <c r="N216" i="19"/>
  <c r="P216" i="19"/>
  <c r="Q216" i="19"/>
  <c r="H217" i="19"/>
  <c r="I217" i="19"/>
  <c r="K217" i="19"/>
  <c r="L217" i="19"/>
  <c r="M217" i="19"/>
  <c r="N217" i="19"/>
  <c r="P217" i="19"/>
  <c r="Q217" i="19"/>
  <c r="H218" i="19"/>
  <c r="I218" i="19"/>
  <c r="K218" i="19"/>
  <c r="L218" i="19"/>
  <c r="M218" i="19"/>
  <c r="N218" i="19"/>
  <c r="P218" i="19"/>
  <c r="Q218" i="19"/>
  <c r="H219" i="19"/>
  <c r="I219" i="19"/>
  <c r="K219" i="19"/>
  <c r="L219" i="19"/>
  <c r="M219" i="19"/>
  <c r="N219" i="19"/>
  <c r="P219" i="19"/>
  <c r="Q219" i="19"/>
  <c r="H220" i="19"/>
  <c r="I220" i="19"/>
  <c r="K220" i="19"/>
  <c r="L220" i="19"/>
  <c r="M220" i="19"/>
  <c r="N220" i="19"/>
  <c r="P220" i="19"/>
  <c r="Q220" i="19"/>
  <c r="H221" i="19"/>
  <c r="I221" i="19"/>
  <c r="K221" i="19"/>
  <c r="L221" i="19"/>
  <c r="M221" i="19"/>
  <c r="N221" i="19"/>
  <c r="P221" i="19"/>
  <c r="Q221" i="19"/>
  <c r="H222" i="19"/>
  <c r="I222" i="19"/>
  <c r="K222" i="19"/>
  <c r="L222" i="19"/>
  <c r="M222" i="19"/>
  <c r="N222" i="19"/>
  <c r="P222" i="19"/>
  <c r="Q222" i="19"/>
  <c r="H223" i="19"/>
  <c r="I223" i="19"/>
  <c r="K223" i="19"/>
  <c r="L223" i="19"/>
  <c r="M223" i="19"/>
  <c r="N223" i="19"/>
  <c r="P223" i="19"/>
  <c r="Q223" i="19"/>
  <c r="H224" i="19"/>
  <c r="I224" i="19"/>
  <c r="K224" i="19"/>
  <c r="L224" i="19"/>
  <c r="M224" i="19"/>
  <c r="N224" i="19"/>
  <c r="P224" i="19"/>
  <c r="Q224" i="19"/>
  <c r="H225" i="19"/>
  <c r="I225" i="19"/>
  <c r="K225" i="19"/>
  <c r="L225" i="19"/>
  <c r="M225" i="19"/>
  <c r="N225" i="19"/>
  <c r="P225" i="19"/>
  <c r="Q225" i="19"/>
  <c r="H226" i="19"/>
  <c r="I226" i="19"/>
  <c r="K226" i="19"/>
  <c r="L226" i="19"/>
  <c r="M226" i="19"/>
  <c r="N226" i="19"/>
  <c r="P226" i="19"/>
  <c r="Q226" i="19"/>
  <c r="H227" i="19"/>
  <c r="I227" i="19"/>
  <c r="K227" i="19"/>
  <c r="L227" i="19"/>
  <c r="M227" i="19"/>
  <c r="N227" i="19"/>
  <c r="P227" i="19"/>
  <c r="Q227" i="19"/>
  <c r="H228" i="19"/>
  <c r="I228" i="19"/>
  <c r="K228" i="19"/>
  <c r="L228" i="19"/>
  <c r="M228" i="19"/>
  <c r="N228" i="19"/>
  <c r="P228" i="19"/>
  <c r="Q228" i="19"/>
  <c r="H229" i="19"/>
  <c r="I229" i="19"/>
  <c r="K229" i="19"/>
  <c r="L229" i="19"/>
  <c r="M229" i="19"/>
  <c r="N229" i="19"/>
  <c r="P229" i="19"/>
  <c r="Q229" i="19"/>
  <c r="H230" i="19"/>
  <c r="I230" i="19"/>
  <c r="K230" i="19"/>
  <c r="L230" i="19"/>
  <c r="M230" i="19"/>
  <c r="N230" i="19"/>
  <c r="P230" i="19"/>
  <c r="Q230" i="19"/>
  <c r="H231" i="19"/>
  <c r="I231" i="19"/>
  <c r="K231" i="19"/>
  <c r="L231" i="19"/>
  <c r="M231" i="19"/>
  <c r="N231" i="19"/>
  <c r="P231" i="19"/>
  <c r="Q231" i="19"/>
  <c r="H232" i="19"/>
  <c r="I232" i="19"/>
  <c r="K232" i="19"/>
  <c r="L232" i="19"/>
  <c r="M232" i="19"/>
  <c r="N232" i="19"/>
  <c r="P232" i="19"/>
  <c r="Q232" i="19"/>
  <c r="H233" i="19"/>
  <c r="I233" i="19"/>
  <c r="K233" i="19"/>
  <c r="L233" i="19"/>
  <c r="M233" i="19"/>
  <c r="N233" i="19"/>
  <c r="P233" i="19"/>
  <c r="Q233" i="19"/>
  <c r="H234" i="19"/>
  <c r="I234" i="19"/>
  <c r="K234" i="19"/>
  <c r="L234" i="19"/>
  <c r="M234" i="19"/>
  <c r="N234" i="19"/>
  <c r="P234" i="19"/>
  <c r="Q234" i="19"/>
  <c r="H235" i="19"/>
  <c r="I235" i="19"/>
  <c r="K235" i="19"/>
  <c r="L235" i="19"/>
  <c r="M235" i="19"/>
  <c r="N235" i="19"/>
  <c r="P235" i="19"/>
  <c r="Q235" i="19"/>
  <c r="H236" i="19"/>
  <c r="I236" i="19"/>
  <c r="K236" i="19"/>
  <c r="L236" i="19"/>
  <c r="M236" i="19"/>
  <c r="N236" i="19"/>
  <c r="P236" i="19"/>
  <c r="Q236" i="19"/>
  <c r="H237" i="19"/>
  <c r="I237" i="19"/>
  <c r="K237" i="19"/>
  <c r="L237" i="19"/>
  <c r="M237" i="19"/>
  <c r="N237" i="19"/>
  <c r="P237" i="19"/>
  <c r="Q237" i="19"/>
  <c r="H238" i="19"/>
  <c r="I238" i="19"/>
  <c r="K238" i="19"/>
  <c r="L238" i="19"/>
  <c r="M238" i="19"/>
  <c r="N238" i="19"/>
  <c r="P238" i="19"/>
  <c r="Q238" i="19"/>
  <c r="H239" i="19"/>
  <c r="I239" i="19"/>
  <c r="K239" i="19"/>
  <c r="L239" i="19"/>
  <c r="M239" i="19"/>
  <c r="N239" i="19"/>
  <c r="P239" i="19"/>
  <c r="Q239" i="19"/>
  <c r="H240" i="19"/>
  <c r="I240" i="19"/>
  <c r="K240" i="19"/>
  <c r="L240" i="19"/>
  <c r="M240" i="19"/>
  <c r="N240" i="19"/>
  <c r="P240" i="19"/>
  <c r="Q240" i="19"/>
  <c r="H241" i="19"/>
  <c r="I241" i="19"/>
  <c r="K241" i="19"/>
  <c r="L241" i="19"/>
  <c r="M241" i="19"/>
  <c r="N241" i="19"/>
  <c r="P241" i="19"/>
  <c r="Q241" i="19"/>
  <c r="H242" i="19"/>
  <c r="I242" i="19"/>
  <c r="K242" i="19"/>
  <c r="L242" i="19"/>
  <c r="M242" i="19"/>
  <c r="N242" i="19"/>
  <c r="P242" i="19"/>
  <c r="Q242" i="19"/>
  <c r="H243" i="19"/>
  <c r="I243" i="19"/>
  <c r="K243" i="19"/>
  <c r="L243" i="19"/>
  <c r="M243" i="19"/>
  <c r="N243" i="19"/>
  <c r="P243" i="19"/>
  <c r="Q243" i="19"/>
  <c r="H244" i="19"/>
  <c r="I244" i="19"/>
  <c r="K244" i="19"/>
  <c r="L244" i="19"/>
  <c r="M244" i="19"/>
  <c r="N244" i="19"/>
  <c r="P244" i="19"/>
  <c r="Q244" i="19"/>
  <c r="H245" i="19"/>
  <c r="I245" i="19"/>
  <c r="K245" i="19"/>
  <c r="L245" i="19"/>
  <c r="M245" i="19"/>
  <c r="N245" i="19"/>
  <c r="P245" i="19"/>
  <c r="Q245" i="19"/>
  <c r="H246" i="19"/>
  <c r="I246" i="19"/>
  <c r="K246" i="19"/>
  <c r="L246" i="19"/>
  <c r="M246" i="19"/>
  <c r="N246" i="19"/>
  <c r="P246" i="19"/>
  <c r="Q246" i="19"/>
  <c r="H247" i="19"/>
  <c r="I247" i="19"/>
  <c r="K247" i="19"/>
  <c r="L247" i="19"/>
  <c r="M247" i="19"/>
  <c r="N247" i="19"/>
  <c r="P247" i="19"/>
  <c r="Q247" i="19"/>
  <c r="H248" i="19"/>
  <c r="I248" i="19"/>
  <c r="K248" i="19"/>
  <c r="L248" i="19"/>
  <c r="M248" i="19"/>
  <c r="N248" i="19"/>
  <c r="P248" i="19"/>
  <c r="Q248" i="19"/>
  <c r="H249" i="19"/>
  <c r="I249" i="19"/>
  <c r="K249" i="19"/>
  <c r="L249" i="19"/>
  <c r="M249" i="19"/>
  <c r="N249" i="19"/>
  <c r="P249" i="19"/>
  <c r="Q249" i="19"/>
  <c r="H250" i="19"/>
  <c r="I250" i="19"/>
  <c r="K250" i="19"/>
  <c r="L250" i="19"/>
  <c r="M250" i="19"/>
  <c r="N250" i="19"/>
  <c r="P250" i="19"/>
  <c r="Q250" i="19"/>
  <c r="H251" i="19"/>
  <c r="I251" i="19"/>
  <c r="K251" i="19"/>
  <c r="L251" i="19"/>
  <c r="M251" i="19"/>
  <c r="N251" i="19"/>
  <c r="P251" i="19"/>
  <c r="Q251" i="19"/>
  <c r="H252" i="19"/>
  <c r="I252" i="19"/>
  <c r="K252" i="19"/>
  <c r="L252" i="19"/>
  <c r="M252" i="19"/>
  <c r="N252" i="19"/>
  <c r="P252" i="19"/>
  <c r="Q252" i="19"/>
  <c r="H253" i="19"/>
  <c r="I253" i="19"/>
  <c r="K253" i="19"/>
  <c r="L253" i="19"/>
  <c r="M253" i="19"/>
  <c r="N253" i="19"/>
  <c r="P253" i="19"/>
  <c r="Q253" i="19"/>
  <c r="H254" i="19"/>
  <c r="I254" i="19"/>
  <c r="K254" i="19"/>
  <c r="L254" i="19"/>
  <c r="M254" i="19"/>
  <c r="N254" i="19"/>
  <c r="P254" i="19"/>
  <c r="Q254" i="19"/>
  <c r="H255" i="19"/>
  <c r="I255" i="19"/>
  <c r="K255" i="19"/>
  <c r="L255" i="19"/>
  <c r="M255" i="19"/>
  <c r="N255" i="19"/>
  <c r="P255" i="19"/>
  <c r="Q255" i="19"/>
  <c r="H256" i="19"/>
  <c r="I256" i="19"/>
  <c r="K256" i="19"/>
  <c r="L256" i="19"/>
  <c r="M256" i="19"/>
  <c r="N256" i="19"/>
  <c r="P256" i="19"/>
  <c r="Q256" i="19"/>
  <c r="H257" i="19"/>
  <c r="I257" i="19"/>
  <c r="K257" i="19"/>
  <c r="L257" i="19"/>
  <c r="M257" i="19"/>
  <c r="N257" i="19"/>
  <c r="P257" i="19"/>
  <c r="Q257" i="19"/>
  <c r="H258" i="19"/>
  <c r="I258" i="19"/>
  <c r="K258" i="19"/>
  <c r="L258" i="19"/>
  <c r="M258" i="19"/>
  <c r="N258" i="19"/>
  <c r="P258" i="19"/>
  <c r="Q258" i="19"/>
  <c r="H259" i="19"/>
  <c r="I259" i="19"/>
  <c r="K259" i="19"/>
  <c r="L259" i="19"/>
  <c r="M259" i="19"/>
  <c r="N259" i="19"/>
  <c r="P259" i="19"/>
  <c r="Q259" i="19"/>
  <c r="H260" i="19"/>
  <c r="I260" i="19"/>
  <c r="K260" i="19"/>
  <c r="L260" i="19"/>
  <c r="M260" i="19"/>
  <c r="N260" i="19"/>
  <c r="P260" i="19"/>
  <c r="Q260" i="19"/>
  <c r="H261" i="19"/>
  <c r="I261" i="19"/>
  <c r="K261" i="19"/>
  <c r="L261" i="19"/>
  <c r="M261" i="19"/>
  <c r="N261" i="19"/>
  <c r="P261" i="19"/>
  <c r="Q261" i="19"/>
  <c r="H262" i="19"/>
  <c r="I262" i="19"/>
  <c r="K262" i="19"/>
  <c r="L262" i="19"/>
  <c r="M262" i="19"/>
  <c r="N262" i="19"/>
  <c r="P262" i="19"/>
  <c r="Q262" i="19"/>
  <c r="H263" i="19"/>
  <c r="I263" i="19"/>
  <c r="K263" i="19"/>
  <c r="L263" i="19"/>
  <c r="M263" i="19"/>
  <c r="N263" i="19"/>
  <c r="P263" i="19"/>
  <c r="Q263" i="19"/>
  <c r="H264" i="19"/>
  <c r="I264" i="19"/>
  <c r="K264" i="19"/>
  <c r="L264" i="19"/>
  <c r="M264" i="19"/>
  <c r="N264" i="19"/>
  <c r="P264" i="19"/>
  <c r="Q264" i="19"/>
  <c r="H265" i="19"/>
  <c r="I265" i="19"/>
  <c r="K265" i="19"/>
  <c r="L265" i="19"/>
  <c r="M265" i="19"/>
  <c r="N265" i="19"/>
  <c r="P265" i="19"/>
  <c r="Q265" i="19"/>
  <c r="H266" i="19"/>
  <c r="I266" i="19"/>
  <c r="K266" i="19"/>
  <c r="L266" i="19"/>
  <c r="M266" i="19"/>
  <c r="N266" i="19"/>
  <c r="P266" i="19"/>
  <c r="Q266" i="19"/>
  <c r="H267" i="19"/>
  <c r="I267" i="19"/>
  <c r="K267" i="19"/>
  <c r="L267" i="19"/>
  <c r="M267" i="19"/>
  <c r="N267" i="19"/>
  <c r="P267" i="19"/>
  <c r="Q267" i="19"/>
  <c r="H268" i="19"/>
  <c r="I268" i="19"/>
  <c r="K268" i="19"/>
  <c r="L268" i="19"/>
  <c r="M268" i="19"/>
  <c r="N268" i="19"/>
  <c r="P268" i="19"/>
  <c r="Q268" i="19"/>
  <c r="H269" i="19"/>
  <c r="I269" i="19"/>
  <c r="K269" i="19"/>
  <c r="L269" i="19"/>
  <c r="M269" i="19"/>
  <c r="N269" i="19"/>
  <c r="P269" i="19"/>
  <c r="Q269" i="19"/>
  <c r="H270" i="19"/>
  <c r="I270" i="19"/>
  <c r="K270" i="19"/>
  <c r="L270" i="19"/>
  <c r="M270" i="19"/>
  <c r="N270" i="19"/>
  <c r="P270" i="19"/>
  <c r="Q270" i="19"/>
  <c r="H271" i="19"/>
  <c r="I271" i="19"/>
  <c r="K271" i="19"/>
  <c r="L271" i="19"/>
  <c r="M271" i="19"/>
  <c r="N271" i="19"/>
  <c r="P271" i="19"/>
  <c r="Q271" i="19"/>
  <c r="H272" i="19"/>
  <c r="I272" i="19"/>
  <c r="K272" i="19"/>
  <c r="L272" i="19"/>
  <c r="M272" i="19"/>
  <c r="N272" i="19"/>
  <c r="P272" i="19"/>
  <c r="Q272" i="19"/>
  <c r="H273" i="19"/>
  <c r="I273" i="19"/>
  <c r="K273" i="19"/>
  <c r="L273" i="19"/>
  <c r="M273" i="19"/>
  <c r="N273" i="19"/>
  <c r="P273" i="19"/>
  <c r="Q273" i="19"/>
  <c r="H274" i="19"/>
  <c r="I274" i="19"/>
  <c r="K274" i="19"/>
  <c r="L274" i="19"/>
  <c r="M274" i="19"/>
  <c r="N274" i="19"/>
  <c r="P274" i="19"/>
  <c r="Q274" i="19"/>
  <c r="H275" i="19"/>
  <c r="I275" i="19"/>
  <c r="K275" i="19"/>
  <c r="L275" i="19"/>
  <c r="M275" i="19"/>
  <c r="N275" i="19"/>
  <c r="P275" i="19"/>
  <c r="Q275" i="19"/>
  <c r="H276" i="19"/>
  <c r="I276" i="19"/>
  <c r="K276" i="19"/>
  <c r="L276" i="19"/>
  <c r="M276" i="19"/>
  <c r="N276" i="19"/>
  <c r="P276" i="19"/>
  <c r="Q276" i="19"/>
  <c r="H277" i="19"/>
  <c r="I277" i="19"/>
  <c r="K277" i="19"/>
  <c r="L277" i="19"/>
  <c r="M277" i="19"/>
  <c r="N277" i="19"/>
  <c r="P277" i="19"/>
  <c r="Q277" i="19"/>
  <c r="H278" i="19"/>
  <c r="I278" i="19"/>
  <c r="K278" i="19"/>
  <c r="L278" i="19"/>
  <c r="M278" i="19"/>
  <c r="N278" i="19"/>
  <c r="P278" i="19"/>
  <c r="Q278" i="19"/>
  <c r="H279" i="19"/>
  <c r="I279" i="19"/>
  <c r="K279" i="19"/>
  <c r="L279" i="19"/>
  <c r="M279" i="19"/>
  <c r="N279" i="19"/>
  <c r="P279" i="19"/>
  <c r="Q279" i="19"/>
  <c r="H280" i="19"/>
  <c r="I280" i="19"/>
  <c r="K280" i="19"/>
  <c r="L280" i="19"/>
  <c r="M280" i="19"/>
  <c r="N280" i="19"/>
  <c r="P280" i="19"/>
  <c r="Q280" i="19"/>
  <c r="H281" i="19"/>
  <c r="I281" i="19"/>
  <c r="K281" i="19"/>
  <c r="L281" i="19"/>
  <c r="M281" i="19"/>
  <c r="N281" i="19"/>
  <c r="P281" i="19"/>
  <c r="Q281" i="19"/>
  <c r="H282" i="19"/>
  <c r="I282" i="19"/>
  <c r="K282" i="19"/>
  <c r="L282" i="19"/>
  <c r="M282" i="19"/>
  <c r="N282" i="19"/>
  <c r="P282" i="19"/>
  <c r="Q282" i="19"/>
  <c r="H283" i="19"/>
  <c r="I283" i="19"/>
  <c r="K283" i="19"/>
  <c r="L283" i="19"/>
  <c r="M283" i="19"/>
  <c r="N283" i="19"/>
  <c r="P283" i="19"/>
  <c r="Q283" i="19"/>
  <c r="H284" i="19"/>
  <c r="I284" i="19"/>
  <c r="K284" i="19"/>
  <c r="L284" i="19"/>
  <c r="M284" i="19"/>
  <c r="N284" i="19"/>
  <c r="P284" i="19"/>
  <c r="Q284" i="19"/>
  <c r="H285" i="19"/>
  <c r="I285" i="19"/>
  <c r="K285" i="19"/>
  <c r="L285" i="19"/>
  <c r="M285" i="19"/>
  <c r="N285" i="19"/>
  <c r="P285" i="19"/>
  <c r="Q285" i="19"/>
  <c r="H286" i="19"/>
  <c r="I286" i="19"/>
  <c r="K286" i="19"/>
  <c r="L286" i="19"/>
  <c r="M286" i="19"/>
  <c r="N286" i="19"/>
  <c r="P286" i="19"/>
  <c r="Q286" i="19"/>
  <c r="H287" i="19"/>
  <c r="I287" i="19"/>
  <c r="K287" i="19"/>
  <c r="L287" i="19"/>
  <c r="M287" i="19"/>
  <c r="N287" i="19"/>
  <c r="P287" i="19"/>
  <c r="Q287" i="19"/>
  <c r="H288" i="19"/>
  <c r="I288" i="19"/>
  <c r="K288" i="19"/>
  <c r="L288" i="19"/>
  <c r="M288" i="19"/>
  <c r="N288" i="19"/>
  <c r="P288" i="19"/>
  <c r="Q288" i="19"/>
  <c r="H289" i="19"/>
  <c r="I289" i="19"/>
  <c r="K289" i="19"/>
  <c r="L289" i="19"/>
  <c r="M289" i="19"/>
  <c r="N289" i="19"/>
  <c r="P289" i="19"/>
  <c r="Q289" i="19"/>
  <c r="H290" i="19"/>
  <c r="I290" i="19"/>
  <c r="K290" i="19"/>
  <c r="L290" i="19"/>
  <c r="M290" i="19"/>
  <c r="N290" i="19"/>
  <c r="P290" i="19"/>
  <c r="Q290" i="19"/>
  <c r="H291" i="19"/>
  <c r="I291" i="19"/>
  <c r="K291" i="19"/>
  <c r="L291" i="19"/>
  <c r="M291" i="19"/>
  <c r="N291" i="19"/>
  <c r="P291" i="19"/>
  <c r="Q291" i="19"/>
  <c r="H292" i="19"/>
  <c r="I292" i="19"/>
  <c r="K292" i="19"/>
  <c r="L292" i="19"/>
  <c r="M292" i="19"/>
  <c r="N292" i="19"/>
  <c r="P292" i="19"/>
  <c r="Q292" i="19"/>
  <c r="H293" i="19"/>
  <c r="I293" i="19"/>
  <c r="K293" i="19"/>
  <c r="L293" i="19"/>
  <c r="M293" i="19"/>
  <c r="N293" i="19"/>
  <c r="P293" i="19"/>
  <c r="Q293" i="19"/>
  <c r="H294" i="19"/>
  <c r="I294" i="19"/>
  <c r="K294" i="19"/>
  <c r="L294" i="19"/>
  <c r="M294" i="19"/>
  <c r="N294" i="19"/>
  <c r="P294" i="19"/>
  <c r="Q294" i="19"/>
  <c r="H295" i="19"/>
  <c r="I295" i="19"/>
  <c r="K295" i="19"/>
  <c r="L295" i="19"/>
  <c r="M295" i="19"/>
  <c r="N295" i="19"/>
  <c r="P295" i="19"/>
  <c r="Q295" i="19"/>
  <c r="H296" i="19"/>
  <c r="I296" i="19"/>
  <c r="K296" i="19"/>
  <c r="L296" i="19"/>
  <c r="M296" i="19"/>
  <c r="N296" i="19"/>
  <c r="P296" i="19"/>
  <c r="Q296" i="19"/>
  <c r="H297" i="19"/>
  <c r="I297" i="19"/>
  <c r="K297" i="19"/>
  <c r="L297" i="19"/>
  <c r="M297" i="19"/>
  <c r="N297" i="19"/>
  <c r="P297" i="19"/>
  <c r="Q297" i="19"/>
  <c r="H298" i="19"/>
  <c r="I298" i="19"/>
  <c r="K298" i="19"/>
  <c r="L298" i="19"/>
  <c r="M298" i="19"/>
  <c r="N298" i="19"/>
  <c r="P298" i="19"/>
  <c r="Q298" i="19"/>
  <c r="H299" i="19"/>
  <c r="I299" i="19"/>
  <c r="K299" i="19"/>
  <c r="L299" i="19"/>
  <c r="M299" i="19"/>
  <c r="N299" i="19"/>
  <c r="P299" i="19"/>
  <c r="Q299" i="19"/>
  <c r="H300" i="19"/>
  <c r="I300" i="19"/>
  <c r="K300" i="19"/>
  <c r="L300" i="19"/>
  <c r="M300" i="19"/>
  <c r="N300" i="19"/>
  <c r="P300" i="19"/>
  <c r="Q300" i="19"/>
  <c r="H301" i="19"/>
  <c r="I301" i="19"/>
  <c r="K301" i="19"/>
  <c r="L301" i="19"/>
  <c r="M301" i="19"/>
  <c r="N301" i="19"/>
  <c r="P301" i="19"/>
  <c r="Q301" i="19"/>
  <c r="H302" i="19"/>
  <c r="I302" i="19"/>
  <c r="K302" i="19"/>
  <c r="L302" i="19"/>
  <c r="M302" i="19"/>
  <c r="N302" i="19"/>
  <c r="P302" i="19"/>
  <c r="Q302" i="19"/>
  <c r="H303" i="19"/>
  <c r="I303" i="19"/>
  <c r="K303" i="19"/>
  <c r="L303" i="19"/>
  <c r="M303" i="19"/>
  <c r="N303" i="19"/>
  <c r="P303" i="19"/>
  <c r="Q303" i="19"/>
  <c r="H304" i="19"/>
  <c r="I304" i="19"/>
  <c r="K304" i="19"/>
  <c r="L304" i="19"/>
  <c r="M304" i="19"/>
  <c r="N304" i="19"/>
  <c r="P304" i="19"/>
  <c r="Q304" i="19"/>
  <c r="H305" i="19"/>
  <c r="I305" i="19"/>
  <c r="K305" i="19"/>
  <c r="L305" i="19"/>
  <c r="M305" i="19"/>
  <c r="N305" i="19"/>
  <c r="P305" i="19"/>
  <c r="Q305" i="19"/>
  <c r="H306" i="19"/>
  <c r="I306" i="19"/>
  <c r="K306" i="19"/>
  <c r="L306" i="19"/>
  <c r="M306" i="19"/>
  <c r="N306" i="19"/>
  <c r="P306" i="19"/>
  <c r="Q306" i="19"/>
  <c r="H307" i="19"/>
  <c r="I307" i="19"/>
  <c r="K307" i="19"/>
  <c r="L307" i="19"/>
  <c r="M307" i="19"/>
  <c r="N307" i="19"/>
  <c r="P307" i="19"/>
  <c r="Q307" i="19"/>
  <c r="H308" i="19"/>
  <c r="I308" i="19"/>
  <c r="K308" i="19"/>
  <c r="L308" i="19"/>
  <c r="M308" i="19"/>
  <c r="N308" i="19"/>
  <c r="P308" i="19"/>
  <c r="Q308" i="19"/>
  <c r="H309" i="19"/>
  <c r="I309" i="19"/>
  <c r="K309" i="19"/>
  <c r="L309" i="19"/>
  <c r="M309" i="19"/>
  <c r="N309" i="19"/>
  <c r="P309" i="19"/>
  <c r="Q309" i="19"/>
  <c r="H310" i="19"/>
  <c r="I310" i="19"/>
  <c r="K310" i="19"/>
  <c r="L310" i="19"/>
  <c r="M310" i="19"/>
  <c r="N310" i="19"/>
  <c r="P310" i="19"/>
  <c r="Q310" i="19"/>
  <c r="H311" i="19"/>
  <c r="I311" i="19"/>
  <c r="K311" i="19"/>
  <c r="L311" i="19"/>
  <c r="M311" i="19"/>
  <c r="N311" i="19"/>
  <c r="P311" i="19"/>
  <c r="Q311" i="19"/>
  <c r="H312" i="19"/>
  <c r="I312" i="19"/>
  <c r="K312" i="19"/>
  <c r="L312" i="19"/>
  <c r="M312" i="19"/>
  <c r="N312" i="19"/>
  <c r="P312" i="19"/>
  <c r="Q312" i="19"/>
  <c r="H313" i="19"/>
  <c r="I313" i="19"/>
  <c r="K313" i="19"/>
  <c r="L313" i="19"/>
  <c r="M313" i="19"/>
  <c r="N313" i="19"/>
  <c r="P313" i="19"/>
  <c r="Q313" i="19"/>
  <c r="H314" i="19"/>
  <c r="I314" i="19"/>
  <c r="K314" i="19"/>
  <c r="L314" i="19"/>
  <c r="M314" i="19"/>
  <c r="N314" i="19"/>
  <c r="P314" i="19"/>
  <c r="Q314" i="19"/>
  <c r="H315" i="19"/>
  <c r="I315" i="19"/>
  <c r="K315" i="19"/>
  <c r="L315" i="19"/>
  <c r="M315" i="19"/>
  <c r="N315" i="19"/>
  <c r="P315" i="19"/>
  <c r="Q315"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A8" i="19"/>
  <c r="B8" i="19"/>
  <c r="A9" i="19"/>
  <c r="B9" i="19"/>
  <c r="A10" i="19"/>
  <c r="B10" i="19"/>
  <c r="A11" i="19"/>
  <c r="B11" i="19"/>
  <c r="A12" i="19"/>
  <c r="B12" i="19"/>
  <c r="A13" i="19"/>
  <c r="B13" i="19"/>
  <c r="A14" i="19"/>
  <c r="B14" i="19"/>
  <c r="A15" i="19"/>
  <c r="B15" i="19"/>
  <c r="A16" i="19"/>
  <c r="B16" i="19"/>
  <c r="A17" i="19"/>
  <c r="B17" i="19"/>
  <c r="A18" i="19"/>
  <c r="B18" i="19"/>
  <c r="A19" i="19"/>
  <c r="B19" i="19"/>
  <c r="A20" i="19"/>
  <c r="B20" i="19"/>
  <c r="A21" i="19"/>
  <c r="B21" i="19"/>
  <c r="A22" i="19"/>
  <c r="B22" i="19"/>
  <c r="A23" i="19"/>
  <c r="B23" i="19"/>
  <c r="A24" i="19"/>
  <c r="B24" i="19"/>
  <c r="A25" i="19"/>
  <c r="B25" i="19"/>
  <c r="A26" i="19"/>
  <c r="B26" i="19"/>
  <c r="A27" i="19"/>
  <c r="B27" i="19"/>
  <c r="A28" i="19"/>
  <c r="B28" i="19"/>
  <c r="A29" i="19"/>
  <c r="B29" i="19"/>
  <c r="A30" i="19"/>
  <c r="B30" i="19"/>
  <c r="A31" i="19"/>
  <c r="B31" i="19"/>
  <c r="A32" i="19"/>
  <c r="B32" i="19"/>
  <c r="A33" i="19"/>
  <c r="B33" i="19"/>
  <c r="A34" i="19"/>
  <c r="B34" i="19"/>
  <c r="A35" i="19"/>
  <c r="B35" i="19"/>
  <c r="A36" i="19"/>
  <c r="B36" i="19"/>
  <c r="A37" i="19"/>
  <c r="B37" i="19"/>
  <c r="A38" i="19"/>
  <c r="B38" i="19"/>
  <c r="A39" i="19"/>
  <c r="B39" i="19"/>
  <c r="A40" i="19"/>
  <c r="B40" i="19"/>
  <c r="A41" i="19"/>
  <c r="B41" i="19"/>
  <c r="A42" i="19"/>
  <c r="B42" i="19"/>
  <c r="A43" i="19"/>
  <c r="B43" i="19"/>
  <c r="A44" i="19"/>
  <c r="B44" i="19"/>
  <c r="A45" i="19"/>
  <c r="B45" i="19"/>
  <c r="A46" i="19"/>
  <c r="B46" i="19"/>
  <c r="A47" i="19"/>
  <c r="B47" i="19"/>
  <c r="A48" i="19"/>
  <c r="B48" i="19"/>
  <c r="A49" i="19"/>
  <c r="B49" i="19"/>
  <c r="A50" i="19"/>
  <c r="B50" i="19"/>
  <c r="A51" i="19"/>
  <c r="B51" i="19"/>
  <c r="A52" i="19"/>
  <c r="B52" i="19"/>
  <c r="A53" i="19"/>
  <c r="B53" i="19"/>
  <c r="A54" i="19"/>
  <c r="B54" i="19"/>
  <c r="A55" i="19"/>
  <c r="B55" i="19"/>
  <c r="A56" i="19"/>
  <c r="B56" i="19"/>
  <c r="A57" i="19"/>
  <c r="B57" i="19"/>
  <c r="A58" i="19"/>
  <c r="B58" i="19"/>
  <c r="A59" i="19"/>
  <c r="B59" i="19"/>
  <c r="A60" i="19"/>
  <c r="B60" i="19"/>
  <c r="A61" i="19"/>
  <c r="B61" i="19"/>
  <c r="A62" i="19"/>
  <c r="B62" i="19"/>
  <c r="A63" i="19"/>
  <c r="B63" i="19"/>
  <c r="A64" i="19"/>
  <c r="B64" i="19"/>
  <c r="A65" i="19"/>
  <c r="B65" i="19"/>
  <c r="A66" i="19"/>
  <c r="B66" i="19"/>
  <c r="A67" i="19"/>
  <c r="B67" i="19"/>
  <c r="A68" i="19"/>
  <c r="B68" i="19"/>
  <c r="A69" i="19"/>
  <c r="B69" i="19"/>
  <c r="A70" i="19"/>
  <c r="B70" i="19"/>
  <c r="A71" i="19"/>
  <c r="B71" i="19"/>
  <c r="A72" i="19"/>
  <c r="B72" i="19"/>
  <c r="A73" i="19"/>
  <c r="B73" i="19"/>
  <c r="A74" i="19"/>
  <c r="B74" i="19"/>
  <c r="A75" i="19"/>
  <c r="B75" i="19"/>
  <c r="A76" i="19"/>
  <c r="B76" i="19"/>
  <c r="A77" i="19"/>
  <c r="B77" i="19"/>
  <c r="A78" i="19"/>
  <c r="B78" i="19"/>
  <c r="A79" i="19"/>
  <c r="B79" i="19"/>
  <c r="A80" i="19"/>
  <c r="B80" i="19"/>
  <c r="A81" i="19"/>
  <c r="B81" i="19"/>
  <c r="A82" i="19"/>
  <c r="B82" i="19"/>
  <c r="A83" i="19"/>
  <c r="B83" i="19"/>
  <c r="A84" i="19"/>
  <c r="B84" i="19"/>
  <c r="A85" i="19"/>
  <c r="B85" i="19"/>
  <c r="A86" i="19"/>
  <c r="B86" i="19"/>
  <c r="A87" i="19"/>
  <c r="B87" i="19"/>
  <c r="A88" i="19"/>
  <c r="B88" i="19"/>
  <c r="A89" i="19"/>
  <c r="B89" i="19"/>
  <c r="A90" i="19"/>
  <c r="B90" i="19"/>
  <c r="A91" i="19"/>
  <c r="B91" i="19"/>
  <c r="A92" i="19"/>
  <c r="B92" i="19"/>
  <c r="A93" i="19"/>
  <c r="B93" i="19"/>
  <c r="A94" i="19"/>
  <c r="B94" i="19"/>
  <c r="A95" i="19"/>
  <c r="B95" i="19"/>
  <c r="A96" i="19"/>
  <c r="B96" i="19"/>
  <c r="A97" i="19"/>
  <c r="B97" i="19"/>
  <c r="A98" i="19"/>
  <c r="B98" i="19"/>
  <c r="A99" i="19"/>
  <c r="B99" i="19"/>
  <c r="A100" i="19"/>
  <c r="B100" i="19"/>
  <c r="A101" i="19"/>
  <c r="B101" i="19"/>
  <c r="A102" i="19"/>
  <c r="B102" i="19"/>
  <c r="A103" i="19"/>
  <c r="B103" i="19"/>
  <c r="A104" i="19"/>
  <c r="B104" i="19"/>
  <c r="A105" i="19"/>
  <c r="B105" i="19"/>
  <c r="A106" i="19"/>
  <c r="B106" i="19"/>
  <c r="A107" i="19"/>
  <c r="B107" i="19"/>
  <c r="A108" i="19"/>
  <c r="B108" i="19"/>
  <c r="A109" i="19"/>
  <c r="B109" i="19"/>
  <c r="A110" i="19"/>
  <c r="B110" i="19"/>
  <c r="A111" i="19"/>
  <c r="B111" i="19"/>
  <c r="A112" i="19"/>
  <c r="B112" i="19"/>
  <c r="A113" i="19"/>
  <c r="B113" i="19"/>
  <c r="A114" i="19"/>
  <c r="B114" i="19"/>
  <c r="A115" i="19"/>
  <c r="B115" i="19"/>
  <c r="A116" i="19"/>
  <c r="B116" i="19"/>
  <c r="A117" i="19"/>
  <c r="B117" i="19"/>
  <c r="A118" i="19"/>
  <c r="B118" i="19"/>
  <c r="A119" i="19"/>
  <c r="B119" i="19"/>
  <c r="A120" i="19"/>
  <c r="B120" i="19"/>
  <c r="A121" i="19"/>
  <c r="B121" i="19"/>
  <c r="A122" i="19"/>
  <c r="B122" i="19"/>
  <c r="A123" i="19"/>
  <c r="B123" i="19"/>
  <c r="A124" i="19"/>
  <c r="B124" i="19"/>
  <c r="A125" i="19"/>
  <c r="B125" i="19"/>
  <c r="A126" i="19"/>
  <c r="B126" i="19"/>
  <c r="A127" i="19"/>
  <c r="B127" i="19"/>
  <c r="A128" i="19"/>
  <c r="B128" i="19"/>
  <c r="A129" i="19"/>
  <c r="B129" i="19"/>
  <c r="A130" i="19"/>
  <c r="B130" i="19"/>
  <c r="A131" i="19"/>
  <c r="B131" i="19"/>
  <c r="A132" i="19"/>
  <c r="B132" i="19"/>
  <c r="A133" i="19"/>
  <c r="B133" i="19"/>
  <c r="A134" i="19"/>
  <c r="B134" i="19"/>
  <c r="A135" i="19"/>
  <c r="B135" i="19"/>
  <c r="A136" i="19"/>
  <c r="B136" i="19"/>
  <c r="A137" i="19"/>
  <c r="B137" i="19"/>
  <c r="A138" i="19"/>
  <c r="B138" i="19"/>
  <c r="A139" i="19"/>
  <c r="B139" i="19"/>
  <c r="A140" i="19"/>
  <c r="B140" i="19"/>
  <c r="A141" i="19"/>
  <c r="B141" i="19"/>
  <c r="A142" i="19"/>
  <c r="B142" i="19"/>
  <c r="A143" i="19"/>
  <c r="B143" i="19"/>
  <c r="A144" i="19"/>
  <c r="B144" i="19"/>
  <c r="A145" i="19"/>
  <c r="B145" i="19"/>
  <c r="A146" i="19"/>
  <c r="B146" i="19"/>
  <c r="A147" i="19"/>
  <c r="B147" i="19"/>
  <c r="A148" i="19"/>
  <c r="B148" i="19"/>
  <c r="A149" i="19"/>
  <c r="B149" i="19"/>
  <c r="A150" i="19"/>
  <c r="B150" i="19"/>
  <c r="A151" i="19"/>
  <c r="B151" i="19"/>
  <c r="A152" i="19"/>
  <c r="B152" i="19"/>
  <c r="A153" i="19"/>
  <c r="B153" i="19"/>
  <c r="A154" i="19"/>
  <c r="B154" i="19"/>
  <c r="A155" i="19"/>
  <c r="B155" i="19"/>
  <c r="A156" i="19"/>
  <c r="B156" i="19"/>
  <c r="A157" i="19"/>
  <c r="B157" i="19"/>
  <c r="A158" i="19"/>
  <c r="B158" i="19"/>
  <c r="A159" i="19"/>
  <c r="B159" i="19"/>
  <c r="A160" i="19"/>
  <c r="B160" i="19"/>
  <c r="A161" i="19"/>
  <c r="B161" i="19"/>
  <c r="A162" i="19"/>
  <c r="B162" i="19"/>
  <c r="A163" i="19"/>
  <c r="B163" i="19"/>
  <c r="A164" i="19"/>
  <c r="B164" i="19"/>
  <c r="A165" i="19"/>
  <c r="B165" i="19"/>
  <c r="A166" i="19"/>
  <c r="B166" i="19"/>
  <c r="A167" i="19"/>
  <c r="B167" i="19"/>
  <c r="A168" i="19"/>
  <c r="B168" i="19"/>
  <c r="A169" i="19"/>
  <c r="B169" i="19"/>
  <c r="A170" i="19"/>
  <c r="B170" i="19"/>
  <c r="A171" i="19"/>
  <c r="B171" i="19"/>
  <c r="A172" i="19"/>
  <c r="B172" i="19"/>
  <c r="A173" i="19"/>
  <c r="B173" i="19"/>
  <c r="A174" i="19"/>
  <c r="B174" i="19"/>
  <c r="A175" i="19"/>
  <c r="B175" i="19"/>
  <c r="A176" i="19"/>
  <c r="B176" i="19"/>
  <c r="A177" i="19"/>
  <c r="B177" i="19"/>
  <c r="A178" i="19"/>
  <c r="B178" i="19"/>
  <c r="A179" i="19"/>
  <c r="B179" i="19"/>
  <c r="A180" i="19"/>
  <c r="B180" i="19"/>
  <c r="A181" i="19"/>
  <c r="B181" i="19"/>
  <c r="A182" i="19"/>
  <c r="B182" i="19"/>
  <c r="A183" i="19"/>
  <c r="B183" i="19"/>
  <c r="A184" i="19"/>
  <c r="B184" i="19"/>
  <c r="A185" i="19"/>
  <c r="B185" i="19"/>
  <c r="A186" i="19"/>
  <c r="B186" i="19"/>
  <c r="A187" i="19"/>
  <c r="B187" i="19"/>
  <c r="A188" i="19"/>
  <c r="B188" i="19"/>
  <c r="A189" i="19"/>
  <c r="B189" i="19"/>
  <c r="A190" i="19"/>
  <c r="B190" i="19"/>
  <c r="A191" i="19"/>
  <c r="B191" i="19"/>
  <c r="A192" i="19"/>
  <c r="B192" i="19"/>
  <c r="A193" i="19"/>
  <c r="B193" i="19"/>
  <c r="A194" i="19"/>
  <c r="B194" i="19"/>
  <c r="A195" i="19"/>
  <c r="B195" i="19"/>
  <c r="A196" i="19"/>
  <c r="B196" i="19"/>
  <c r="A197" i="19"/>
  <c r="B197" i="19"/>
  <c r="A198" i="19"/>
  <c r="B198" i="19"/>
  <c r="A199" i="19"/>
  <c r="B199" i="19"/>
  <c r="A200" i="19"/>
  <c r="B200" i="19"/>
  <c r="A201" i="19"/>
  <c r="B201" i="19"/>
  <c r="A202" i="19"/>
  <c r="B202" i="19"/>
  <c r="A203" i="19"/>
  <c r="B203" i="19"/>
  <c r="A204" i="19"/>
  <c r="B204" i="19"/>
  <c r="A205" i="19"/>
  <c r="B205" i="19"/>
  <c r="A206" i="19"/>
  <c r="B206" i="19"/>
  <c r="A207" i="19"/>
  <c r="B207" i="19"/>
  <c r="A208" i="19"/>
  <c r="B208" i="19"/>
  <c r="A209" i="19"/>
  <c r="B209" i="19"/>
  <c r="A210" i="19"/>
  <c r="B210" i="19"/>
  <c r="A211" i="19"/>
  <c r="B211" i="19"/>
  <c r="A212" i="19"/>
  <c r="B212" i="19"/>
  <c r="A213" i="19"/>
  <c r="B213" i="19"/>
  <c r="A214" i="19"/>
  <c r="B214" i="19"/>
  <c r="A215" i="19"/>
  <c r="B215" i="19"/>
  <c r="A216" i="19"/>
  <c r="B216" i="19"/>
  <c r="A217" i="19"/>
  <c r="B217" i="19"/>
  <c r="A218" i="19"/>
  <c r="B218" i="19"/>
  <c r="A219" i="19"/>
  <c r="B219" i="19"/>
  <c r="A220" i="19"/>
  <c r="B220" i="19"/>
  <c r="A221" i="19"/>
  <c r="B221" i="19"/>
  <c r="A222" i="19"/>
  <c r="B222" i="19"/>
  <c r="A223" i="19"/>
  <c r="B223" i="19"/>
  <c r="A224" i="19"/>
  <c r="B224" i="19"/>
  <c r="A225" i="19"/>
  <c r="B225" i="19"/>
  <c r="A226" i="19"/>
  <c r="B226" i="19"/>
  <c r="A227" i="19"/>
  <c r="B227" i="19"/>
  <c r="A228" i="19"/>
  <c r="B228" i="19"/>
  <c r="A229" i="19"/>
  <c r="B229" i="19"/>
  <c r="A230" i="19"/>
  <c r="B230" i="19"/>
  <c r="A231" i="19"/>
  <c r="B231" i="19"/>
  <c r="A232" i="19"/>
  <c r="B232" i="19"/>
  <c r="A233" i="19"/>
  <c r="B233" i="19"/>
  <c r="A234" i="19"/>
  <c r="B234" i="19"/>
  <c r="A235" i="19"/>
  <c r="B235" i="19"/>
  <c r="A236" i="19"/>
  <c r="B236" i="19"/>
  <c r="A237" i="19"/>
  <c r="B237" i="19"/>
  <c r="A238" i="19"/>
  <c r="B238" i="19"/>
  <c r="A239" i="19"/>
  <c r="B239" i="19"/>
  <c r="A240" i="19"/>
  <c r="B240" i="19"/>
  <c r="A241" i="19"/>
  <c r="B241" i="19"/>
  <c r="A242" i="19"/>
  <c r="B242" i="19"/>
  <c r="A243" i="19"/>
  <c r="B243" i="19"/>
  <c r="A244" i="19"/>
  <c r="B244" i="19"/>
  <c r="A245" i="19"/>
  <c r="B245" i="19"/>
  <c r="A246" i="19"/>
  <c r="B246" i="19"/>
  <c r="A247" i="19"/>
  <c r="B247" i="19"/>
  <c r="A248" i="19"/>
  <c r="B248" i="19"/>
  <c r="A249" i="19"/>
  <c r="B249" i="19"/>
  <c r="A250" i="19"/>
  <c r="B250" i="19"/>
  <c r="A251" i="19"/>
  <c r="B251" i="19"/>
  <c r="A252" i="19"/>
  <c r="B252" i="19"/>
  <c r="A253" i="19"/>
  <c r="B253" i="19"/>
  <c r="A254" i="19"/>
  <c r="B254" i="19"/>
  <c r="A255" i="19"/>
  <c r="B255" i="19"/>
  <c r="A256" i="19"/>
  <c r="B256" i="19"/>
  <c r="A257" i="19"/>
  <c r="B257" i="19"/>
  <c r="A258" i="19"/>
  <c r="B258" i="19"/>
  <c r="A259" i="19"/>
  <c r="B259" i="19"/>
  <c r="A260" i="19"/>
  <c r="B260" i="19"/>
  <c r="A261" i="19"/>
  <c r="B261" i="19"/>
  <c r="A262" i="19"/>
  <c r="B262" i="19"/>
  <c r="A263" i="19"/>
  <c r="B263" i="19"/>
  <c r="A264" i="19"/>
  <c r="B264" i="19"/>
  <c r="A265" i="19"/>
  <c r="B265" i="19"/>
  <c r="A266" i="19"/>
  <c r="B266" i="19"/>
  <c r="A267" i="19"/>
  <c r="B267" i="19"/>
  <c r="A268" i="19"/>
  <c r="B268" i="19"/>
  <c r="A269" i="19"/>
  <c r="B269" i="19"/>
  <c r="A270" i="19"/>
  <c r="B270" i="19"/>
  <c r="A271" i="19"/>
  <c r="B271" i="19"/>
  <c r="A272" i="19"/>
  <c r="B272" i="19"/>
  <c r="A273" i="19"/>
  <c r="B273" i="19"/>
  <c r="A274" i="19"/>
  <c r="B274" i="19"/>
  <c r="A275" i="19"/>
  <c r="B275" i="19"/>
  <c r="A276" i="19"/>
  <c r="B276" i="19"/>
  <c r="A277" i="19"/>
  <c r="B277" i="19"/>
  <c r="A278" i="19"/>
  <c r="B278" i="19"/>
  <c r="A279" i="19"/>
  <c r="B279" i="19"/>
  <c r="A280" i="19"/>
  <c r="B280" i="19"/>
  <c r="A281" i="19"/>
  <c r="B281" i="19"/>
  <c r="A282" i="19"/>
  <c r="B282" i="19"/>
  <c r="A283" i="19"/>
  <c r="B283" i="19"/>
  <c r="A284" i="19"/>
  <c r="B284" i="19"/>
  <c r="A285" i="19"/>
  <c r="B285" i="19"/>
  <c r="A286" i="19"/>
  <c r="B286" i="19"/>
  <c r="A287" i="19"/>
  <c r="B287" i="19"/>
  <c r="A288" i="19"/>
  <c r="B288" i="19"/>
  <c r="A289" i="19"/>
  <c r="B289" i="19"/>
  <c r="A290" i="19"/>
  <c r="B290" i="19"/>
  <c r="A291" i="19"/>
  <c r="B291" i="19"/>
  <c r="A292" i="19"/>
  <c r="B292" i="19"/>
  <c r="A293" i="19"/>
  <c r="B293" i="19"/>
  <c r="A294" i="19"/>
  <c r="B294" i="19"/>
  <c r="A295" i="19"/>
  <c r="B295" i="19"/>
  <c r="A296" i="19"/>
  <c r="B296" i="19"/>
  <c r="A297" i="19"/>
  <c r="B297" i="19"/>
  <c r="A298" i="19"/>
  <c r="B298" i="19"/>
  <c r="A299" i="19"/>
  <c r="B299" i="19"/>
  <c r="A300" i="19"/>
  <c r="B300" i="19"/>
  <c r="A301" i="19"/>
  <c r="B301" i="19"/>
  <c r="A302" i="19"/>
  <c r="B302" i="19"/>
  <c r="A303" i="19"/>
  <c r="B303" i="19"/>
  <c r="A304" i="19"/>
  <c r="B304" i="19"/>
  <c r="A305" i="19"/>
  <c r="B305" i="19"/>
  <c r="A306" i="19"/>
  <c r="B306" i="19"/>
  <c r="A307" i="19"/>
  <c r="B307" i="19"/>
  <c r="A308" i="19"/>
  <c r="B308" i="19"/>
  <c r="A309" i="19"/>
  <c r="B309" i="19"/>
  <c r="A310" i="19"/>
  <c r="B310" i="19"/>
  <c r="A311" i="19"/>
  <c r="B311" i="19"/>
  <c r="A312" i="19"/>
  <c r="B312" i="19"/>
  <c r="A313" i="19"/>
  <c r="B313" i="19"/>
  <c r="A314" i="19"/>
  <c r="B314" i="19"/>
  <c r="A315" i="19"/>
  <c r="B315" i="19"/>
  <c r="A313" i="25" l="1"/>
  <c r="A313" i="54"/>
  <c r="A307" i="25"/>
  <c r="A307" i="54"/>
  <c r="A301" i="25"/>
  <c r="A301" i="54"/>
  <c r="A297" i="25"/>
  <c r="A297" i="54"/>
  <c r="A293" i="25"/>
  <c r="A293" i="54"/>
  <c r="A289" i="25"/>
  <c r="A289" i="54"/>
  <c r="A287" i="25"/>
  <c r="A287" i="54"/>
  <c r="A283" i="25"/>
  <c r="A283" i="54"/>
  <c r="A277" i="25"/>
  <c r="A277" i="54"/>
  <c r="A273" i="25"/>
  <c r="A273" i="54"/>
  <c r="A265" i="25"/>
  <c r="A265" i="54"/>
  <c r="A261" i="25"/>
  <c r="A261" i="54"/>
  <c r="A257" i="25"/>
  <c r="A257" i="54"/>
  <c r="A253" i="25"/>
  <c r="A253" i="54"/>
  <c r="A251" i="25"/>
  <c r="A251" i="54"/>
  <c r="A245" i="25"/>
  <c r="A245" i="54"/>
  <c r="A241" i="25"/>
  <c r="A241" i="54"/>
  <c r="A237" i="25"/>
  <c r="A237" i="54"/>
  <c r="A233" i="25"/>
  <c r="A233" i="54"/>
  <c r="A229" i="25"/>
  <c r="A229" i="54"/>
  <c r="A225" i="25"/>
  <c r="A225" i="54"/>
  <c r="A221" i="25"/>
  <c r="A221" i="54"/>
  <c r="A215" i="25"/>
  <c r="A215" i="54"/>
  <c r="A211" i="25"/>
  <c r="A211" i="54"/>
  <c r="A207" i="25"/>
  <c r="A207" i="54"/>
  <c r="A203" i="25"/>
  <c r="A203" i="54"/>
  <c r="A201" i="25"/>
  <c r="A201" i="54"/>
  <c r="A197" i="25"/>
  <c r="A197" i="54"/>
  <c r="A193" i="25"/>
  <c r="A193" i="54"/>
  <c r="A191" i="25"/>
  <c r="A191" i="54"/>
  <c r="A187" i="25"/>
  <c r="A187" i="54"/>
  <c r="A183" i="25"/>
  <c r="A183" i="54"/>
  <c r="A179" i="25"/>
  <c r="A179" i="54"/>
  <c r="A175" i="25"/>
  <c r="A175" i="54"/>
  <c r="A171" i="25"/>
  <c r="A171" i="54"/>
  <c r="A167" i="25"/>
  <c r="A167" i="54"/>
  <c r="A163" i="25"/>
  <c r="A163" i="54"/>
  <c r="A157" i="25"/>
  <c r="A157" i="54"/>
  <c r="A153" i="25"/>
  <c r="A153" i="54"/>
  <c r="A149" i="25"/>
  <c r="A149" i="54"/>
  <c r="A145" i="25"/>
  <c r="A145" i="54"/>
  <c r="A141" i="25"/>
  <c r="A141" i="54"/>
  <c r="A137" i="25"/>
  <c r="A137" i="54"/>
  <c r="A133" i="25"/>
  <c r="A133" i="54"/>
  <c r="A129" i="25"/>
  <c r="A129" i="54"/>
  <c r="A125" i="25"/>
  <c r="A125" i="54"/>
  <c r="A123" i="25"/>
  <c r="A123" i="54"/>
  <c r="A119" i="25"/>
  <c r="A119" i="54"/>
  <c r="A115" i="25"/>
  <c r="A115" i="54"/>
  <c r="A111" i="25"/>
  <c r="A111" i="54"/>
  <c r="A105" i="25"/>
  <c r="A105" i="54"/>
  <c r="A101" i="25"/>
  <c r="A101" i="54"/>
  <c r="A97" i="25"/>
  <c r="A97" i="54"/>
  <c r="A93" i="25"/>
  <c r="A93" i="54"/>
  <c r="A87" i="25"/>
  <c r="A87" i="54"/>
  <c r="A83" i="25"/>
  <c r="A83" i="54"/>
  <c r="A79" i="25"/>
  <c r="A79" i="54"/>
  <c r="A75" i="25"/>
  <c r="A75" i="54"/>
  <c r="A71" i="25"/>
  <c r="A71" i="54"/>
  <c r="A69" i="25"/>
  <c r="A69" i="54"/>
  <c r="A65" i="25"/>
  <c r="A65" i="54"/>
  <c r="A61" i="25"/>
  <c r="A61" i="54"/>
  <c r="A57" i="25"/>
  <c r="A57" i="54"/>
  <c r="A53" i="25"/>
  <c r="A53" i="54"/>
  <c r="A49" i="25"/>
  <c r="A49" i="54"/>
  <c r="A43" i="25"/>
  <c r="A43" i="54"/>
  <c r="A39" i="25"/>
  <c r="A39" i="54"/>
  <c r="A35" i="25"/>
  <c r="A35" i="54"/>
  <c r="A31" i="25"/>
  <c r="A31" i="54"/>
  <c r="A27" i="25"/>
  <c r="A27" i="54"/>
  <c r="A23" i="25"/>
  <c r="A23" i="54"/>
  <c r="A19" i="25"/>
  <c r="A19" i="54"/>
  <c r="A15" i="25"/>
  <c r="A15" i="54"/>
  <c r="A11" i="25"/>
  <c r="A11" i="54"/>
  <c r="B312" i="25"/>
  <c r="B312" i="54"/>
  <c r="B308" i="25"/>
  <c r="B308" i="54"/>
  <c r="B302" i="25"/>
  <c r="B302" i="54"/>
  <c r="B298" i="25"/>
  <c r="B298" i="54"/>
  <c r="B294" i="25"/>
  <c r="B294" i="54"/>
  <c r="B292" i="25"/>
  <c r="B292" i="54"/>
  <c r="B288" i="25"/>
  <c r="B288" i="54"/>
  <c r="B282" i="25"/>
  <c r="B282" i="54"/>
  <c r="B280" i="25"/>
  <c r="B280" i="54"/>
  <c r="B276" i="25"/>
  <c r="B276" i="54"/>
  <c r="B272" i="25"/>
  <c r="B272" i="54"/>
  <c r="B268" i="25"/>
  <c r="B268" i="54"/>
  <c r="B264" i="25"/>
  <c r="B264" i="54"/>
  <c r="B260" i="25"/>
  <c r="B260" i="54"/>
  <c r="B256" i="25"/>
  <c r="B256" i="54"/>
  <c r="B252" i="25"/>
  <c r="B252" i="54"/>
  <c r="B246" i="25"/>
  <c r="B246" i="54"/>
  <c r="B242" i="25"/>
  <c r="B242" i="54"/>
  <c r="B238" i="25"/>
  <c r="B238" i="54"/>
  <c r="B234" i="25"/>
  <c r="B234" i="54"/>
  <c r="B230" i="25"/>
  <c r="B230" i="54"/>
  <c r="B226" i="25"/>
  <c r="B226" i="54"/>
  <c r="B222" i="25"/>
  <c r="B222" i="54"/>
  <c r="B218" i="25"/>
  <c r="B218" i="54"/>
  <c r="B214" i="25"/>
  <c r="B214" i="54"/>
  <c r="B212" i="25"/>
  <c r="B212" i="54"/>
  <c r="B208" i="25"/>
  <c r="B208" i="54"/>
  <c r="A312" i="25"/>
  <c r="A312" i="54"/>
  <c r="A310" i="25"/>
  <c r="A310" i="54"/>
  <c r="A306" i="25"/>
  <c r="A306" i="54"/>
  <c r="A302" i="25"/>
  <c r="A302" i="54"/>
  <c r="A300" i="25"/>
  <c r="A300" i="54"/>
  <c r="A296" i="25"/>
  <c r="A296" i="54"/>
  <c r="A294" i="25"/>
  <c r="A294" i="54"/>
  <c r="A290" i="25"/>
  <c r="A290" i="54"/>
  <c r="A288" i="25"/>
  <c r="A288" i="54"/>
  <c r="A284" i="25"/>
  <c r="A284" i="54"/>
  <c r="A282" i="25"/>
  <c r="A282" i="54"/>
  <c r="A278" i="25"/>
  <c r="A278" i="54"/>
  <c r="A276" i="25"/>
  <c r="A276" i="54"/>
  <c r="A274" i="25"/>
  <c r="A274" i="54"/>
  <c r="A270" i="25"/>
  <c r="A270" i="54"/>
  <c r="A268" i="25"/>
  <c r="A268" i="54"/>
  <c r="A264" i="25"/>
  <c r="A264" i="54"/>
  <c r="A262" i="25"/>
  <c r="A262" i="54"/>
  <c r="A258" i="25"/>
  <c r="A258" i="54"/>
  <c r="A252" i="25"/>
  <c r="A252" i="54"/>
  <c r="A248" i="25"/>
  <c r="A248" i="54"/>
  <c r="A244" i="25"/>
  <c r="A244" i="54"/>
  <c r="A242" i="25"/>
  <c r="A242" i="54"/>
  <c r="A238" i="25"/>
  <c r="A238" i="54"/>
  <c r="A232" i="25"/>
  <c r="A232" i="54"/>
  <c r="A226" i="25"/>
  <c r="A226" i="54"/>
  <c r="A222" i="25"/>
  <c r="A222" i="54"/>
  <c r="A218" i="25"/>
  <c r="A218" i="54"/>
  <c r="A214" i="25"/>
  <c r="A214" i="54"/>
  <c r="A210" i="25"/>
  <c r="A210" i="54"/>
  <c r="A206" i="25"/>
  <c r="A206" i="54"/>
  <c r="A202" i="25"/>
  <c r="A202" i="54"/>
  <c r="A200" i="25"/>
  <c r="A200" i="54"/>
  <c r="A196" i="25"/>
  <c r="A196" i="54"/>
  <c r="A190" i="25"/>
  <c r="A190" i="54"/>
  <c r="A186" i="25"/>
  <c r="A186" i="54"/>
  <c r="A182" i="25"/>
  <c r="A182" i="54"/>
  <c r="A178" i="25"/>
  <c r="A178" i="54"/>
  <c r="A174" i="25"/>
  <c r="A174" i="54"/>
  <c r="A170" i="25"/>
  <c r="A170" i="54"/>
  <c r="A166" i="25"/>
  <c r="A166" i="54"/>
  <c r="A162" i="25"/>
  <c r="A162" i="54"/>
  <c r="A158" i="25"/>
  <c r="A158" i="54"/>
  <c r="A154" i="25"/>
  <c r="A154" i="54"/>
  <c r="A150" i="25"/>
  <c r="A150" i="54"/>
  <c r="A146" i="25"/>
  <c r="A146" i="54"/>
  <c r="A144" i="25"/>
  <c r="A144" i="54"/>
  <c r="A140" i="25"/>
  <c r="A140" i="54"/>
  <c r="A136" i="25"/>
  <c r="A136" i="54"/>
  <c r="A132" i="25"/>
  <c r="A132" i="54"/>
  <c r="A128" i="25"/>
  <c r="A128" i="54"/>
  <c r="A124" i="25"/>
  <c r="A124" i="54"/>
  <c r="A120" i="25"/>
  <c r="A120" i="54"/>
  <c r="A116" i="25"/>
  <c r="A116" i="54"/>
  <c r="A112" i="25"/>
  <c r="A112" i="54"/>
  <c r="A108" i="25"/>
  <c r="A108" i="54"/>
  <c r="A104" i="25"/>
  <c r="A104" i="54"/>
  <c r="A100" i="25"/>
  <c r="A100" i="54"/>
  <c r="A96" i="25"/>
  <c r="A96" i="54"/>
  <c r="A92" i="25"/>
  <c r="A92" i="54"/>
  <c r="A88" i="25"/>
  <c r="A88" i="54"/>
  <c r="A84" i="25"/>
  <c r="A84" i="54"/>
  <c r="A80" i="25"/>
  <c r="A80" i="54"/>
  <c r="A76" i="25"/>
  <c r="A76" i="54"/>
  <c r="A72" i="25"/>
  <c r="A72" i="54"/>
  <c r="A68" i="25"/>
  <c r="A68" i="54"/>
  <c r="A64" i="25"/>
  <c r="A64" i="54"/>
  <c r="A60" i="25"/>
  <c r="A60" i="54"/>
  <c r="A56" i="25"/>
  <c r="A56" i="54"/>
  <c r="A52" i="25"/>
  <c r="A52" i="54"/>
  <c r="A50" i="25"/>
  <c r="A50" i="54"/>
  <c r="A46" i="25"/>
  <c r="A46" i="54"/>
  <c r="A44" i="25"/>
  <c r="A44" i="54"/>
  <c r="A40" i="25"/>
  <c r="A40" i="54"/>
  <c r="A36" i="25"/>
  <c r="A36" i="54"/>
  <c r="A32" i="25"/>
  <c r="A32" i="54"/>
  <c r="A30" i="25"/>
  <c r="A30" i="54"/>
  <c r="A26" i="25"/>
  <c r="A26" i="54"/>
  <c r="A24" i="25"/>
  <c r="A24" i="54"/>
  <c r="A20" i="25"/>
  <c r="A20" i="54"/>
  <c r="A18" i="25"/>
  <c r="A18" i="54"/>
  <c r="A14" i="25"/>
  <c r="A14" i="54"/>
  <c r="A12" i="25"/>
  <c r="A12" i="54"/>
  <c r="A8" i="25"/>
  <c r="A8" i="54"/>
  <c r="B313" i="25"/>
  <c r="B313" i="54"/>
  <c r="B311" i="25"/>
  <c r="B311" i="54"/>
  <c r="B309" i="25"/>
  <c r="B309" i="54"/>
  <c r="B307" i="25"/>
  <c r="B307" i="54"/>
  <c r="B305" i="25"/>
  <c r="B305" i="54"/>
  <c r="B303" i="25"/>
  <c r="B303" i="54"/>
  <c r="B301" i="25"/>
  <c r="B301" i="54"/>
  <c r="B299" i="25"/>
  <c r="B299" i="54"/>
  <c r="B297" i="25"/>
  <c r="B297" i="54"/>
  <c r="B295" i="25"/>
  <c r="B295" i="54"/>
  <c r="B293" i="25"/>
  <c r="B293" i="54"/>
  <c r="B291" i="25"/>
  <c r="B291" i="54"/>
  <c r="B289" i="25"/>
  <c r="B289" i="54"/>
  <c r="B287" i="25"/>
  <c r="B287" i="54"/>
  <c r="B285" i="25"/>
  <c r="B285" i="54"/>
  <c r="B283" i="25"/>
  <c r="B283" i="54"/>
  <c r="B281" i="25"/>
  <c r="B281" i="54"/>
  <c r="B279" i="25"/>
  <c r="B279" i="54"/>
  <c r="B277" i="25"/>
  <c r="B277" i="54"/>
  <c r="B275" i="25"/>
  <c r="B275" i="54"/>
  <c r="B273" i="25"/>
  <c r="B273" i="54"/>
  <c r="B271" i="25"/>
  <c r="B271" i="54"/>
  <c r="B269" i="25"/>
  <c r="B269" i="54"/>
  <c r="B267" i="25"/>
  <c r="B267" i="54"/>
  <c r="B265" i="25"/>
  <c r="B265" i="54"/>
  <c r="B263" i="25"/>
  <c r="B263" i="54"/>
  <c r="B261" i="25"/>
  <c r="B261" i="54"/>
  <c r="B259" i="25"/>
  <c r="B259" i="54"/>
  <c r="B257" i="25"/>
  <c r="B257" i="54"/>
  <c r="B255" i="25"/>
  <c r="B255" i="54"/>
  <c r="B253" i="25"/>
  <c r="B253" i="54"/>
  <c r="B251" i="25"/>
  <c r="B251" i="54"/>
  <c r="B249" i="25"/>
  <c r="B249" i="54"/>
  <c r="B247" i="25"/>
  <c r="B247" i="54"/>
  <c r="B245" i="25"/>
  <c r="B245" i="54"/>
  <c r="B243" i="25"/>
  <c r="B243" i="54"/>
  <c r="B241" i="25"/>
  <c r="B241" i="54"/>
  <c r="B239" i="25"/>
  <c r="B239" i="54"/>
  <c r="B237" i="25"/>
  <c r="B237" i="54"/>
  <c r="B235" i="25"/>
  <c r="B235" i="54"/>
  <c r="B233" i="25"/>
  <c r="B233" i="54"/>
  <c r="B231" i="25"/>
  <c r="B231" i="54"/>
  <c r="B229" i="25"/>
  <c r="B229" i="54"/>
  <c r="B227" i="25"/>
  <c r="B227" i="54"/>
  <c r="B225" i="25"/>
  <c r="B225" i="54"/>
  <c r="B223" i="25"/>
  <c r="B223" i="54"/>
  <c r="B221" i="25"/>
  <c r="B221" i="54"/>
  <c r="B219" i="25"/>
  <c r="B219" i="54"/>
  <c r="B217" i="25"/>
  <c r="B217" i="54"/>
  <c r="B215" i="25"/>
  <c r="B215" i="54"/>
  <c r="B213" i="25"/>
  <c r="B213" i="54"/>
  <c r="B211" i="25"/>
  <c r="B211" i="54"/>
  <c r="B209" i="25"/>
  <c r="B209" i="54"/>
  <c r="B207" i="25"/>
  <c r="B207" i="54"/>
  <c r="B205" i="25"/>
  <c r="B205" i="54"/>
  <c r="B203" i="25"/>
  <c r="B203" i="54"/>
  <c r="B201" i="25"/>
  <c r="B201" i="54"/>
  <c r="B199" i="25"/>
  <c r="B199" i="54"/>
  <c r="B197" i="25"/>
  <c r="B197" i="54"/>
  <c r="B195" i="25"/>
  <c r="B195" i="54"/>
  <c r="B193" i="25"/>
  <c r="B193" i="54"/>
  <c r="B191" i="25"/>
  <c r="B191" i="54"/>
  <c r="B189" i="25"/>
  <c r="B189" i="54"/>
  <c r="B187" i="25"/>
  <c r="B187" i="54"/>
  <c r="B185" i="25"/>
  <c r="B185" i="54"/>
  <c r="B183" i="25"/>
  <c r="B183" i="54"/>
  <c r="B181" i="25"/>
  <c r="B181" i="54"/>
  <c r="B179" i="25"/>
  <c r="B179" i="54"/>
  <c r="B177" i="25"/>
  <c r="B177" i="54"/>
  <c r="B175" i="25"/>
  <c r="B175" i="54"/>
  <c r="B173" i="25"/>
  <c r="B173" i="54"/>
  <c r="B171" i="25"/>
  <c r="B171" i="54"/>
  <c r="B169" i="25"/>
  <c r="B169" i="54"/>
  <c r="B167" i="25"/>
  <c r="B167" i="54"/>
  <c r="B165" i="25"/>
  <c r="B165" i="54"/>
  <c r="B163" i="25"/>
  <c r="B163" i="54"/>
  <c r="B161" i="25"/>
  <c r="B161" i="54"/>
  <c r="B159" i="25"/>
  <c r="B159" i="54"/>
  <c r="B157" i="25"/>
  <c r="B157" i="54"/>
  <c r="B155" i="25"/>
  <c r="B155" i="54"/>
  <c r="B153" i="25"/>
  <c r="B153" i="54"/>
  <c r="B151" i="25"/>
  <c r="B151" i="54"/>
  <c r="B149" i="25"/>
  <c r="B149" i="54"/>
  <c r="B147" i="25"/>
  <c r="B147" i="54"/>
  <c r="B145" i="25"/>
  <c r="B145" i="54"/>
  <c r="B143" i="25"/>
  <c r="B143" i="54"/>
  <c r="B141" i="25"/>
  <c r="B141" i="54"/>
  <c r="B139" i="25"/>
  <c r="B139" i="54"/>
  <c r="B137" i="25"/>
  <c r="B137" i="54"/>
  <c r="B135" i="25"/>
  <c r="B135" i="54"/>
  <c r="B133" i="25"/>
  <c r="B133" i="54"/>
  <c r="B131" i="25"/>
  <c r="B131" i="54"/>
  <c r="B129" i="25"/>
  <c r="B129" i="54"/>
  <c r="B127" i="25"/>
  <c r="B127" i="54"/>
  <c r="B125" i="25"/>
  <c r="B125" i="54"/>
  <c r="B123" i="25"/>
  <c r="B123" i="54"/>
  <c r="B121" i="25"/>
  <c r="B121" i="54"/>
  <c r="B119" i="25"/>
  <c r="B119" i="54"/>
  <c r="B117" i="25"/>
  <c r="B117" i="54"/>
  <c r="B115" i="25"/>
  <c r="B115" i="54"/>
  <c r="B113" i="25"/>
  <c r="B113" i="54"/>
  <c r="B111" i="25"/>
  <c r="B111" i="54"/>
  <c r="B109" i="25"/>
  <c r="B109" i="54"/>
  <c r="B107" i="25"/>
  <c r="B107" i="54"/>
  <c r="B105" i="25"/>
  <c r="B105" i="54"/>
  <c r="B103" i="25"/>
  <c r="B103" i="54"/>
  <c r="B101" i="25"/>
  <c r="B101" i="54"/>
  <c r="B99" i="25"/>
  <c r="B99" i="54"/>
  <c r="B97" i="25"/>
  <c r="B97" i="54"/>
  <c r="B95" i="25"/>
  <c r="B95" i="54"/>
  <c r="B93" i="25"/>
  <c r="B93" i="54"/>
  <c r="B91" i="25"/>
  <c r="B91" i="54"/>
  <c r="B89" i="25"/>
  <c r="B89" i="54"/>
  <c r="B87" i="25"/>
  <c r="B87" i="54"/>
  <c r="B85" i="25"/>
  <c r="B85" i="54"/>
  <c r="B83" i="25"/>
  <c r="B83" i="54"/>
  <c r="B81" i="25"/>
  <c r="B81" i="54"/>
  <c r="B79" i="25"/>
  <c r="B79" i="54"/>
  <c r="B77" i="25"/>
  <c r="B77" i="54"/>
  <c r="B75" i="25"/>
  <c r="B75" i="54"/>
  <c r="B73" i="25"/>
  <c r="B73" i="54"/>
  <c r="B71" i="25"/>
  <c r="B71" i="54"/>
  <c r="B69" i="25"/>
  <c r="B69" i="54"/>
  <c r="B67" i="25"/>
  <c r="B67" i="54"/>
  <c r="B65" i="25"/>
  <c r="B65" i="54"/>
  <c r="B63" i="25"/>
  <c r="B63" i="54"/>
  <c r="B61" i="25"/>
  <c r="B61" i="54"/>
  <c r="B59" i="25"/>
  <c r="B59" i="54"/>
  <c r="B57" i="25"/>
  <c r="B57" i="54"/>
  <c r="B55" i="25"/>
  <c r="B55" i="54"/>
  <c r="B53" i="25"/>
  <c r="B53" i="54"/>
  <c r="B51" i="25"/>
  <c r="B51" i="54"/>
  <c r="B49" i="25"/>
  <c r="B49" i="54"/>
  <c r="B47" i="25"/>
  <c r="B47" i="54"/>
  <c r="B45" i="25"/>
  <c r="B45" i="54"/>
  <c r="B43" i="25"/>
  <c r="B43" i="54"/>
  <c r="B41" i="25"/>
  <c r="B41" i="54"/>
  <c r="B39" i="25"/>
  <c r="B39" i="54"/>
  <c r="B37" i="25"/>
  <c r="B37" i="54"/>
  <c r="B35" i="25"/>
  <c r="B35" i="54"/>
  <c r="B33" i="25"/>
  <c r="B33" i="54"/>
  <c r="B31" i="25"/>
  <c r="B31" i="54"/>
  <c r="B29" i="25"/>
  <c r="B29" i="54"/>
  <c r="B27" i="25"/>
  <c r="B27" i="54"/>
  <c r="B25" i="25"/>
  <c r="B25" i="54"/>
  <c r="B23" i="25"/>
  <c r="B23" i="54"/>
  <c r="B21" i="25"/>
  <c r="B21" i="54"/>
  <c r="B19" i="25"/>
  <c r="B19" i="54"/>
  <c r="B17" i="25"/>
  <c r="B17" i="54"/>
  <c r="B15" i="25"/>
  <c r="B15" i="54"/>
  <c r="B13" i="25"/>
  <c r="B13" i="54"/>
  <c r="B11" i="25"/>
  <c r="B11" i="54"/>
  <c r="B9" i="25"/>
  <c r="B9" i="54"/>
  <c r="B7" i="25"/>
  <c r="B7" i="54"/>
  <c r="A269" i="25"/>
  <c r="A269" i="54"/>
  <c r="A89" i="25"/>
  <c r="A89" i="54"/>
  <c r="B206" i="25"/>
  <c r="B206" i="54"/>
  <c r="B204" i="25"/>
  <c r="B204" i="54"/>
  <c r="B202" i="25"/>
  <c r="B202" i="54"/>
  <c r="B200" i="25"/>
  <c r="B200" i="54"/>
  <c r="B198" i="25"/>
  <c r="B198" i="54"/>
  <c r="B196" i="25"/>
  <c r="B196" i="54"/>
  <c r="B194" i="25"/>
  <c r="B194" i="54"/>
  <c r="B192" i="25"/>
  <c r="B192" i="54"/>
  <c r="B190" i="25"/>
  <c r="B190" i="54"/>
  <c r="B188" i="25"/>
  <c r="B188" i="54"/>
  <c r="B186" i="25"/>
  <c r="B186" i="54"/>
  <c r="B184" i="25"/>
  <c r="B184" i="54"/>
  <c r="B182" i="25"/>
  <c r="B182" i="54"/>
  <c r="B180" i="25"/>
  <c r="B180" i="54"/>
  <c r="B178" i="25"/>
  <c r="B178" i="54"/>
  <c r="B176" i="25"/>
  <c r="B176" i="54"/>
  <c r="B174" i="25"/>
  <c r="B174" i="54"/>
  <c r="B172" i="25"/>
  <c r="B172" i="54"/>
  <c r="B170" i="25"/>
  <c r="B170" i="54"/>
  <c r="B168" i="25"/>
  <c r="B168" i="54"/>
  <c r="B166" i="25"/>
  <c r="B166" i="54"/>
  <c r="B164" i="25"/>
  <c r="B164" i="54"/>
  <c r="B162" i="25"/>
  <c r="B162" i="54"/>
  <c r="B160" i="25"/>
  <c r="B160" i="54"/>
  <c r="B158" i="25"/>
  <c r="B158" i="54"/>
  <c r="B156" i="25"/>
  <c r="B156" i="54"/>
  <c r="B154" i="25"/>
  <c r="B154" i="54"/>
  <c r="B152" i="25"/>
  <c r="B152" i="54"/>
  <c r="B150" i="25"/>
  <c r="B150" i="54"/>
  <c r="B148" i="25"/>
  <c r="B148" i="54"/>
  <c r="B146" i="25"/>
  <c r="B146" i="54"/>
  <c r="B144" i="25"/>
  <c r="B144" i="54"/>
  <c r="B142" i="25"/>
  <c r="B142" i="54"/>
  <c r="B140" i="25"/>
  <c r="B140" i="54"/>
  <c r="B138" i="25"/>
  <c r="B138" i="54"/>
  <c r="B136" i="25"/>
  <c r="B136" i="54"/>
  <c r="B134" i="25"/>
  <c r="B134" i="54"/>
  <c r="B132" i="25"/>
  <c r="B132" i="54"/>
  <c r="B130" i="25"/>
  <c r="B130" i="54"/>
  <c r="B128" i="25"/>
  <c r="B128" i="54"/>
  <c r="B126" i="25"/>
  <c r="B126" i="54"/>
  <c r="B124" i="25"/>
  <c r="B124" i="54"/>
  <c r="B122" i="25"/>
  <c r="B122" i="54"/>
  <c r="B120" i="25"/>
  <c r="B120" i="54"/>
  <c r="B118" i="25"/>
  <c r="B118" i="54"/>
  <c r="B116" i="25"/>
  <c r="B116" i="54"/>
  <c r="B114" i="25"/>
  <c r="B114" i="54"/>
  <c r="B112" i="25"/>
  <c r="B112" i="54"/>
  <c r="B110" i="25"/>
  <c r="B110" i="54"/>
  <c r="B108" i="25"/>
  <c r="B108" i="54"/>
  <c r="B106" i="25"/>
  <c r="B106" i="54"/>
  <c r="B104" i="25"/>
  <c r="B104" i="54"/>
  <c r="B102" i="25"/>
  <c r="B102" i="54"/>
  <c r="B100" i="25"/>
  <c r="B100" i="54"/>
  <c r="B98" i="25"/>
  <c r="B98" i="54"/>
  <c r="B96" i="25"/>
  <c r="B96" i="54"/>
  <c r="B94" i="25"/>
  <c r="B94" i="54"/>
  <c r="B92" i="25"/>
  <c r="B92" i="54"/>
  <c r="B90" i="25"/>
  <c r="B90" i="54"/>
  <c r="B88" i="25"/>
  <c r="B88" i="54"/>
  <c r="B86" i="25"/>
  <c r="B86" i="54"/>
  <c r="B84" i="25"/>
  <c r="B84" i="54"/>
  <c r="B82" i="25"/>
  <c r="B82" i="54"/>
  <c r="B80" i="25"/>
  <c r="B80" i="54"/>
  <c r="B78" i="25"/>
  <c r="B78" i="54"/>
  <c r="B76" i="25"/>
  <c r="B76" i="54"/>
  <c r="B74" i="25"/>
  <c r="B74" i="54"/>
  <c r="B72" i="25"/>
  <c r="B72" i="54"/>
  <c r="B70" i="25"/>
  <c r="B70" i="54"/>
  <c r="B68" i="25"/>
  <c r="B68" i="54"/>
  <c r="B66" i="25"/>
  <c r="B66" i="54"/>
  <c r="B64" i="25"/>
  <c r="B64" i="54"/>
  <c r="B62" i="25"/>
  <c r="B62" i="54"/>
  <c r="B60" i="25"/>
  <c r="B60" i="54"/>
  <c r="B58" i="25"/>
  <c r="B58" i="54"/>
  <c r="B56" i="25"/>
  <c r="B56" i="54"/>
  <c r="B54" i="25"/>
  <c r="B54" i="54"/>
  <c r="B52" i="25"/>
  <c r="B52" i="54"/>
  <c r="B50" i="25"/>
  <c r="B50" i="54"/>
  <c r="B48" i="25"/>
  <c r="B48" i="54"/>
  <c r="B46" i="25"/>
  <c r="B46" i="54"/>
  <c r="B44" i="25"/>
  <c r="B44" i="54"/>
  <c r="B42" i="25"/>
  <c r="B42" i="54"/>
  <c r="B40" i="25"/>
  <c r="B40" i="54"/>
  <c r="B38" i="25"/>
  <c r="B38" i="54"/>
  <c r="B36" i="25"/>
  <c r="B36" i="54"/>
  <c r="B34" i="25"/>
  <c r="B34" i="54"/>
  <c r="B32" i="25"/>
  <c r="B32" i="54"/>
  <c r="B30" i="25"/>
  <c r="B30" i="54"/>
  <c r="B28" i="25"/>
  <c r="B28" i="54"/>
  <c r="B26" i="25"/>
  <c r="B26" i="54"/>
  <c r="B24" i="25"/>
  <c r="B24" i="54"/>
  <c r="B22" i="25"/>
  <c r="B22" i="54"/>
  <c r="B20" i="25"/>
  <c r="B20" i="54"/>
  <c r="B18" i="25"/>
  <c r="B18" i="54"/>
  <c r="B16" i="25"/>
  <c r="B16" i="54"/>
  <c r="B14" i="25"/>
  <c r="B14" i="54"/>
  <c r="B12" i="25"/>
  <c r="B12" i="54"/>
  <c r="B10" i="25"/>
  <c r="B10" i="54"/>
  <c r="B8" i="25"/>
  <c r="B8" i="54"/>
  <c r="A311" i="25"/>
  <c r="A311" i="54"/>
  <c r="A309" i="25"/>
  <c r="A309" i="54"/>
  <c r="A305" i="25"/>
  <c r="A305" i="54"/>
  <c r="A303" i="25"/>
  <c r="A303" i="54"/>
  <c r="A299" i="25"/>
  <c r="A299" i="54"/>
  <c r="A295" i="25"/>
  <c r="A295" i="54"/>
  <c r="A291" i="25"/>
  <c r="A291" i="54"/>
  <c r="A285" i="25"/>
  <c r="A285" i="54"/>
  <c r="A281" i="25"/>
  <c r="A281" i="54"/>
  <c r="A279" i="25"/>
  <c r="A279" i="54"/>
  <c r="A275" i="25"/>
  <c r="A275" i="54"/>
  <c r="A271" i="25"/>
  <c r="A271" i="54"/>
  <c r="A267" i="25"/>
  <c r="A267" i="54"/>
  <c r="A263" i="25"/>
  <c r="A263" i="54"/>
  <c r="A259" i="25"/>
  <c r="A259" i="54"/>
  <c r="A255" i="25"/>
  <c r="A255" i="54"/>
  <c r="A249" i="25"/>
  <c r="A249" i="54"/>
  <c r="A247" i="25"/>
  <c r="A247" i="54"/>
  <c r="A243" i="25"/>
  <c r="A243" i="54"/>
  <c r="A239" i="25"/>
  <c r="A239" i="54"/>
  <c r="A235" i="25"/>
  <c r="A235" i="54"/>
  <c r="A231" i="25"/>
  <c r="A231" i="54"/>
  <c r="A227" i="25"/>
  <c r="A227" i="54"/>
  <c r="A223" i="25"/>
  <c r="A223" i="54"/>
  <c r="A219" i="25"/>
  <c r="A219" i="54"/>
  <c r="A217" i="25"/>
  <c r="A217" i="54"/>
  <c r="A213" i="25"/>
  <c r="A213" i="54"/>
  <c r="A209" i="25"/>
  <c r="A209" i="54"/>
  <c r="A205" i="25"/>
  <c r="A205" i="54"/>
  <c r="A199" i="25"/>
  <c r="A199" i="54"/>
  <c r="A195" i="25"/>
  <c r="A195" i="54"/>
  <c r="A189" i="25"/>
  <c r="A189" i="54"/>
  <c r="A185" i="25"/>
  <c r="A185" i="54"/>
  <c r="A181" i="25"/>
  <c r="A181" i="54"/>
  <c r="A177" i="25"/>
  <c r="A177" i="54"/>
  <c r="A173" i="25"/>
  <c r="A173" i="54"/>
  <c r="A169" i="25"/>
  <c r="A169" i="54"/>
  <c r="A165" i="25"/>
  <c r="A165" i="54"/>
  <c r="A161" i="25"/>
  <c r="A161" i="54"/>
  <c r="A159" i="25"/>
  <c r="A159" i="54"/>
  <c r="A155" i="25"/>
  <c r="A155" i="54"/>
  <c r="A151" i="25"/>
  <c r="A151" i="54"/>
  <c r="A147" i="25"/>
  <c r="A147" i="54"/>
  <c r="A143" i="25"/>
  <c r="A143" i="54"/>
  <c r="A139" i="25"/>
  <c r="A139" i="54"/>
  <c r="A135" i="25"/>
  <c r="A135" i="54"/>
  <c r="A131" i="25"/>
  <c r="A131" i="54"/>
  <c r="A127" i="25"/>
  <c r="A127" i="54"/>
  <c r="A121" i="25"/>
  <c r="A121" i="54"/>
  <c r="A117" i="25"/>
  <c r="A117" i="54"/>
  <c r="A113" i="25"/>
  <c r="A113" i="54"/>
  <c r="A109" i="25"/>
  <c r="A109" i="54"/>
  <c r="A107" i="25"/>
  <c r="A107" i="54"/>
  <c r="A103" i="25"/>
  <c r="A103" i="54"/>
  <c r="A99" i="25"/>
  <c r="A99" i="54"/>
  <c r="A95" i="25"/>
  <c r="A95" i="54"/>
  <c r="A91" i="25"/>
  <c r="A91" i="54"/>
  <c r="A85" i="25"/>
  <c r="A85" i="54"/>
  <c r="A81" i="25"/>
  <c r="A81" i="54"/>
  <c r="A77" i="25"/>
  <c r="A77" i="54"/>
  <c r="A73" i="25"/>
  <c r="A73" i="54"/>
  <c r="A67" i="25"/>
  <c r="A67" i="54"/>
  <c r="A63" i="25"/>
  <c r="A63" i="54"/>
  <c r="A59" i="25"/>
  <c r="A59" i="54"/>
  <c r="A55" i="25"/>
  <c r="A55" i="54"/>
  <c r="A51" i="25"/>
  <c r="A51" i="54"/>
  <c r="A47" i="25"/>
  <c r="A47" i="54"/>
  <c r="A45" i="25"/>
  <c r="A45" i="54"/>
  <c r="A41" i="25"/>
  <c r="A41" i="54"/>
  <c r="A37" i="25"/>
  <c r="A37" i="54"/>
  <c r="A33" i="25"/>
  <c r="A33" i="54"/>
  <c r="A29" i="25"/>
  <c r="A29" i="54"/>
  <c r="A25" i="25"/>
  <c r="A25" i="54"/>
  <c r="A21" i="25"/>
  <c r="A21" i="54"/>
  <c r="A17" i="25"/>
  <c r="A17" i="54"/>
  <c r="A13" i="25"/>
  <c r="A13" i="54"/>
  <c r="A9" i="25"/>
  <c r="A9" i="54"/>
  <c r="A7" i="25"/>
  <c r="A7" i="54"/>
  <c r="B314" i="25"/>
  <c r="B314" i="54"/>
  <c r="B310" i="25"/>
  <c r="B310" i="54"/>
  <c r="B306" i="25"/>
  <c r="B306" i="54"/>
  <c r="B304" i="25"/>
  <c r="B304" i="54"/>
  <c r="B300" i="25"/>
  <c r="B300" i="54"/>
  <c r="B296" i="25"/>
  <c r="B296" i="54"/>
  <c r="B290" i="25"/>
  <c r="B290" i="54"/>
  <c r="B286" i="25"/>
  <c r="B286" i="54"/>
  <c r="B284" i="25"/>
  <c r="B284" i="54"/>
  <c r="B278" i="25"/>
  <c r="B278" i="54"/>
  <c r="B274" i="25"/>
  <c r="B274" i="54"/>
  <c r="B270" i="25"/>
  <c r="B270" i="54"/>
  <c r="B266" i="25"/>
  <c r="B266" i="54"/>
  <c r="B262" i="25"/>
  <c r="B262" i="54"/>
  <c r="B258" i="25"/>
  <c r="B258" i="54"/>
  <c r="B254" i="25"/>
  <c r="B254" i="54"/>
  <c r="B250" i="25"/>
  <c r="B250" i="54"/>
  <c r="B248" i="25"/>
  <c r="B248" i="54"/>
  <c r="B244" i="25"/>
  <c r="B244" i="54"/>
  <c r="B240" i="25"/>
  <c r="B240" i="54"/>
  <c r="B236" i="25"/>
  <c r="B236" i="54"/>
  <c r="B232" i="25"/>
  <c r="B232" i="54"/>
  <c r="B228" i="25"/>
  <c r="B228" i="54"/>
  <c r="B224" i="25"/>
  <c r="B224" i="54"/>
  <c r="B220" i="25"/>
  <c r="B220" i="54"/>
  <c r="B216" i="25"/>
  <c r="B216" i="54"/>
  <c r="B210" i="25"/>
  <c r="B210" i="54"/>
  <c r="A314" i="25"/>
  <c r="A314" i="54"/>
  <c r="A308" i="25"/>
  <c r="A308" i="54"/>
  <c r="A304" i="25"/>
  <c r="A304" i="54"/>
  <c r="A298" i="25"/>
  <c r="A298" i="54"/>
  <c r="A292" i="25"/>
  <c r="A292" i="54"/>
  <c r="A286" i="25"/>
  <c r="A286" i="54"/>
  <c r="A280" i="25"/>
  <c r="A280" i="54"/>
  <c r="A272" i="25"/>
  <c r="A272" i="54"/>
  <c r="A266" i="25"/>
  <c r="A266" i="54"/>
  <c r="A260" i="25"/>
  <c r="A260" i="54"/>
  <c r="A256" i="25"/>
  <c r="A256" i="54"/>
  <c r="A254" i="25"/>
  <c r="A254" i="54"/>
  <c r="A250" i="25"/>
  <c r="A250" i="54"/>
  <c r="A246" i="25"/>
  <c r="A246" i="54"/>
  <c r="A240" i="25"/>
  <c r="A240" i="54"/>
  <c r="A236" i="25"/>
  <c r="A236" i="54"/>
  <c r="A234" i="25"/>
  <c r="A234" i="54"/>
  <c r="A230" i="25"/>
  <c r="A230" i="54"/>
  <c r="A228" i="25"/>
  <c r="A228" i="54"/>
  <c r="A224" i="25"/>
  <c r="A224" i="54"/>
  <c r="A220" i="25"/>
  <c r="A220" i="54"/>
  <c r="A216" i="25"/>
  <c r="A216" i="54"/>
  <c r="A212" i="25"/>
  <c r="A212" i="54"/>
  <c r="A208" i="25"/>
  <c r="A208" i="54"/>
  <c r="A204" i="25"/>
  <c r="A204" i="54"/>
  <c r="A198" i="25"/>
  <c r="A198" i="54"/>
  <c r="A194" i="25"/>
  <c r="A194" i="54"/>
  <c r="A192" i="25"/>
  <c r="A192" i="54"/>
  <c r="A188" i="25"/>
  <c r="A188" i="54"/>
  <c r="A184" i="25"/>
  <c r="A184" i="54"/>
  <c r="A180" i="25"/>
  <c r="A180" i="54"/>
  <c r="A176" i="25"/>
  <c r="A176" i="54"/>
  <c r="A172" i="25"/>
  <c r="A172" i="54"/>
  <c r="A168" i="25"/>
  <c r="A168" i="54"/>
  <c r="A164" i="25"/>
  <c r="A164" i="54"/>
  <c r="A160" i="25"/>
  <c r="A160" i="54"/>
  <c r="A156" i="25"/>
  <c r="A156" i="54"/>
  <c r="A152" i="25"/>
  <c r="A152" i="54"/>
  <c r="A148" i="25"/>
  <c r="A148" i="54"/>
  <c r="A142" i="25"/>
  <c r="A142" i="54"/>
  <c r="A138" i="25"/>
  <c r="A138" i="54"/>
  <c r="A134" i="25"/>
  <c r="A134" i="54"/>
  <c r="A130" i="25"/>
  <c r="A130" i="54"/>
  <c r="A126" i="25"/>
  <c r="A126" i="54"/>
  <c r="A122" i="25"/>
  <c r="A122" i="54"/>
  <c r="A118" i="25"/>
  <c r="A118" i="54"/>
  <c r="A114" i="25"/>
  <c r="A114" i="54"/>
  <c r="A110" i="25"/>
  <c r="A110" i="54"/>
  <c r="A106" i="25"/>
  <c r="A106" i="54"/>
  <c r="A102" i="25"/>
  <c r="A102" i="54"/>
  <c r="A98" i="25"/>
  <c r="A98" i="54"/>
  <c r="A94" i="25"/>
  <c r="A94" i="54"/>
  <c r="A90" i="25"/>
  <c r="A90" i="54"/>
  <c r="A86" i="25"/>
  <c r="A86" i="54"/>
  <c r="A82" i="25"/>
  <c r="A82" i="54"/>
  <c r="A78" i="25"/>
  <c r="A78" i="54"/>
  <c r="A74" i="25"/>
  <c r="A74" i="54"/>
  <c r="A70" i="25"/>
  <c r="A70" i="54"/>
  <c r="A66" i="25"/>
  <c r="A66" i="54"/>
  <c r="A62" i="25"/>
  <c r="A62" i="54"/>
  <c r="A58" i="25"/>
  <c r="A58" i="54"/>
  <c r="A54" i="25"/>
  <c r="A54" i="54"/>
  <c r="A48" i="25"/>
  <c r="A48" i="54"/>
  <c r="A42" i="25"/>
  <c r="A42" i="54"/>
  <c r="A38" i="25"/>
  <c r="A38" i="54"/>
  <c r="A34" i="25"/>
  <c r="A34" i="54"/>
  <c r="A28" i="25"/>
  <c r="A28" i="54"/>
  <c r="A22" i="25"/>
  <c r="A22" i="54"/>
  <c r="A16" i="25"/>
  <c r="A16" i="54"/>
  <c r="A10" i="25"/>
  <c r="A10" i="54"/>
  <c r="O288" i="19"/>
  <c r="O208" i="19"/>
  <c r="O192" i="19"/>
  <c r="O160" i="19"/>
  <c r="O240" i="19"/>
  <c r="O174" i="19"/>
  <c r="O173" i="19"/>
  <c r="O168" i="19"/>
  <c r="O144" i="19"/>
  <c r="O143" i="19"/>
  <c r="O142" i="19"/>
  <c r="O141" i="19"/>
  <c r="O140" i="19"/>
  <c r="O136" i="19"/>
  <c r="O112" i="19"/>
  <c r="O16" i="19"/>
  <c r="O15" i="19"/>
  <c r="O14" i="19"/>
  <c r="O8" i="19"/>
  <c r="D245" i="33"/>
  <c r="D211" i="33"/>
  <c r="O304" i="19"/>
  <c r="O271" i="19"/>
  <c r="O270" i="19"/>
  <c r="O269" i="19"/>
  <c r="O268" i="19"/>
  <c r="O264" i="19"/>
  <c r="O96" i="19"/>
  <c r="O80" i="19"/>
  <c r="O64" i="19"/>
  <c r="O32" i="19"/>
  <c r="D179" i="33"/>
  <c r="O272" i="19"/>
  <c r="O224" i="19"/>
  <c r="O176" i="19"/>
  <c r="D307" i="33"/>
  <c r="D27" i="33"/>
  <c r="D259" i="33"/>
  <c r="D177" i="33"/>
  <c r="D103" i="33"/>
  <c r="D169" i="33"/>
  <c r="O111" i="19"/>
  <c r="O110" i="19"/>
  <c r="O109" i="19"/>
  <c r="O108" i="19"/>
  <c r="O104" i="19"/>
  <c r="O79" i="19"/>
  <c r="O78" i="19"/>
  <c r="O77" i="19"/>
  <c r="O76" i="19"/>
  <c r="O72" i="19"/>
  <c r="O48" i="19"/>
  <c r="O239" i="19"/>
  <c r="O238" i="19"/>
  <c r="O237" i="19"/>
  <c r="O236" i="19"/>
  <c r="O232" i="19"/>
  <c r="O207" i="19"/>
  <c r="O206" i="19"/>
  <c r="O205" i="19"/>
  <c r="O204" i="19"/>
  <c r="O200" i="19"/>
  <c r="D305" i="33"/>
  <c r="D197" i="33"/>
  <c r="D89" i="33"/>
  <c r="O175" i="19"/>
  <c r="O172" i="19"/>
  <c r="O128" i="19"/>
  <c r="D297" i="33"/>
  <c r="D111" i="33"/>
  <c r="D96" i="33"/>
  <c r="O47" i="19"/>
  <c r="O46" i="19"/>
  <c r="O45" i="19"/>
  <c r="O44" i="19"/>
  <c r="O40" i="19"/>
  <c r="D249" i="33"/>
  <c r="D137" i="33"/>
  <c r="O303" i="19"/>
  <c r="O302" i="19"/>
  <c r="O301" i="19"/>
  <c r="O300" i="19"/>
  <c r="O296" i="19"/>
  <c r="O256" i="19"/>
  <c r="D275" i="33"/>
  <c r="D225" i="33"/>
  <c r="D242" i="33"/>
  <c r="O167" i="19"/>
  <c r="O166" i="19"/>
  <c r="O165" i="19"/>
  <c r="O164" i="19"/>
  <c r="O159" i="19"/>
  <c r="O158" i="19"/>
  <c r="O157" i="19"/>
  <c r="O156" i="19"/>
  <c r="O152" i="19"/>
  <c r="O148" i="19"/>
  <c r="D39" i="25"/>
  <c r="D38" i="33"/>
  <c r="D27" i="25"/>
  <c r="D26" i="33"/>
  <c r="D7" i="25"/>
  <c r="D6" i="33"/>
  <c r="D194" i="33"/>
  <c r="D58" i="33"/>
  <c r="D307" i="25"/>
  <c r="D306" i="33"/>
  <c r="D291" i="25"/>
  <c r="D290" i="33"/>
  <c r="D275" i="25"/>
  <c r="D274" i="33"/>
  <c r="D259" i="25"/>
  <c r="D258" i="33"/>
  <c r="D227" i="25"/>
  <c r="D226" i="33"/>
  <c r="D211" i="25"/>
  <c r="D210" i="33"/>
  <c r="D179" i="25"/>
  <c r="D178" i="33"/>
  <c r="D163" i="25"/>
  <c r="D162" i="33"/>
  <c r="D147" i="25"/>
  <c r="D146" i="33"/>
  <c r="D131" i="25"/>
  <c r="D130" i="33"/>
  <c r="D91" i="25"/>
  <c r="D90" i="33"/>
  <c r="O295" i="19"/>
  <c r="O294" i="19"/>
  <c r="O293" i="19"/>
  <c r="O292" i="19"/>
  <c r="O287" i="19"/>
  <c r="O286" i="19"/>
  <c r="O285" i="19"/>
  <c r="O284" i="19"/>
  <c r="O280" i="19"/>
  <c r="O276" i="19"/>
  <c r="O39" i="19"/>
  <c r="O38" i="19"/>
  <c r="O37" i="19"/>
  <c r="O36" i="19"/>
  <c r="O31" i="19"/>
  <c r="O30" i="19"/>
  <c r="O29" i="19"/>
  <c r="O28" i="19"/>
  <c r="O24" i="19"/>
  <c r="O20" i="19"/>
  <c r="D65" i="25"/>
  <c r="D64" i="33"/>
  <c r="D33" i="25"/>
  <c r="D32" i="33"/>
  <c r="D313" i="33"/>
  <c r="D261" i="33"/>
  <c r="D241" i="33"/>
  <c r="D185" i="33"/>
  <c r="D310" i="25"/>
  <c r="O231" i="19"/>
  <c r="O230" i="19"/>
  <c r="O229" i="19"/>
  <c r="O228" i="19"/>
  <c r="O223" i="19"/>
  <c r="O222" i="19"/>
  <c r="O221" i="19"/>
  <c r="O220" i="19"/>
  <c r="O216" i="19"/>
  <c r="O212" i="19"/>
  <c r="O103" i="19"/>
  <c r="O102" i="19"/>
  <c r="O101" i="19"/>
  <c r="O100" i="19"/>
  <c r="O95" i="19"/>
  <c r="O94" i="19"/>
  <c r="O93" i="19"/>
  <c r="O92" i="19"/>
  <c r="O88" i="19"/>
  <c r="O84" i="19"/>
  <c r="D289" i="33"/>
  <c r="D233" i="33"/>
  <c r="D195" i="33"/>
  <c r="D181" i="33"/>
  <c r="D161" i="33"/>
  <c r="D67" i="33"/>
  <c r="D148" i="25"/>
  <c r="D147" i="33"/>
  <c r="D40" i="25"/>
  <c r="D39" i="33"/>
  <c r="D243" i="33"/>
  <c r="D153" i="33"/>
  <c r="D131" i="33"/>
  <c r="D92" i="25"/>
  <c r="D91" i="33"/>
  <c r="D281" i="33"/>
  <c r="D229" i="33"/>
  <c r="D209" i="33"/>
  <c r="O312" i="19"/>
  <c r="O308" i="19"/>
  <c r="O199" i="19"/>
  <c r="O198" i="19"/>
  <c r="O197" i="19"/>
  <c r="O196" i="19"/>
  <c r="O191" i="19"/>
  <c r="O190" i="19"/>
  <c r="O189" i="19"/>
  <c r="O188" i="19"/>
  <c r="O184" i="19"/>
  <c r="O180" i="19"/>
  <c r="O71" i="19"/>
  <c r="O70" i="19"/>
  <c r="O69" i="19"/>
  <c r="O68" i="19"/>
  <c r="O63" i="19"/>
  <c r="O62" i="19"/>
  <c r="O61" i="19"/>
  <c r="O60" i="19"/>
  <c r="O56" i="19"/>
  <c r="O52" i="19"/>
  <c r="D291" i="33"/>
  <c r="D277" i="33"/>
  <c r="D257" i="33"/>
  <c r="D201" i="33"/>
  <c r="D163" i="33"/>
  <c r="D149" i="33"/>
  <c r="D47" i="33"/>
  <c r="D25" i="33"/>
  <c r="O13" i="19"/>
  <c r="O12" i="19"/>
  <c r="D146" i="25"/>
  <c r="D145" i="33"/>
  <c r="D134" i="25"/>
  <c r="D133" i="33"/>
  <c r="D122" i="25"/>
  <c r="D121" i="33"/>
  <c r="D58" i="25"/>
  <c r="D57" i="33"/>
  <c r="D293" i="33"/>
  <c r="D273" i="33"/>
  <c r="D217" i="33"/>
  <c r="D165" i="33"/>
  <c r="O263" i="19"/>
  <c r="O262" i="19"/>
  <c r="O261" i="19"/>
  <c r="O260" i="19"/>
  <c r="O255" i="19"/>
  <c r="O254" i="19"/>
  <c r="O253" i="19"/>
  <c r="O252" i="19"/>
  <c r="O248" i="19"/>
  <c r="O244" i="19"/>
  <c r="O135" i="19"/>
  <c r="O134" i="19"/>
  <c r="O133" i="19"/>
  <c r="O132" i="19"/>
  <c r="O127" i="19"/>
  <c r="O126" i="19"/>
  <c r="O125" i="19"/>
  <c r="O124" i="19"/>
  <c r="O120" i="19"/>
  <c r="O116" i="19"/>
  <c r="D265" i="33"/>
  <c r="D227" i="33"/>
  <c r="D213" i="33"/>
  <c r="D193" i="33"/>
  <c r="D129" i="33"/>
  <c r="D71" i="33"/>
  <c r="D7" i="33"/>
  <c r="O299" i="19"/>
  <c r="O298" i="19"/>
  <c r="O297" i="19"/>
  <c r="O267" i="19"/>
  <c r="O266" i="19"/>
  <c r="O265" i="19"/>
  <c r="O235" i="19"/>
  <c r="O234" i="19"/>
  <c r="O233" i="19"/>
  <c r="O203" i="19"/>
  <c r="O202" i="19"/>
  <c r="O201" i="19"/>
  <c r="O171" i="19"/>
  <c r="O170" i="19"/>
  <c r="O169" i="19"/>
  <c r="O139" i="19"/>
  <c r="O138" i="19"/>
  <c r="O137" i="19"/>
  <c r="O107" i="19"/>
  <c r="O106" i="19"/>
  <c r="O105" i="19"/>
  <c r="O75" i="19"/>
  <c r="O74" i="19"/>
  <c r="O73" i="19"/>
  <c r="O43" i="19"/>
  <c r="O42" i="19"/>
  <c r="O41" i="19"/>
  <c r="O11" i="19"/>
  <c r="O10" i="19"/>
  <c r="O9" i="19"/>
  <c r="D118" i="25"/>
  <c r="D117" i="33"/>
  <c r="D114" i="25"/>
  <c r="D113" i="33"/>
  <c r="D110" i="25"/>
  <c r="D109" i="33"/>
  <c r="D102" i="25"/>
  <c r="D101" i="33"/>
  <c r="D94" i="25"/>
  <c r="D93" i="33"/>
  <c r="D86" i="25"/>
  <c r="D85" i="33"/>
  <c r="D82" i="25"/>
  <c r="D81" i="33"/>
  <c r="D78" i="25"/>
  <c r="D77" i="33"/>
  <c r="D70" i="25"/>
  <c r="D69" i="33"/>
  <c r="D62" i="25"/>
  <c r="D61" i="33"/>
  <c r="D54" i="25"/>
  <c r="D53" i="33"/>
  <c r="D50" i="25"/>
  <c r="D49" i="33"/>
  <c r="D46" i="25"/>
  <c r="D45" i="33"/>
  <c r="D38" i="25"/>
  <c r="D37" i="33"/>
  <c r="D30" i="25"/>
  <c r="D29" i="33"/>
  <c r="D22" i="25"/>
  <c r="D21" i="33"/>
  <c r="D18" i="25"/>
  <c r="D17" i="33"/>
  <c r="D14" i="25"/>
  <c r="D13" i="33"/>
  <c r="D301" i="33"/>
  <c r="D298" i="33"/>
  <c r="D285" i="33"/>
  <c r="D282" i="33"/>
  <c r="D269" i="33"/>
  <c r="D266" i="33"/>
  <c r="D253" i="33"/>
  <c r="D250" i="33"/>
  <c r="D237" i="33"/>
  <c r="D234" i="33"/>
  <c r="D221" i="33"/>
  <c r="D218" i="33"/>
  <c r="D205" i="33"/>
  <c r="D202" i="33"/>
  <c r="D189" i="33"/>
  <c r="D186" i="33"/>
  <c r="D173" i="33"/>
  <c r="D170" i="33"/>
  <c r="D157" i="33"/>
  <c r="D154" i="33"/>
  <c r="D141" i="33"/>
  <c r="D138" i="33"/>
  <c r="D125" i="33"/>
  <c r="D122" i="33"/>
  <c r="D115" i="33"/>
  <c r="D95" i="33"/>
  <c r="D51" i="33"/>
  <c r="D31" i="33"/>
  <c r="O291" i="19"/>
  <c r="O290" i="19"/>
  <c r="O289" i="19"/>
  <c r="O259" i="19"/>
  <c r="O258" i="19"/>
  <c r="O257" i="19"/>
  <c r="O227" i="19"/>
  <c r="O226" i="19"/>
  <c r="O225" i="19"/>
  <c r="O195" i="19"/>
  <c r="O194" i="19"/>
  <c r="O193" i="19"/>
  <c r="O163" i="19"/>
  <c r="O162" i="19"/>
  <c r="O161" i="19"/>
  <c r="O131" i="19"/>
  <c r="O130" i="19"/>
  <c r="O129" i="19"/>
  <c r="O99" i="19"/>
  <c r="O98" i="19"/>
  <c r="O97" i="19"/>
  <c r="O67" i="19"/>
  <c r="O66" i="19"/>
  <c r="O65" i="19"/>
  <c r="O35" i="19"/>
  <c r="O34" i="19"/>
  <c r="O33" i="19"/>
  <c r="D313" i="25"/>
  <c r="D312" i="33"/>
  <c r="D309" i="25"/>
  <c r="D308" i="33"/>
  <c r="D305" i="25"/>
  <c r="D304" i="33"/>
  <c r="D301" i="25"/>
  <c r="D300" i="33"/>
  <c r="D297" i="25"/>
  <c r="D296" i="33"/>
  <c r="D293" i="25"/>
  <c r="D292" i="33"/>
  <c r="D289" i="25"/>
  <c r="D288" i="33"/>
  <c r="D285" i="25"/>
  <c r="D284" i="33"/>
  <c r="D281" i="25"/>
  <c r="D280" i="33"/>
  <c r="D277" i="25"/>
  <c r="D276" i="33"/>
  <c r="D273" i="25"/>
  <c r="D272" i="33"/>
  <c r="D268" i="33"/>
  <c r="D269" i="25"/>
  <c r="D265" i="25"/>
  <c r="D264" i="33"/>
  <c r="D261" i="25"/>
  <c r="D260" i="33"/>
  <c r="D257" i="25"/>
  <c r="D256" i="33"/>
  <c r="D253" i="25"/>
  <c r="D252" i="33"/>
  <c r="D249" i="25"/>
  <c r="D248" i="33"/>
  <c r="D245" i="25"/>
  <c r="D244" i="33"/>
  <c r="D241" i="25"/>
  <c r="D240" i="33"/>
  <c r="D237" i="25"/>
  <c r="D236" i="33"/>
  <c r="D233" i="25"/>
  <c r="D232" i="33"/>
  <c r="D229" i="25"/>
  <c r="D228" i="33"/>
  <c r="D225" i="25"/>
  <c r="D224" i="33"/>
  <c r="D221" i="25"/>
  <c r="D220" i="33"/>
  <c r="D217" i="25"/>
  <c r="D216" i="33"/>
  <c r="D212" i="33"/>
  <c r="D213" i="25"/>
  <c r="D209" i="25"/>
  <c r="D208" i="33"/>
  <c r="D205" i="25"/>
  <c r="D204" i="33"/>
  <c r="D201" i="25"/>
  <c r="D200" i="33"/>
  <c r="D197" i="25"/>
  <c r="D196" i="33"/>
  <c r="D193" i="25"/>
  <c r="D192" i="33"/>
  <c r="D188" i="33"/>
  <c r="D189" i="25"/>
  <c r="D185" i="25"/>
  <c r="D184" i="33"/>
  <c r="D181" i="25"/>
  <c r="D180" i="33"/>
  <c r="D173" i="25"/>
  <c r="D172" i="33"/>
  <c r="D169" i="25"/>
  <c r="D168" i="33"/>
  <c r="D165" i="25"/>
  <c r="D164" i="33"/>
  <c r="D161" i="25"/>
  <c r="D160" i="33"/>
  <c r="D157" i="25"/>
  <c r="D156" i="33"/>
  <c r="D153" i="25"/>
  <c r="D152" i="33"/>
  <c r="D149" i="25"/>
  <c r="D148" i="33"/>
  <c r="D145" i="25"/>
  <c r="D144" i="33"/>
  <c r="D141" i="25"/>
  <c r="D140" i="33"/>
  <c r="D137" i="25"/>
  <c r="D136" i="33"/>
  <c r="D133" i="25"/>
  <c r="D132" i="33"/>
  <c r="D129" i="25"/>
  <c r="D128" i="33"/>
  <c r="D125" i="25"/>
  <c r="D124" i="33"/>
  <c r="D121" i="25"/>
  <c r="D120" i="33"/>
  <c r="D117" i="25"/>
  <c r="D116" i="33"/>
  <c r="D113" i="25"/>
  <c r="D112" i="33"/>
  <c r="D109" i="25"/>
  <c r="D108" i="33"/>
  <c r="D105" i="25"/>
  <c r="D104" i="33"/>
  <c r="D101" i="25"/>
  <c r="D100" i="33"/>
  <c r="D93" i="25"/>
  <c r="D92" i="33"/>
  <c r="D89" i="25"/>
  <c r="D88" i="33"/>
  <c r="D85" i="25"/>
  <c r="D84" i="33"/>
  <c r="D81" i="25"/>
  <c r="D80" i="33"/>
  <c r="D77" i="25"/>
  <c r="D76" i="33"/>
  <c r="D73" i="25"/>
  <c r="D72" i="33"/>
  <c r="D69" i="25"/>
  <c r="D68" i="33"/>
  <c r="D61" i="25"/>
  <c r="D60" i="33"/>
  <c r="D57" i="25"/>
  <c r="D56" i="33"/>
  <c r="D53" i="25"/>
  <c r="D52" i="33"/>
  <c r="D49" i="25"/>
  <c r="D48" i="33"/>
  <c r="D45" i="25"/>
  <c r="D44" i="33"/>
  <c r="D41" i="25"/>
  <c r="D40" i="33"/>
  <c r="D37" i="25"/>
  <c r="D36" i="33"/>
  <c r="D29" i="25"/>
  <c r="D28" i="33"/>
  <c r="D25" i="25"/>
  <c r="D24" i="33"/>
  <c r="D21" i="25"/>
  <c r="D20" i="33"/>
  <c r="D17" i="25"/>
  <c r="D16" i="33"/>
  <c r="D13" i="25"/>
  <c r="D12" i="33"/>
  <c r="D9" i="25"/>
  <c r="D8" i="33"/>
  <c r="D97" i="33"/>
  <c r="D73" i="33"/>
  <c r="D70" i="33"/>
  <c r="D33" i="33"/>
  <c r="D9" i="33"/>
  <c r="O314" i="19"/>
  <c r="O283" i="19"/>
  <c r="O281" i="19"/>
  <c r="O250" i="19"/>
  <c r="O219" i="19"/>
  <c r="O217" i="19"/>
  <c r="O187" i="19"/>
  <c r="O185" i="19"/>
  <c r="O155" i="19"/>
  <c r="O153" i="19"/>
  <c r="O123" i="19"/>
  <c r="O121" i="19"/>
  <c r="O91" i="19"/>
  <c r="O89" i="19"/>
  <c r="O58" i="19"/>
  <c r="O27" i="19"/>
  <c r="O25" i="19"/>
  <c r="D311" i="33"/>
  <c r="D312" i="25"/>
  <c r="D304" i="25"/>
  <c r="D303" i="33"/>
  <c r="D296" i="25"/>
  <c r="D295" i="33"/>
  <c r="D288" i="25"/>
  <c r="D287" i="33"/>
  <c r="D280" i="25"/>
  <c r="D279" i="33"/>
  <c r="D272" i="25"/>
  <c r="D271" i="33"/>
  <c r="D264" i="25"/>
  <c r="D263" i="33"/>
  <c r="D256" i="25"/>
  <c r="D255" i="33"/>
  <c r="D248" i="25"/>
  <c r="D247" i="33"/>
  <c r="D240" i="25"/>
  <c r="D239" i="33"/>
  <c r="D232" i="25"/>
  <c r="D231" i="33"/>
  <c r="D224" i="25"/>
  <c r="D223" i="33"/>
  <c r="D216" i="25"/>
  <c r="D215" i="33"/>
  <c r="D208" i="25"/>
  <c r="D207" i="33"/>
  <c r="D200" i="25"/>
  <c r="D199" i="33"/>
  <c r="D192" i="25"/>
  <c r="D191" i="33"/>
  <c r="D184" i="25"/>
  <c r="D183" i="33"/>
  <c r="D176" i="25"/>
  <c r="D175" i="33"/>
  <c r="D168" i="25"/>
  <c r="D167" i="33"/>
  <c r="D160" i="25"/>
  <c r="D159" i="33"/>
  <c r="D152" i="25"/>
  <c r="D151" i="33"/>
  <c r="D144" i="25"/>
  <c r="D143" i="33"/>
  <c r="D136" i="25"/>
  <c r="D135" i="33"/>
  <c r="D128" i="25"/>
  <c r="D127" i="33"/>
  <c r="D120" i="25"/>
  <c r="D119" i="33"/>
  <c r="D108" i="25"/>
  <c r="D107" i="33"/>
  <c r="D88" i="25"/>
  <c r="D87" i="33"/>
  <c r="D76" i="25"/>
  <c r="D75" i="33"/>
  <c r="D56" i="25"/>
  <c r="D55" i="33"/>
  <c r="D44" i="25"/>
  <c r="D43" i="33"/>
  <c r="D24" i="25"/>
  <c r="D23" i="33"/>
  <c r="D12" i="25"/>
  <c r="D11" i="33"/>
  <c r="D83" i="33"/>
  <c r="O311" i="19"/>
  <c r="O310" i="19"/>
  <c r="O309" i="19"/>
  <c r="O279" i="19"/>
  <c r="O278" i="19"/>
  <c r="O277" i="19"/>
  <c r="O247" i="19"/>
  <c r="O246" i="19"/>
  <c r="O245" i="19"/>
  <c r="O215" i="19"/>
  <c r="O214" i="19"/>
  <c r="O213" i="19"/>
  <c r="O183" i="19"/>
  <c r="O182" i="19"/>
  <c r="O181" i="19"/>
  <c r="O151" i="19"/>
  <c r="O150" i="19"/>
  <c r="O149" i="19"/>
  <c r="O119" i="19"/>
  <c r="O118" i="19"/>
  <c r="O117" i="19"/>
  <c r="O87" i="19"/>
  <c r="O86" i="19"/>
  <c r="O85" i="19"/>
  <c r="O55" i="19"/>
  <c r="O54" i="19"/>
  <c r="O53" i="19"/>
  <c r="O23" i="19"/>
  <c r="O22" i="19"/>
  <c r="O21" i="19"/>
  <c r="D299" i="33"/>
  <c r="D283" i="33"/>
  <c r="D267" i="33"/>
  <c r="D251" i="33"/>
  <c r="D235" i="33"/>
  <c r="D219" i="33"/>
  <c r="D203" i="33"/>
  <c r="D187" i="33"/>
  <c r="D171" i="33"/>
  <c r="D155" i="33"/>
  <c r="D139" i="33"/>
  <c r="D123" i="33"/>
  <c r="D99" i="33"/>
  <c r="D79" i="33"/>
  <c r="D59" i="33"/>
  <c r="D35" i="33"/>
  <c r="D15" i="33"/>
  <c r="O315" i="19"/>
  <c r="O313" i="19"/>
  <c r="O282" i="19"/>
  <c r="O251" i="19"/>
  <c r="O249" i="19"/>
  <c r="O218" i="19"/>
  <c r="O186" i="19"/>
  <c r="O154" i="19"/>
  <c r="O122" i="19"/>
  <c r="O90" i="19"/>
  <c r="O59" i="19"/>
  <c r="O57" i="19"/>
  <c r="O26" i="19"/>
  <c r="D63" i="33"/>
  <c r="D19" i="33"/>
  <c r="O307" i="19"/>
  <c r="O306" i="19"/>
  <c r="O305" i="19"/>
  <c r="O275" i="19"/>
  <c r="O274" i="19"/>
  <c r="O273" i="19"/>
  <c r="O243" i="19"/>
  <c r="O242" i="19"/>
  <c r="O241" i="19"/>
  <c r="O211" i="19"/>
  <c r="O210" i="19"/>
  <c r="O209" i="19"/>
  <c r="O179" i="19"/>
  <c r="O178" i="19"/>
  <c r="O177" i="19"/>
  <c r="O147" i="19"/>
  <c r="O146" i="19"/>
  <c r="O145" i="19"/>
  <c r="O115" i="19"/>
  <c r="O114" i="19"/>
  <c r="O113" i="19"/>
  <c r="O83" i="19"/>
  <c r="O82" i="19"/>
  <c r="O81" i="19"/>
  <c r="O51" i="19"/>
  <c r="O50" i="19"/>
  <c r="O49" i="19"/>
  <c r="O19" i="19"/>
  <c r="O18" i="19"/>
  <c r="O17" i="19"/>
  <c r="D311" i="25"/>
  <c r="D310" i="33"/>
  <c r="D303" i="25"/>
  <c r="D302" i="33"/>
  <c r="D295" i="25"/>
  <c r="D294" i="33"/>
  <c r="D287" i="25"/>
  <c r="D286" i="33"/>
  <c r="D279" i="25"/>
  <c r="D278" i="33"/>
  <c r="D271" i="25"/>
  <c r="D270" i="33"/>
  <c r="D263" i="25"/>
  <c r="D262" i="33"/>
  <c r="D255" i="25"/>
  <c r="D254" i="33"/>
  <c r="D247" i="25"/>
  <c r="D246" i="33"/>
  <c r="D239" i="25"/>
  <c r="D238" i="33"/>
  <c r="D231" i="25"/>
  <c r="D230" i="33"/>
  <c r="D223" i="25"/>
  <c r="D222" i="33"/>
  <c r="D215" i="25"/>
  <c r="D214" i="33"/>
  <c r="D207" i="25"/>
  <c r="D206" i="33"/>
  <c r="D199" i="25"/>
  <c r="D198" i="33"/>
  <c r="D191" i="25"/>
  <c r="D190" i="33"/>
  <c r="D183" i="25"/>
  <c r="D182" i="33"/>
  <c r="D175" i="25"/>
  <c r="D174" i="33"/>
  <c r="D167" i="25"/>
  <c r="D166" i="33"/>
  <c r="D159" i="25"/>
  <c r="D158" i="33"/>
  <c r="D151" i="25"/>
  <c r="D150" i="33"/>
  <c r="D143" i="25"/>
  <c r="D142" i="33"/>
  <c r="D135" i="25"/>
  <c r="D134" i="33"/>
  <c r="D127" i="25"/>
  <c r="D126" i="33"/>
  <c r="D119" i="25"/>
  <c r="D118" i="33"/>
  <c r="D115" i="25"/>
  <c r="D114" i="33"/>
  <c r="D111" i="25"/>
  <c r="D110" i="33"/>
  <c r="D107" i="25"/>
  <c r="D106" i="33"/>
  <c r="D99" i="25"/>
  <c r="D98" i="33"/>
  <c r="D95" i="25"/>
  <c r="D94" i="33"/>
  <c r="D87" i="25"/>
  <c r="D86" i="33"/>
  <c r="D83" i="25"/>
  <c r="D82" i="33"/>
  <c r="D79" i="25"/>
  <c r="D78" i="33"/>
  <c r="D75" i="25"/>
  <c r="D74" i="33"/>
  <c r="D67" i="25"/>
  <c r="D66" i="33"/>
  <c r="D105" i="33"/>
  <c r="D102" i="33"/>
  <c r="D65" i="33"/>
  <c r="D41" i="33"/>
  <c r="D177" i="25"/>
  <c r="D54" i="33"/>
  <c r="D42" i="33"/>
  <c r="D22" i="33"/>
  <c r="D10" i="33"/>
  <c r="D62" i="33"/>
  <c r="D50" i="33"/>
  <c r="D30" i="33"/>
  <c r="D18" i="33"/>
  <c r="D46" i="33"/>
  <c r="D34" i="33"/>
  <c r="D14" i="33"/>
  <c r="Y240" i="19"/>
  <c r="C238" i="32" s="1"/>
  <c r="E238" i="32" s="1"/>
  <c r="Y239" i="19"/>
  <c r="C237" i="32" s="1"/>
  <c r="E237" i="32" s="1"/>
  <c r="Y241" i="19"/>
  <c r="C239" i="32" s="1"/>
  <c r="E239" i="32" s="1"/>
  <c r="M245" i="42"/>
  <c r="X245" i="42" s="1"/>
  <c r="Z7" i="19" l="1"/>
  <c r="X7" i="19"/>
  <c r="W7" i="19"/>
  <c r="V7" i="19"/>
  <c r="P7" i="19"/>
  <c r="N7" i="19"/>
  <c r="M7" i="19"/>
  <c r="L7" i="19"/>
  <c r="K7" i="19"/>
  <c r="I7" i="19"/>
  <c r="H7" i="19"/>
  <c r="M239" i="42"/>
  <c r="X239" i="42" s="1"/>
  <c r="C316" i="42" l="1"/>
  <c r="M4" i="33" l="1"/>
  <c r="K303" i="49" l="1"/>
  <c r="K244" i="13" l="1"/>
  <c r="K170" i="13"/>
  <c r="K219" i="13"/>
  <c r="M246" i="42" l="1"/>
  <c r="X246" i="42" s="1"/>
  <c r="M220" i="42"/>
  <c r="X220" i="42" s="1"/>
  <c r="M171" i="42"/>
  <c r="X171" i="42" s="1"/>
  <c r="Y301" i="19" l="1"/>
  <c r="C299" i="32" s="1"/>
  <c r="E299" i="32" s="1"/>
  <c r="Y285" i="19"/>
  <c r="C283" i="32" s="1"/>
  <c r="E283" i="32" s="1"/>
  <c r="Y269" i="19"/>
  <c r="C267" i="32" s="1"/>
  <c r="E267" i="32" s="1"/>
  <c r="Y253" i="19"/>
  <c r="C251" i="32" s="1"/>
  <c r="E251" i="32" s="1"/>
  <c r="Y284" i="19"/>
  <c r="C282" i="32" s="1"/>
  <c r="E282" i="32" s="1"/>
  <c r="Y167" i="19"/>
  <c r="C165" i="32" s="1"/>
  <c r="E165" i="32" s="1"/>
  <c r="Y111" i="19"/>
  <c r="C109" i="32" s="1"/>
  <c r="E109" i="32" s="1"/>
  <c r="Y103" i="19"/>
  <c r="C101" i="32" s="1"/>
  <c r="E101" i="32" s="1"/>
  <c r="Y79" i="19"/>
  <c r="C77" i="32" s="1"/>
  <c r="E77" i="32" s="1"/>
  <c r="Y292" i="19"/>
  <c r="C290" i="32" s="1"/>
  <c r="E290" i="32" s="1"/>
  <c r="Y252" i="19"/>
  <c r="C250" i="32" s="1"/>
  <c r="E250" i="32" s="1"/>
  <c r="Y180" i="19"/>
  <c r="C178" i="32" s="1"/>
  <c r="E178" i="32" s="1"/>
  <c r="Y148" i="19"/>
  <c r="C146" i="32" s="1"/>
  <c r="E146" i="32" s="1"/>
  <c r="Y116" i="19"/>
  <c r="C114" i="32" s="1"/>
  <c r="E114" i="32" s="1"/>
  <c r="Y84" i="19"/>
  <c r="C82" i="32" s="1"/>
  <c r="E82" i="32" s="1"/>
  <c r="Y52" i="19"/>
  <c r="C50" i="32" s="1"/>
  <c r="E50" i="32" s="1"/>
  <c r="Y36" i="19"/>
  <c r="C34" i="32" s="1"/>
  <c r="E34" i="32" s="1"/>
  <c r="Y20" i="19"/>
  <c r="C18" i="32" s="1"/>
  <c r="E18" i="32" s="1"/>
  <c r="Y313" i="19"/>
  <c r="C311" i="32" s="1"/>
  <c r="E311" i="32" s="1"/>
  <c r="Y305" i="19"/>
  <c r="C303" i="32" s="1"/>
  <c r="E303" i="32" s="1"/>
  <c r="Y297" i="19"/>
  <c r="C295" i="32" s="1"/>
  <c r="E295" i="32" s="1"/>
  <c r="Y289" i="19"/>
  <c r="C287" i="32" s="1"/>
  <c r="E287" i="32" s="1"/>
  <c r="Y281" i="19"/>
  <c r="C279" i="32" s="1"/>
  <c r="E279" i="32" s="1"/>
  <c r="Y273" i="19"/>
  <c r="C271" i="32" s="1"/>
  <c r="E271" i="32" s="1"/>
  <c r="Y265" i="19"/>
  <c r="C263" i="32" s="1"/>
  <c r="E263" i="32" s="1"/>
  <c r="Y257" i="19"/>
  <c r="C255" i="32" s="1"/>
  <c r="E255" i="32" s="1"/>
  <c r="Y249" i="19"/>
  <c r="C247" i="32" s="1"/>
  <c r="E247" i="32" s="1"/>
  <c r="Y233" i="19"/>
  <c r="C231" i="32" s="1"/>
  <c r="E231" i="32" s="1"/>
  <c r="Y225" i="19"/>
  <c r="C223" i="32" s="1"/>
  <c r="E223" i="32" s="1"/>
  <c r="Y217" i="19"/>
  <c r="C215" i="32" s="1"/>
  <c r="E215" i="32" s="1"/>
  <c r="Y209" i="19"/>
  <c r="C207" i="32" s="1"/>
  <c r="E207" i="32" s="1"/>
  <c r="Y201" i="19"/>
  <c r="C199" i="32" s="1"/>
  <c r="E199" i="32" s="1"/>
  <c r="Y185" i="19"/>
  <c r="C183" i="32" s="1"/>
  <c r="E183" i="32" s="1"/>
  <c r="Y169" i="19"/>
  <c r="C167" i="32" s="1"/>
  <c r="E167" i="32" s="1"/>
  <c r="Y161" i="19"/>
  <c r="C159" i="32" s="1"/>
  <c r="E159" i="32" s="1"/>
  <c r="Y153" i="19"/>
  <c r="C151" i="32" s="1"/>
  <c r="E151" i="32" s="1"/>
  <c r="Y145" i="19"/>
  <c r="C143" i="32" s="1"/>
  <c r="E143" i="32" s="1"/>
  <c r="Y129" i="19"/>
  <c r="C127" i="32" s="1"/>
  <c r="E127" i="32" s="1"/>
  <c r="Y121" i="19"/>
  <c r="C119" i="32" s="1"/>
  <c r="E119" i="32" s="1"/>
  <c r="Y105" i="19"/>
  <c r="C103" i="32" s="1"/>
  <c r="E103" i="32" s="1"/>
  <c r="Y97" i="19"/>
  <c r="C95" i="32" s="1"/>
  <c r="E95" i="32" s="1"/>
  <c r="Y89" i="19"/>
  <c r="C87" i="32" s="1"/>
  <c r="E87" i="32" s="1"/>
  <c r="Y73" i="19"/>
  <c r="C71" i="32" s="1"/>
  <c r="E71" i="32" s="1"/>
  <c r="Y65" i="19"/>
  <c r="C63" i="32" s="1"/>
  <c r="E63" i="32" s="1"/>
  <c r="Y54" i="19"/>
  <c r="C52" i="32" s="1"/>
  <c r="E52" i="32" s="1"/>
  <c r="Y30" i="19"/>
  <c r="C28" i="32" s="1"/>
  <c r="E28" i="32" s="1"/>
  <c r="Y308" i="19"/>
  <c r="C306" i="32" s="1"/>
  <c r="E306" i="32" s="1"/>
  <c r="Y268" i="19"/>
  <c r="C266" i="32" s="1"/>
  <c r="E266" i="32" s="1"/>
  <c r="Y244" i="19"/>
  <c r="C242" i="32" s="1"/>
  <c r="E242" i="32" s="1"/>
  <c r="Y204" i="19"/>
  <c r="C202" i="32" s="1"/>
  <c r="E202" i="32" s="1"/>
  <c r="Y188" i="19"/>
  <c r="C186" i="32" s="1"/>
  <c r="E186" i="32" s="1"/>
  <c r="Y140" i="19"/>
  <c r="C138" i="32" s="1"/>
  <c r="E138" i="32" s="1"/>
  <c r="Y124" i="19"/>
  <c r="C122" i="32" s="1"/>
  <c r="E122" i="32" s="1"/>
  <c r="Y108" i="19"/>
  <c r="C106" i="32" s="1"/>
  <c r="E106" i="32" s="1"/>
  <c r="Y92" i="19"/>
  <c r="C90" i="32" s="1"/>
  <c r="E90" i="32" s="1"/>
  <c r="Y68" i="19"/>
  <c r="C66" i="32" s="1"/>
  <c r="E66" i="32" s="1"/>
  <c r="G279" i="19"/>
  <c r="T279" i="19" s="1"/>
  <c r="G247" i="19"/>
  <c r="T247" i="19" s="1"/>
  <c r="G87" i="19"/>
  <c r="Y300" i="19"/>
  <c r="C298" i="32" s="1"/>
  <c r="E298" i="32" s="1"/>
  <c r="Y276" i="19"/>
  <c r="C274" i="32" s="1"/>
  <c r="E274" i="32" s="1"/>
  <c r="Y228" i="19"/>
  <c r="C226" i="32" s="1"/>
  <c r="E226" i="32" s="1"/>
  <c r="Y196" i="19"/>
  <c r="C194" i="32" s="1"/>
  <c r="E194" i="32" s="1"/>
  <c r="Y164" i="19"/>
  <c r="C162" i="32" s="1"/>
  <c r="E162" i="32" s="1"/>
  <c r="Y100" i="19"/>
  <c r="C98" i="32" s="1"/>
  <c r="E98" i="32" s="1"/>
  <c r="Y60" i="19"/>
  <c r="C58" i="32" s="1"/>
  <c r="E58" i="32" s="1"/>
  <c r="Y44" i="19"/>
  <c r="C42" i="32" s="1"/>
  <c r="E42" i="32" s="1"/>
  <c r="Y28" i="19"/>
  <c r="C26" i="32" s="1"/>
  <c r="E26" i="32" s="1"/>
  <c r="Y12" i="19"/>
  <c r="C10" i="32" s="1"/>
  <c r="E10" i="32" s="1"/>
  <c r="G313" i="19"/>
  <c r="T313" i="19" s="1"/>
  <c r="G271" i="19"/>
  <c r="T271" i="19" s="1"/>
  <c r="G263" i="19"/>
  <c r="T263" i="19" s="1"/>
  <c r="G213" i="19"/>
  <c r="T213" i="19" s="1"/>
  <c r="G203" i="19"/>
  <c r="T203" i="19" s="1"/>
  <c r="G179" i="19"/>
  <c r="T179" i="19" s="1"/>
  <c r="G145" i="19"/>
  <c r="T145" i="19" s="1"/>
  <c r="G93" i="19"/>
  <c r="T93" i="19" s="1"/>
  <c r="G65" i="19"/>
  <c r="T65" i="19" s="1"/>
  <c r="G29" i="19"/>
  <c r="T29" i="19" s="1"/>
  <c r="Y260" i="19"/>
  <c r="C258" i="32" s="1"/>
  <c r="E258" i="32" s="1"/>
  <c r="Y236" i="19"/>
  <c r="C234" i="32" s="1"/>
  <c r="E234" i="32" s="1"/>
  <c r="Y212" i="19"/>
  <c r="C210" i="32" s="1"/>
  <c r="E210" i="32" s="1"/>
  <c r="Y172" i="19"/>
  <c r="C170" i="32" s="1"/>
  <c r="E170" i="32" s="1"/>
  <c r="Y156" i="19"/>
  <c r="C154" i="32" s="1"/>
  <c r="E154" i="32" s="1"/>
  <c r="Y76" i="19"/>
  <c r="C74" i="32" s="1"/>
  <c r="E74" i="32" s="1"/>
  <c r="G281" i="19"/>
  <c r="T281" i="19" s="1"/>
  <c r="G255" i="19"/>
  <c r="T255" i="19" s="1"/>
  <c r="G15" i="19"/>
  <c r="T15" i="19" s="1"/>
  <c r="Y186" i="19"/>
  <c r="C184" i="32" s="1"/>
  <c r="E184" i="32" s="1"/>
  <c r="G197" i="19"/>
  <c r="T197" i="19" s="1"/>
  <c r="G47" i="19"/>
  <c r="Y150" i="19"/>
  <c r="C148" i="32" s="1"/>
  <c r="E148" i="32" s="1"/>
  <c r="Y159" i="19"/>
  <c r="C157" i="32" s="1"/>
  <c r="E157" i="32" s="1"/>
  <c r="Y119" i="19"/>
  <c r="C117" i="32" s="1"/>
  <c r="E117" i="32" s="1"/>
  <c r="Y63" i="19"/>
  <c r="C61" i="32" s="1"/>
  <c r="E61" i="32" s="1"/>
  <c r="G129" i="19"/>
  <c r="G265" i="19"/>
  <c r="T265" i="19" s="1"/>
  <c r="G195" i="19"/>
  <c r="T195" i="19" s="1"/>
  <c r="G221" i="19"/>
  <c r="T221" i="19" s="1"/>
  <c r="G77" i="19"/>
  <c r="G41" i="19"/>
  <c r="T41" i="19" s="1"/>
  <c r="Y310" i="19"/>
  <c r="C308" i="32" s="1"/>
  <c r="E308" i="32" s="1"/>
  <c r="Y302" i="19"/>
  <c r="C300" i="32" s="1"/>
  <c r="E300" i="32" s="1"/>
  <c r="Y294" i="19"/>
  <c r="C292" i="32" s="1"/>
  <c r="E292" i="32" s="1"/>
  <c r="Y286" i="19"/>
  <c r="C284" i="32" s="1"/>
  <c r="E284" i="32" s="1"/>
  <c r="Y278" i="19"/>
  <c r="C276" i="32" s="1"/>
  <c r="E276" i="32" s="1"/>
  <c r="Y270" i="19"/>
  <c r="C268" i="32" s="1"/>
  <c r="E268" i="32" s="1"/>
  <c r="Y262" i="19"/>
  <c r="C260" i="32" s="1"/>
  <c r="E260" i="32" s="1"/>
  <c r="Y254" i="19"/>
  <c r="C252" i="32" s="1"/>
  <c r="E252" i="32" s="1"/>
  <c r="Y246" i="19"/>
  <c r="C244" i="32" s="1"/>
  <c r="E244" i="32" s="1"/>
  <c r="Y238" i="19"/>
  <c r="C236" i="32" s="1"/>
  <c r="E236" i="32" s="1"/>
  <c r="Y230" i="19"/>
  <c r="C228" i="32" s="1"/>
  <c r="E228" i="32" s="1"/>
  <c r="Y222" i="19"/>
  <c r="C220" i="32" s="1"/>
  <c r="E220" i="32" s="1"/>
  <c r="Y214" i="19"/>
  <c r="C212" i="32" s="1"/>
  <c r="E212" i="32" s="1"/>
  <c r="Y206" i="19"/>
  <c r="C204" i="32" s="1"/>
  <c r="E204" i="32" s="1"/>
  <c r="Y198" i="19"/>
  <c r="C196" i="32" s="1"/>
  <c r="E196" i="32" s="1"/>
  <c r="Y190" i="19"/>
  <c r="C188" i="32" s="1"/>
  <c r="E188" i="32" s="1"/>
  <c r="Y182" i="19"/>
  <c r="C180" i="32" s="1"/>
  <c r="E180" i="32" s="1"/>
  <c r="Y174" i="19"/>
  <c r="C172" i="32" s="1"/>
  <c r="E172" i="32" s="1"/>
  <c r="Y166" i="19"/>
  <c r="C164" i="32" s="1"/>
  <c r="E164" i="32" s="1"/>
  <c r="Y158" i="19"/>
  <c r="C156" i="32" s="1"/>
  <c r="E156" i="32" s="1"/>
  <c r="Y142" i="19"/>
  <c r="C140" i="32" s="1"/>
  <c r="E140" i="32" s="1"/>
  <c r="Y134" i="19"/>
  <c r="C132" i="32" s="1"/>
  <c r="E132" i="32" s="1"/>
  <c r="Y126" i="19"/>
  <c r="C124" i="32" s="1"/>
  <c r="E124" i="32" s="1"/>
  <c r="Y118" i="19"/>
  <c r="C116" i="32" s="1"/>
  <c r="E116" i="32" s="1"/>
  <c r="Y110" i="19"/>
  <c r="C108" i="32" s="1"/>
  <c r="E108" i="32" s="1"/>
  <c r="Y102" i="19"/>
  <c r="C100" i="32" s="1"/>
  <c r="E100" i="32" s="1"/>
  <c r="Y94" i="19"/>
  <c r="C92" i="32" s="1"/>
  <c r="E92" i="32" s="1"/>
  <c r="Y86" i="19"/>
  <c r="C84" i="32" s="1"/>
  <c r="E84" i="32" s="1"/>
  <c r="Y78" i="19"/>
  <c r="C76" i="32" s="1"/>
  <c r="E76" i="32" s="1"/>
  <c r="Y70" i="19"/>
  <c r="C68" i="32" s="1"/>
  <c r="E68" i="32" s="1"/>
  <c r="Y62" i="19"/>
  <c r="C60" i="32" s="1"/>
  <c r="E60" i="32" s="1"/>
  <c r="Y46" i="19"/>
  <c r="C44" i="32" s="1"/>
  <c r="E44" i="32" s="1"/>
  <c r="Y38" i="19"/>
  <c r="C36" i="32" s="1"/>
  <c r="E36" i="32" s="1"/>
  <c r="Y22" i="19"/>
  <c r="C20" i="32" s="1"/>
  <c r="E20" i="32" s="1"/>
  <c r="Y14" i="19"/>
  <c r="C12" i="32" s="1"/>
  <c r="E12" i="32" s="1"/>
  <c r="G314" i="19"/>
  <c r="T314" i="19" s="1"/>
  <c r="G306" i="19"/>
  <c r="T306" i="19" s="1"/>
  <c r="G294" i="19"/>
  <c r="G286" i="19"/>
  <c r="T286" i="19" s="1"/>
  <c r="G248" i="19"/>
  <c r="T248" i="19" s="1"/>
  <c r="G240" i="19"/>
  <c r="G224" i="19"/>
  <c r="G214" i="19"/>
  <c r="T214" i="19" s="1"/>
  <c r="G196" i="19"/>
  <c r="T196" i="19" s="1"/>
  <c r="G180" i="19"/>
  <c r="T180" i="19" s="1"/>
  <c r="G170" i="19"/>
  <c r="T170" i="19" s="1"/>
  <c r="G160" i="19"/>
  <c r="T160" i="19" s="1"/>
  <c r="G150" i="19"/>
  <c r="T150" i="19" s="1"/>
  <c r="G142" i="19"/>
  <c r="T142" i="19" s="1"/>
  <c r="G136" i="19"/>
  <c r="T136" i="19" s="1"/>
  <c r="G126" i="19"/>
  <c r="T126" i="19" s="1"/>
  <c r="G118" i="19"/>
  <c r="T118" i="19" s="1"/>
  <c r="G110" i="19"/>
  <c r="T110" i="19" s="1"/>
  <c r="G104" i="19"/>
  <c r="T104" i="19" s="1"/>
  <c r="G64" i="19"/>
  <c r="T64" i="19" s="1"/>
  <c r="G56" i="19"/>
  <c r="T56" i="19" s="1"/>
  <c r="G16" i="19"/>
  <c r="T16" i="19" s="1"/>
  <c r="G8" i="19"/>
  <c r="T8" i="19" s="1"/>
  <c r="G302" i="19"/>
  <c r="T302" i="19" s="1"/>
  <c r="G296" i="19"/>
  <c r="T296" i="19" s="1"/>
  <c r="G290" i="19"/>
  <c r="T290" i="19" s="1"/>
  <c r="G282" i="19"/>
  <c r="T282" i="19" s="1"/>
  <c r="G264" i="19"/>
  <c r="T264" i="19" s="1"/>
  <c r="G244" i="19"/>
  <c r="T244" i="19" s="1"/>
  <c r="G238" i="19"/>
  <c r="T238" i="19" s="1"/>
  <c r="G232" i="19"/>
  <c r="T232" i="19" s="1"/>
  <c r="G228" i="19"/>
  <c r="T228" i="19" s="1"/>
  <c r="G210" i="19"/>
  <c r="T210" i="19" s="1"/>
  <c r="G186" i="19"/>
  <c r="T186" i="19" s="1"/>
  <c r="G166" i="19"/>
  <c r="T166" i="19" s="1"/>
  <c r="G162" i="19"/>
  <c r="T162" i="19" s="1"/>
  <c r="G152" i="19"/>
  <c r="T152" i="19" s="1"/>
  <c r="G146" i="19"/>
  <c r="T146" i="19" s="1"/>
  <c r="G134" i="19"/>
  <c r="T134" i="19" s="1"/>
  <c r="G130" i="19"/>
  <c r="T130" i="19" s="1"/>
  <c r="G120" i="19"/>
  <c r="T120" i="19" s="1"/>
  <c r="G112" i="19"/>
  <c r="T112" i="19" s="1"/>
  <c r="G106" i="19"/>
  <c r="T106" i="19" s="1"/>
  <c r="G88" i="19"/>
  <c r="T88" i="19" s="1"/>
  <c r="G72" i="19"/>
  <c r="T72" i="19" s="1"/>
  <c r="G48" i="19"/>
  <c r="T48" i="19" s="1"/>
  <c r="G22" i="19"/>
  <c r="T22" i="19" s="1"/>
  <c r="G12" i="19"/>
  <c r="G315" i="19"/>
  <c r="T315" i="19" s="1"/>
  <c r="G297" i="19"/>
  <c r="T297" i="19" s="1"/>
  <c r="G249" i="19"/>
  <c r="G231" i="19"/>
  <c r="T231" i="19" s="1"/>
  <c r="G161" i="19"/>
  <c r="T161" i="19" s="1"/>
  <c r="G89" i="19"/>
  <c r="T89" i="19" s="1"/>
  <c r="G71" i="19"/>
  <c r="T71" i="19" s="1"/>
  <c r="G49" i="19"/>
  <c r="G45" i="19"/>
  <c r="T45" i="19" s="1"/>
  <c r="Y231" i="19"/>
  <c r="C229" i="32" s="1"/>
  <c r="E229" i="32" s="1"/>
  <c r="Y223" i="19"/>
  <c r="C221" i="32" s="1"/>
  <c r="E221" i="32" s="1"/>
  <c r="Y143" i="19"/>
  <c r="C141" i="32" s="1"/>
  <c r="E141" i="32" s="1"/>
  <c r="Y135" i="19"/>
  <c r="C133" i="32" s="1"/>
  <c r="E133" i="32" s="1"/>
  <c r="Y127" i="19"/>
  <c r="C125" i="32" s="1"/>
  <c r="E125" i="32" s="1"/>
  <c r="Y95" i="19"/>
  <c r="C93" i="32" s="1"/>
  <c r="E93" i="32" s="1"/>
  <c r="Y87" i="19"/>
  <c r="C85" i="32" s="1"/>
  <c r="E85" i="32" s="1"/>
  <c r="Y71" i="19"/>
  <c r="C69" i="32" s="1"/>
  <c r="E69" i="32" s="1"/>
  <c r="G310" i="19"/>
  <c r="T310" i="19" s="1"/>
  <c r="G304" i="19"/>
  <c r="T304" i="19" s="1"/>
  <c r="G298" i="19"/>
  <c r="T298" i="19" s="1"/>
  <c r="G288" i="19"/>
  <c r="T288" i="19" s="1"/>
  <c r="G272" i="19"/>
  <c r="G256" i="19"/>
  <c r="T256" i="19" s="1"/>
  <c r="G236" i="19"/>
  <c r="T236" i="19" s="1"/>
  <c r="G230" i="19"/>
  <c r="T230" i="19" s="1"/>
  <c r="G218" i="19"/>
  <c r="T218" i="19" s="1"/>
  <c r="G212" i="19"/>
  <c r="T212" i="19" s="1"/>
  <c r="G204" i="19"/>
  <c r="T204" i="19" s="1"/>
  <c r="G184" i="19"/>
  <c r="T184" i="19" s="1"/>
  <c r="G178" i="19"/>
  <c r="T178" i="19" s="1"/>
  <c r="G168" i="19"/>
  <c r="T168" i="19" s="1"/>
  <c r="G158" i="19"/>
  <c r="G154" i="19"/>
  <c r="T154" i="19" s="1"/>
  <c r="G144" i="19"/>
  <c r="T144" i="19" s="1"/>
  <c r="G138" i="19"/>
  <c r="T138" i="19" s="1"/>
  <c r="G128" i="19"/>
  <c r="T128" i="19" s="1"/>
  <c r="G122" i="19"/>
  <c r="T122" i="19" s="1"/>
  <c r="G114" i="19"/>
  <c r="G102" i="19"/>
  <c r="T102" i="19" s="1"/>
  <c r="G96" i="19"/>
  <c r="T96" i="19" s="1"/>
  <c r="G80" i="19"/>
  <c r="T80" i="19" s="1"/>
  <c r="G40" i="19"/>
  <c r="G32" i="19"/>
  <c r="T32" i="19" s="1"/>
  <c r="G20" i="19"/>
  <c r="T20" i="19" s="1"/>
  <c r="G14" i="19"/>
  <c r="T14" i="19" s="1"/>
  <c r="Y193" i="19"/>
  <c r="C191" i="32" s="1"/>
  <c r="E191" i="32" s="1"/>
  <c r="Y177" i="19"/>
  <c r="C175" i="32" s="1"/>
  <c r="E175" i="32" s="1"/>
  <c r="Y113" i="19"/>
  <c r="C111" i="32" s="1"/>
  <c r="E111" i="32" s="1"/>
  <c r="Y81" i="19"/>
  <c r="C79" i="32" s="1"/>
  <c r="E79" i="32" s="1"/>
  <c r="Y311" i="19"/>
  <c r="C309" i="32" s="1"/>
  <c r="E309" i="32" s="1"/>
  <c r="Y303" i="19"/>
  <c r="C301" i="32" s="1"/>
  <c r="E301" i="32" s="1"/>
  <c r="Y295" i="19"/>
  <c r="C293" i="32" s="1"/>
  <c r="E293" i="32" s="1"/>
  <c r="Y287" i="19"/>
  <c r="C285" i="32" s="1"/>
  <c r="E285" i="32" s="1"/>
  <c r="Y279" i="19"/>
  <c r="C277" i="32" s="1"/>
  <c r="E277" i="32" s="1"/>
  <c r="Y271" i="19"/>
  <c r="C269" i="32" s="1"/>
  <c r="E269" i="32" s="1"/>
  <c r="Y263" i="19"/>
  <c r="C261" i="32" s="1"/>
  <c r="E261" i="32" s="1"/>
  <c r="Y255" i="19"/>
  <c r="C253" i="32" s="1"/>
  <c r="E253" i="32" s="1"/>
  <c r="Y247" i="19"/>
  <c r="C245" i="32" s="1"/>
  <c r="E245" i="32" s="1"/>
  <c r="Y215" i="19"/>
  <c r="C213" i="32" s="1"/>
  <c r="E213" i="32" s="1"/>
  <c r="Y207" i="19"/>
  <c r="C205" i="32" s="1"/>
  <c r="E205" i="32" s="1"/>
  <c r="Y199" i="19"/>
  <c r="C197" i="32" s="1"/>
  <c r="E197" i="32" s="1"/>
  <c r="Y191" i="19"/>
  <c r="C189" i="32" s="1"/>
  <c r="E189" i="32" s="1"/>
  <c r="Y175" i="19"/>
  <c r="C173" i="32" s="1"/>
  <c r="E173" i="32" s="1"/>
  <c r="Y23" i="19"/>
  <c r="C21" i="32" s="1"/>
  <c r="E21" i="32" s="1"/>
  <c r="Y315" i="19"/>
  <c r="C313" i="32" s="1"/>
  <c r="E313" i="32" s="1"/>
  <c r="Y307" i="19"/>
  <c r="C305" i="32" s="1"/>
  <c r="E305" i="32" s="1"/>
  <c r="Y299" i="19"/>
  <c r="C297" i="32" s="1"/>
  <c r="E297" i="32" s="1"/>
  <c r="Y291" i="19"/>
  <c r="C289" i="32" s="1"/>
  <c r="E289" i="32" s="1"/>
  <c r="Y283" i="19"/>
  <c r="C281" i="32" s="1"/>
  <c r="E281" i="32" s="1"/>
  <c r="Y275" i="19"/>
  <c r="C273" i="32" s="1"/>
  <c r="E273" i="32" s="1"/>
  <c r="Y267" i="19"/>
  <c r="C265" i="32" s="1"/>
  <c r="E265" i="32" s="1"/>
  <c r="Y259" i="19"/>
  <c r="C257" i="32" s="1"/>
  <c r="E257" i="32" s="1"/>
  <c r="Y251" i="19"/>
  <c r="C249" i="32" s="1"/>
  <c r="E249" i="32" s="1"/>
  <c r="Y243" i="19"/>
  <c r="C241" i="32" s="1"/>
  <c r="E241" i="32" s="1"/>
  <c r="Y235" i="19"/>
  <c r="C233" i="32" s="1"/>
  <c r="E233" i="32" s="1"/>
  <c r="Y227" i="19"/>
  <c r="C225" i="32" s="1"/>
  <c r="E225" i="32" s="1"/>
  <c r="Y219" i="19"/>
  <c r="C217" i="32" s="1"/>
  <c r="E217" i="32" s="1"/>
  <c r="Y211" i="19"/>
  <c r="C209" i="32" s="1"/>
  <c r="E209" i="32" s="1"/>
  <c r="Y203" i="19"/>
  <c r="C201" i="32" s="1"/>
  <c r="E201" i="32" s="1"/>
  <c r="Y195" i="19"/>
  <c r="C193" i="32" s="1"/>
  <c r="E193" i="32" s="1"/>
  <c r="Y187" i="19"/>
  <c r="C185" i="32" s="1"/>
  <c r="E185" i="32" s="1"/>
  <c r="Y179" i="19"/>
  <c r="C177" i="32" s="1"/>
  <c r="E177" i="32" s="1"/>
  <c r="Y168" i="19"/>
  <c r="C166" i="32" s="1"/>
  <c r="E166" i="32" s="1"/>
  <c r="Y163" i="19"/>
  <c r="C161" i="32" s="1"/>
  <c r="E161" i="32" s="1"/>
  <c r="Y155" i="19"/>
  <c r="C153" i="32" s="1"/>
  <c r="E153" i="32" s="1"/>
  <c r="Y152" i="19"/>
  <c r="C150" i="32" s="1"/>
  <c r="E150" i="32" s="1"/>
  <c r="Y147" i="19"/>
  <c r="C145" i="32" s="1"/>
  <c r="E145" i="32" s="1"/>
  <c r="Y139" i="19"/>
  <c r="C137" i="32" s="1"/>
  <c r="E137" i="32" s="1"/>
  <c r="Y131" i="19"/>
  <c r="C129" i="32" s="1"/>
  <c r="E129" i="32" s="1"/>
  <c r="Y123" i="19"/>
  <c r="C121" i="32" s="1"/>
  <c r="E121" i="32" s="1"/>
  <c r="Y115" i="19"/>
  <c r="C113" i="32" s="1"/>
  <c r="E113" i="32" s="1"/>
  <c r="Y107" i="19"/>
  <c r="C105" i="32" s="1"/>
  <c r="E105" i="32" s="1"/>
  <c r="Y99" i="19"/>
  <c r="C97" i="32" s="1"/>
  <c r="E97" i="32" s="1"/>
  <c r="Y91" i="19"/>
  <c r="C89" i="32" s="1"/>
  <c r="E89" i="32" s="1"/>
  <c r="Y83" i="19"/>
  <c r="C81" i="32" s="1"/>
  <c r="E81" i="32" s="1"/>
  <c r="Y75" i="19"/>
  <c r="C73" i="32" s="1"/>
  <c r="E73" i="32" s="1"/>
  <c r="Y67" i="19"/>
  <c r="C65" i="32" s="1"/>
  <c r="E65" i="32" s="1"/>
  <c r="Y59" i="19"/>
  <c r="C57" i="32" s="1"/>
  <c r="E57" i="32" s="1"/>
  <c r="Y51" i="19"/>
  <c r="C49" i="32" s="1"/>
  <c r="E49" i="32" s="1"/>
  <c r="Y43" i="19"/>
  <c r="C41" i="32" s="1"/>
  <c r="E41" i="32" s="1"/>
  <c r="Y35" i="19"/>
  <c r="C33" i="32" s="1"/>
  <c r="E33" i="32" s="1"/>
  <c r="Y32" i="19"/>
  <c r="C30" i="32" s="1"/>
  <c r="E30" i="32" s="1"/>
  <c r="Y27" i="19"/>
  <c r="C25" i="32" s="1"/>
  <c r="E25" i="32" s="1"/>
  <c r="Y19" i="19"/>
  <c r="C17" i="32" s="1"/>
  <c r="E17" i="32" s="1"/>
  <c r="Y11" i="19"/>
  <c r="C9" i="32" s="1"/>
  <c r="E9" i="32" s="1"/>
  <c r="Y312" i="19"/>
  <c r="C310" i="32" s="1"/>
  <c r="E310" i="32" s="1"/>
  <c r="Y309" i="19"/>
  <c r="C307" i="32" s="1"/>
  <c r="E307" i="32" s="1"/>
  <c r="Y304" i="19"/>
  <c r="C302" i="32" s="1"/>
  <c r="E302" i="32" s="1"/>
  <c r="Y296" i="19"/>
  <c r="C294" i="32" s="1"/>
  <c r="E294" i="32" s="1"/>
  <c r="Y293" i="19"/>
  <c r="C291" i="32" s="1"/>
  <c r="E291" i="32" s="1"/>
  <c r="Y288" i="19"/>
  <c r="C286" i="32" s="1"/>
  <c r="E286" i="32" s="1"/>
  <c r="Y280" i="19"/>
  <c r="C278" i="32" s="1"/>
  <c r="E278" i="32" s="1"/>
  <c r="Y277" i="19"/>
  <c r="C275" i="32" s="1"/>
  <c r="E275" i="32" s="1"/>
  <c r="Y272" i="19"/>
  <c r="C270" i="32" s="1"/>
  <c r="E270" i="32" s="1"/>
  <c r="Y264" i="19"/>
  <c r="C262" i="32" s="1"/>
  <c r="E262" i="32" s="1"/>
  <c r="Y261" i="19"/>
  <c r="C259" i="32" s="1"/>
  <c r="E259" i="32" s="1"/>
  <c r="Y256" i="19"/>
  <c r="C254" i="32" s="1"/>
  <c r="E254" i="32" s="1"/>
  <c r="Y248" i="19"/>
  <c r="C246" i="32" s="1"/>
  <c r="E246" i="32" s="1"/>
  <c r="Y237" i="19"/>
  <c r="C235" i="32" s="1"/>
  <c r="E235" i="32" s="1"/>
  <c r="Y229" i="19"/>
  <c r="C227" i="32" s="1"/>
  <c r="E227" i="32" s="1"/>
  <c r="Y221" i="19"/>
  <c r="C219" i="32" s="1"/>
  <c r="E219" i="32" s="1"/>
  <c r="Y218" i="19"/>
  <c r="C216" i="32" s="1"/>
  <c r="E216" i="32" s="1"/>
  <c r="Y210" i="19"/>
  <c r="C208" i="32" s="1"/>
  <c r="E208" i="32" s="1"/>
  <c r="Y202" i="19"/>
  <c r="C200" i="32" s="1"/>
  <c r="E200" i="32" s="1"/>
  <c r="Y197" i="19"/>
  <c r="C195" i="32" s="1"/>
  <c r="E195" i="32" s="1"/>
  <c r="Y194" i="19"/>
  <c r="C192" i="32" s="1"/>
  <c r="E192" i="32" s="1"/>
  <c r="Y189" i="19"/>
  <c r="C187" i="32" s="1"/>
  <c r="E187" i="32" s="1"/>
  <c r="Y178" i="19"/>
  <c r="C176" i="32" s="1"/>
  <c r="E176" i="32" s="1"/>
  <c r="Y176" i="19"/>
  <c r="C174" i="32" s="1"/>
  <c r="E174" i="32" s="1"/>
  <c r="Y160" i="19"/>
  <c r="C158" i="32" s="1"/>
  <c r="E158" i="32" s="1"/>
  <c r="Y141" i="19"/>
  <c r="C139" i="32" s="1"/>
  <c r="E139" i="32" s="1"/>
  <c r="Y133" i="19"/>
  <c r="C131" i="32" s="1"/>
  <c r="E131" i="32" s="1"/>
  <c r="Y117" i="19"/>
  <c r="C115" i="32" s="1"/>
  <c r="E115" i="32" s="1"/>
  <c r="Y101" i="19"/>
  <c r="C99" i="32" s="1"/>
  <c r="E99" i="32" s="1"/>
  <c r="Y85" i="19"/>
  <c r="C83" i="32" s="1"/>
  <c r="E83" i="32" s="1"/>
  <c r="Y69" i="19"/>
  <c r="C67" i="32" s="1"/>
  <c r="E67" i="32" s="1"/>
  <c r="Y48" i="19"/>
  <c r="C46" i="32" s="1"/>
  <c r="E46" i="32" s="1"/>
  <c r="Y21" i="19"/>
  <c r="C19" i="32" s="1"/>
  <c r="E19" i="32" s="1"/>
  <c r="G312" i="19"/>
  <c r="T312" i="19" s="1"/>
  <c r="G284" i="19"/>
  <c r="T284" i="19" s="1"/>
  <c r="G276" i="19"/>
  <c r="T276" i="19" s="1"/>
  <c r="G270" i="19"/>
  <c r="T270" i="19" s="1"/>
  <c r="G262" i="19"/>
  <c r="T262" i="19" s="1"/>
  <c r="G254" i="19"/>
  <c r="T254" i="19" s="1"/>
  <c r="G246" i="19"/>
  <c r="T246" i="19" s="1"/>
  <c r="G234" i="19"/>
  <c r="T234" i="19" s="1"/>
  <c r="G206" i="19"/>
  <c r="T206" i="19" s="1"/>
  <c r="G300" i="19"/>
  <c r="T300" i="19" s="1"/>
  <c r="G280" i="19"/>
  <c r="T280" i="19" s="1"/>
  <c r="G274" i="19"/>
  <c r="G268" i="19"/>
  <c r="T268" i="19" s="1"/>
  <c r="G258" i="19"/>
  <c r="T258" i="19" s="1"/>
  <c r="G252" i="19"/>
  <c r="T252" i="19" s="1"/>
  <c r="G222" i="19"/>
  <c r="T222" i="19" s="1"/>
  <c r="G216" i="19"/>
  <c r="T216" i="19" s="1"/>
  <c r="G289" i="19"/>
  <c r="G277" i="19"/>
  <c r="T277" i="19" s="1"/>
  <c r="G273" i="19"/>
  <c r="T273" i="19" s="1"/>
  <c r="G261" i="19"/>
  <c r="T261" i="19" s="1"/>
  <c r="G257" i="19"/>
  <c r="G253" i="19"/>
  <c r="T253" i="19" s="1"/>
  <c r="G239" i="19"/>
  <c r="G223" i="19"/>
  <c r="T223" i="19" s="1"/>
  <c r="G205" i="19"/>
  <c r="T205" i="19" s="1"/>
  <c r="G201" i="19"/>
  <c r="G193" i="19"/>
  <c r="T193" i="19" s="1"/>
  <c r="G189" i="19"/>
  <c r="G187" i="19"/>
  <c r="G175" i="19"/>
  <c r="T175" i="19" s="1"/>
  <c r="G169" i="19"/>
  <c r="T169" i="19" s="1"/>
  <c r="G153" i="19"/>
  <c r="G137" i="19"/>
  <c r="T137" i="19" s="1"/>
  <c r="G121" i="19"/>
  <c r="G113" i="19"/>
  <c r="T113" i="19" s="1"/>
  <c r="G105" i="19"/>
  <c r="T105" i="19" s="1"/>
  <c r="G97" i="19"/>
  <c r="T97" i="19" s="1"/>
  <c r="G95" i="19"/>
  <c r="T95" i="19" s="1"/>
  <c r="G85" i="19"/>
  <c r="T85" i="19" s="1"/>
  <c r="G81" i="19"/>
  <c r="T81" i="19" s="1"/>
  <c r="G79" i="19"/>
  <c r="G73" i="19"/>
  <c r="T73" i="19" s="1"/>
  <c r="G69" i="19"/>
  <c r="T69" i="19" s="1"/>
  <c r="G63" i="19"/>
  <c r="T63" i="19" s="1"/>
  <c r="G61" i="19"/>
  <c r="G57" i="19"/>
  <c r="G55" i="19"/>
  <c r="T55" i="19" s="1"/>
  <c r="G53" i="19"/>
  <c r="T53" i="19" s="1"/>
  <c r="G39" i="19"/>
  <c r="T39" i="19" s="1"/>
  <c r="G37" i="19"/>
  <c r="T37" i="19" s="1"/>
  <c r="G33" i="19"/>
  <c r="T33" i="19" s="1"/>
  <c r="G31" i="19"/>
  <c r="G25" i="19"/>
  <c r="T25" i="19" s="1"/>
  <c r="G23" i="19"/>
  <c r="T23" i="19" s="1"/>
  <c r="G308" i="19"/>
  <c r="T308" i="19" s="1"/>
  <c r="G292" i="19"/>
  <c r="T292" i="19" s="1"/>
  <c r="G278" i="19"/>
  <c r="T278" i="19" s="1"/>
  <c r="G266" i="19"/>
  <c r="T266" i="19" s="1"/>
  <c r="G260" i="19"/>
  <c r="T260" i="19" s="1"/>
  <c r="G250" i="19"/>
  <c r="T250" i="19" s="1"/>
  <c r="G242" i="19"/>
  <c r="T242" i="19" s="1"/>
  <c r="G226" i="19"/>
  <c r="T226" i="19" s="1"/>
  <c r="G208" i="19"/>
  <c r="T208" i="19" s="1"/>
  <c r="G305" i="19"/>
  <c r="G269" i="19"/>
  <c r="T269" i="19" s="1"/>
  <c r="G311" i="19"/>
  <c r="T311" i="19" s="1"/>
  <c r="G309" i="19"/>
  <c r="T309" i="19" s="1"/>
  <c r="G307" i="19"/>
  <c r="G303" i="19"/>
  <c r="T303" i="19" s="1"/>
  <c r="G301" i="19"/>
  <c r="T301" i="19" s="1"/>
  <c r="G299" i="19"/>
  <c r="T299" i="19" s="1"/>
  <c r="G295" i="19"/>
  <c r="G293" i="19"/>
  <c r="T293" i="19" s="1"/>
  <c r="G291" i="19"/>
  <c r="G287" i="19"/>
  <c r="G285" i="19"/>
  <c r="T285" i="19" s="1"/>
  <c r="G283" i="19"/>
  <c r="G275" i="19"/>
  <c r="T275" i="19" s="1"/>
  <c r="G267" i="19"/>
  <c r="T267" i="19" s="1"/>
  <c r="G259" i="19"/>
  <c r="T259" i="19" s="1"/>
  <c r="G251" i="19"/>
  <c r="T251" i="19" s="1"/>
  <c r="G243" i="19"/>
  <c r="G241" i="19"/>
  <c r="G237" i="19"/>
  <c r="T237" i="19" s="1"/>
  <c r="G235" i="19"/>
  <c r="T235" i="19" s="1"/>
  <c r="G233" i="19"/>
  <c r="T233" i="19" s="1"/>
  <c r="G229" i="19"/>
  <c r="T229" i="19" s="1"/>
  <c r="G227" i="19"/>
  <c r="G225" i="19"/>
  <c r="G219" i="19"/>
  <c r="T219" i="19" s="1"/>
  <c r="G202" i="19"/>
  <c r="T202" i="19" s="1"/>
  <c r="G200" i="19"/>
  <c r="T200" i="19" s="1"/>
  <c r="G198" i="19"/>
  <c r="T198" i="19" s="1"/>
  <c r="G194" i="19"/>
  <c r="T194" i="19" s="1"/>
  <c r="G192" i="19"/>
  <c r="T192" i="19" s="1"/>
  <c r="G190" i="19"/>
  <c r="T190" i="19" s="1"/>
  <c r="G188" i="19"/>
  <c r="T188" i="19" s="1"/>
  <c r="G182" i="19"/>
  <c r="T182" i="19" s="1"/>
  <c r="G176" i="19"/>
  <c r="T176" i="19" s="1"/>
  <c r="G174" i="19"/>
  <c r="T174" i="19" s="1"/>
  <c r="G172" i="19"/>
  <c r="T172" i="19" s="1"/>
  <c r="G164" i="19"/>
  <c r="T164" i="19" s="1"/>
  <c r="G156" i="19"/>
  <c r="T156" i="19" s="1"/>
  <c r="G148" i="19"/>
  <c r="T148" i="19" s="1"/>
  <c r="G140" i="19"/>
  <c r="T140" i="19" s="1"/>
  <c r="G132" i="19"/>
  <c r="T132" i="19" s="1"/>
  <c r="G124" i="19"/>
  <c r="T124" i="19" s="1"/>
  <c r="G116" i="19"/>
  <c r="T116" i="19" s="1"/>
  <c r="G108" i="19"/>
  <c r="T108" i="19" s="1"/>
  <c r="G100" i="19"/>
  <c r="T100" i="19" s="1"/>
  <c r="G98" i="19"/>
  <c r="T98" i="19" s="1"/>
  <c r="G94" i="19"/>
  <c r="G92" i="19"/>
  <c r="G90" i="19"/>
  <c r="T90" i="19" s="1"/>
  <c r="G86" i="19"/>
  <c r="T86" i="19" s="1"/>
  <c r="G84" i="19"/>
  <c r="T84" i="19" s="1"/>
  <c r="G82" i="19"/>
  <c r="G78" i="19"/>
  <c r="T78" i="19" s="1"/>
  <c r="G76" i="19"/>
  <c r="T76" i="19" s="1"/>
  <c r="G74" i="19"/>
  <c r="G70" i="19"/>
  <c r="G68" i="19"/>
  <c r="T68" i="19" s="1"/>
  <c r="G66" i="19"/>
  <c r="T66" i="19" s="1"/>
  <c r="G62" i="19"/>
  <c r="T62" i="19" s="1"/>
  <c r="G60" i="19"/>
  <c r="T60" i="19" s="1"/>
  <c r="G58" i="19"/>
  <c r="T58" i="19" s="1"/>
  <c r="G54" i="19"/>
  <c r="G52" i="19"/>
  <c r="T52" i="19" s="1"/>
  <c r="G50" i="19"/>
  <c r="G46" i="19"/>
  <c r="T46" i="19" s="1"/>
  <c r="G44" i="19"/>
  <c r="T44" i="19" s="1"/>
  <c r="G42" i="19"/>
  <c r="T42" i="19" s="1"/>
  <c r="G38" i="19"/>
  <c r="T38" i="19" s="1"/>
  <c r="G36" i="19"/>
  <c r="T36" i="19" s="1"/>
  <c r="G34" i="19"/>
  <c r="T34" i="19" s="1"/>
  <c r="G30" i="19"/>
  <c r="T30" i="19" s="1"/>
  <c r="G28" i="19"/>
  <c r="T28" i="19" s="1"/>
  <c r="G26" i="19"/>
  <c r="G24" i="19"/>
  <c r="T24" i="19" s="1"/>
  <c r="G18" i="19"/>
  <c r="T18" i="19" s="1"/>
  <c r="G10" i="19"/>
  <c r="G217" i="19"/>
  <c r="T217" i="19" s="1"/>
  <c r="G215" i="19"/>
  <c r="T215" i="19" s="1"/>
  <c r="G211" i="19"/>
  <c r="G209" i="19"/>
  <c r="G207" i="19"/>
  <c r="T207" i="19" s="1"/>
  <c r="G199" i="19"/>
  <c r="T199" i="19" s="1"/>
  <c r="G191" i="19"/>
  <c r="T191" i="19" s="1"/>
  <c r="G185" i="19"/>
  <c r="T185" i="19" s="1"/>
  <c r="G183" i="19"/>
  <c r="G181" i="19"/>
  <c r="T181" i="19" s="1"/>
  <c r="G177" i="19"/>
  <c r="T177" i="19" s="1"/>
  <c r="G173" i="19"/>
  <c r="G167" i="19"/>
  <c r="T167" i="19" s="1"/>
  <c r="G165" i="19"/>
  <c r="T165" i="19" s="1"/>
  <c r="G163" i="19"/>
  <c r="T163" i="19" s="1"/>
  <c r="G159" i="19"/>
  <c r="G157" i="19"/>
  <c r="G155" i="19"/>
  <c r="T155" i="19" s="1"/>
  <c r="G151" i="19"/>
  <c r="G149" i="19"/>
  <c r="T149" i="19" s="1"/>
  <c r="G147" i="19"/>
  <c r="T147" i="19" s="1"/>
  <c r="G143" i="19"/>
  <c r="T143" i="19" s="1"/>
  <c r="G141" i="19"/>
  <c r="T141" i="19" s="1"/>
  <c r="G139" i="19"/>
  <c r="T139" i="19" s="1"/>
  <c r="G135" i="19"/>
  <c r="G133" i="19"/>
  <c r="G131" i="19"/>
  <c r="T131" i="19" s="1"/>
  <c r="G127" i="19"/>
  <c r="T127" i="19" s="1"/>
  <c r="G125" i="19"/>
  <c r="G123" i="19"/>
  <c r="G119" i="19"/>
  <c r="T119" i="19" s="1"/>
  <c r="G117" i="19"/>
  <c r="T117" i="19" s="1"/>
  <c r="G115" i="19"/>
  <c r="G111" i="19"/>
  <c r="T111" i="19" s="1"/>
  <c r="G109" i="19"/>
  <c r="G107" i="19"/>
  <c r="G103" i="19"/>
  <c r="T103" i="19" s="1"/>
  <c r="G101" i="19"/>
  <c r="T101" i="19" s="1"/>
  <c r="G99" i="19"/>
  <c r="T99" i="19" s="1"/>
  <c r="G91" i="19"/>
  <c r="T91" i="19" s="1"/>
  <c r="G83" i="19"/>
  <c r="G75" i="19"/>
  <c r="T75" i="19" s="1"/>
  <c r="G67" i="19"/>
  <c r="T67" i="19" s="1"/>
  <c r="G59" i="19"/>
  <c r="T59" i="19" s="1"/>
  <c r="G51" i="19"/>
  <c r="T51" i="19" s="1"/>
  <c r="G43" i="19"/>
  <c r="T43" i="19" s="1"/>
  <c r="G35" i="19"/>
  <c r="G27" i="19"/>
  <c r="T27" i="19" s="1"/>
  <c r="G21" i="19"/>
  <c r="G19" i="19"/>
  <c r="G17" i="19"/>
  <c r="T17" i="19" s="1"/>
  <c r="G13" i="19"/>
  <c r="G11" i="19"/>
  <c r="T11" i="19" s="1"/>
  <c r="G9" i="19"/>
  <c r="T9" i="19" s="1"/>
  <c r="Y200" i="19"/>
  <c r="C198" i="32" s="1"/>
  <c r="E198" i="32" s="1"/>
  <c r="Y216" i="19"/>
  <c r="C214" i="32" s="1"/>
  <c r="E214" i="32" s="1"/>
  <c r="Y208" i="19"/>
  <c r="C206" i="32" s="1"/>
  <c r="E206" i="32" s="1"/>
  <c r="Y88" i="19"/>
  <c r="C86" i="32" s="1"/>
  <c r="E86" i="32" s="1"/>
  <c r="Y80" i="19"/>
  <c r="C78" i="32" s="1"/>
  <c r="E78" i="32" s="1"/>
  <c r="Y173" i="19"/>
  <c r="C171" i="32" s="1"/>
  <c r="E171" i="32" s="1"/>
  <c r="Y125" i="19"/>
  <c r="C123" i="32" s="1"/>
  <c r="E123" i="32" s="1"/>
  <c r="Y53" i="19"/>
  <c r="C51" i="32" s="1"/>
  <c r="E51" i="32" s="1"/>
  <c r="Y37" i="19"/>
  <c r="C35" i="32" s="1"/>
  <c r="E35" i="32" s="1"/>
  <c r="Y314" i="19"/>
  <c r="C312" i="32" s="1"/>
  <c r="E312" i="32" s="1"/>
  <c r="Y306" i="19"/>
  <c r="C304" i="32" s="1"/>
  <c r="E304" i="32" s="1"/>
  <c r="Y298" i="19"/>
  <c r="C296" i="32" s="1"/>
  <c r="E296" i="32" s="1"/>
  <c r="Y290" i="19"/>
  <c r="C288" i="32" s="1"/>
  <c r="E288" i="32" s="1"/>
  <c r="Y282" i="19"/>
  <c r="C280" i="32" s="1"/>
  <c r="E280" i="32" s="1"/>
  <c r="Y274" i="19"/>
  <c r="C272" i="32" s="1"/>
  <c r="E272" i="32" s="1"/>
  <c r="Y266" i="19"/>
  <c r="C264" i="32" s="1"/>
  <c r="E264" i="32" s="1"/>
  <c r="Y258" i="19"/>
  <c r="C256" i="32" s="1"/>
  <c r="E256" i="32" s="1"/>
  <c r="Y250" i="19"/>
  <c r="C248" i="32" s="1"/>
  <c r="E248" i="32" s="1"/>
  <c r="Y242" i="19"/>
  <c r="C240" i="32" s="1"/>
  <c r="E240" i="32" s="1"/>
  <c r="Y234" i="19"/>
  <c r="C232" i="32" s="1"/>
  <c r="E232" i="32" s="1"/>
  <c r="Y226" i="19"/>
  <c r="C224" i="32" s="1"/>
  <c r="E224" i="32" s="1"/>
  <c r="Y170" i="19"/>
  <c r="C168" i="32" s="1"/>
  <c r="E168" i="32" s="1"/>
  <c r="Y162" i="19"/>
  <c r="C160" i="32" s="1"/>
  <c r="E160" i="32" s="1"/>
  <c r="Y154" i="19"/>
  <c r="C152" i="32" s="1"/>
  <c r="E152" i="32" s="1"/>
  <c r="Y146" i="19"/>
  <c r="C144" i="32" s="1"/>
  <c r="E144" i="32" s="1"/>
  <c r="Y138" i="19"/>
  <c r="C136" i="32" s="1"/>
  <c r="E136" i="32" s="1"/>
  <c r="Y10" i="19"/>
  <c r="C8" i="32" s="1"/>
  <c r="E8" i="32" s="1"/>
  <c r="Y232" i="19"/>
  <c r="C230" i="32" s="1"/>
  <c r="E230" i="32" s="1"/>
  <c r="Y192" i="19"/>
  <c r="C190" i="32" s="1"/>
  <c r="E190" i="32" s="1"/>
  <c r="Y184" i="19"/>
  <c r="C182" i="32" s="1"/>
  <c r="E182" i="32" s="1"/>
  <c r="Y136" i="19"/>
  <c r="C134" i="32" s="1"/>
  <c r="E134" i="32" s="1"/>
  <c r="Y128" i="19"/>
  <c r="C126" i="32" s="1"/>
  <c r="E126" i="32" s="1"/>
  <c r="Y120" i="19"/>
  <c r="C118" i="32" s="1"/>
  <c r="E118" i="32" s="1"/>
  <c r="Y64" i="19"/>
  <c r="C62" i="32" s="1"/>
  <c r="E62" i="32" s="1"/>
  <c r="Y40" i="19"/>
  <c r="C38" i="32" s="1"/>
  <c r="E38" i="32" s="1"/>
  <c r="Y8" i="19"/>
  <c r="C6" i="32" s="1"/>
  <c r="E6" i="32" s="1"/>
  <c r="Y165" i="19"/>
  <c r="C163" i="32" s="1"/>
  <c r="E163" i="32" s="1"/>
  <c r="Y157" i="19"/>
  <c r="C155" i="32" s="1"/>
  <c r="E155" i="32" s="1"/>
  <c r="Y109" i="19"/>
  <c r="C107" i="32" s="1"/>
  <c r="E107" i="32" s="1"/>
  <c r="Y45" i="19"/>
  <c r="C43" i="32" s="1"/>
  <c r="E43" i="32" s="1"/>
  <c r="Y29" i="19"/>
  <c r="C27" i="32" s="1"/>
  <c r="E27" i="32" s="1"/>
  <c r="Y224" i="19"/>
  <c r="C222" i="32" s="1"/>
  <c r="E222" i="32" s="1"/>
  <c r="Y144" i="19"/>
  <c r="C142" i="32" s="1"/>
  <c r="E142" i="32" s="1"/>
  <c r="Y112" i="19"/>
  <c r="C110" i="32" s="1"/>
  <c r="E110" i="32" s="1"/>
  <c r="Y104" i="19"/>
  <c r="C102" i="32" s="1"/>
  <c r="E102" i="32" s="1"/>
  <c r="Y96" i="19"/>
  <c r="C94" i="32" s="1"/>
  <c r="E94" i="32" s="1"/>
  <c r="Y72" i="19"/>
  <c r="C70" i="32" s="1"/>
  <c r="E70" i="32" s="1"/>
  <c r="Y56" i="19"/>
  <c r="C54" i="32" s="1"/>
  <c r="E54" i="32" s="1"/>
  <c r="Y24" i="19"/>
  <c r="C22" i="32" s="1"/>
  <c r="E22" i="32" s="1"/>
  <c r="Y16" i="19"/>
  <c r="C14" i="32" s="1"/>
  <c r="E14" i="32" s="1"/>
  <c r="Y213" i="19"/>
  <c r="C211" i="32" s="1"/>
  <c r="E211" i="32" s="1"/>
  <c r="Y205" i="19"/>
  <c r="C203" i="32" s="1"/>
  <c r="E203" i="32" s="1"/>
  <c r="Y181" i="19"/>
  <c r="C179" i="32" s="1"/>
  <c r="E179" i="32" s="1"/>
  <c r="Y149" i="19"/>
  <c r="C147" i="32" s="1"/>
  <c r="E147" i="32" s="1"/>
  <c r="Y93" i="19"/>
  <c r="C91" i="32" s="1"/>
  <c r="E91" i="32" s="1"/>
  <c r="Y77" i="19"/>
  <c r="C75" i="32" s="1"/>
  <c r="E75" i="32" s="1"/>
  <c r="Y137" i="19"/>
  <c r="C135" i="32" s="1"/>
  <c r="E135" i="32" s="1"/>
  <c r="Y57" i="19"/>
  <c r="C55" i="32" s="1"/>
  <c r="E55" i="32" s="1"/>
  <c r="Y49" i="19"/>
  <c r="C47" i="32" s="1"/>
  <c r="E47" i="32" s="1"/>
  <c r="Y41" i="19"/>
  <c r="C39" i="32" s="1"/>
  <c r="E39" i="32" s="1"/>
  <c r="Y33" i="19"/>
  <c r="C31" i="32" s="1"/>
  <c r="E31" i="32" s="1"/>
  <c r="Y25" i="19"/>
  <c r="C23" i="32" s="1"/>
  <c r="E23" i="32" s="1"/>
  <c r="Y17" i="19"/>
  <c r="C15" i="32" s="1"/>
  <c r="E15" i="32" s="1"/>
  <c r="Y9" i="19"/>
  <c r="C7" i="32" s="1"/>
  <c r="E7" i="32" s="1"/>
  <c r="Y13" i="19"/>
  <c r="C11" i="32" s="1"/>
  <c r="E11" i="32" s="1"/>
  <c r="Y130" i="19"/>
  <c r="C128" i="32" s="1"/>
  <c r="E128" i="32" s="1"/>
  <c r="Y122" i="19"/>
  <c r="C120" i="32" s="1"/>
  <c r="E120" i="32" s="1"/>
  <c r="Y114" i="19"/>
  <c r="C112" i="32" s="1"/>
  <c r="E112" i="32" s="1"/>
  <c r="Y106" i="19"/>
  <c r="C104" i="32" s="1"/>
  <c r="E104" i="32" s="1"/>
  <c r="Y98" i="19"/>
  <c r="C96" i="32" s="1"/>
  <c r="E96" i="32" s="1"/>
  <c r="Y90" i="19"/>
  <c r="C88" i="32" s="1"/>
  <c r="E88" i="32" s="1"/>
  <c r="Y82" i="19"/>
  <c r="C80" i="32" s="1"/>
  <c r="E80" i="32" s="1"/>
  <c r="Y74" i="19"/>
  <c r="C72" i="32" s="1"/>
  <c r="E72" i="32" s="1"/>
  <c r="Y66" i="19"/>
  <c r="C64" i="32" s="1"/>
  <c r="E64" i="32" s="1"/>
  <c r="Y58" i="19"/>
  <c r="C56" i="32" s="1"/>
  <c r="E56" i="32" s="1"/>
  <c r="Y50" i="19"/>
  <c r="C48" i="32" s="1"/>
  <c r="E48" i="32" s="1"/>
  <c r="Y42" i="19"/>
  <c r="C40" i="32" s="1"/>
  <c r="E40" i="32" s="1"/>
  <c r="Y34" i="19"/>
  <c r="C32" i="32" s="1"/>
  <c r="E32" i="32" s="1"/>
  <c r="Y26" i="19"/>
  <c r="C24" i="32" s="1"/>
  <c r="E24" i="32" s="1"/>
  <c r="Y18" i="19"/>
  <c r="C16" i="32" s="1"/>
  <c r="E16" i="32" s="1"/>
  <c r="Y183" i="19"/>
  <c r="C181" i="32" s="1"/>
  <c r="E181" i="32" s="1"/>
  <c r="Y151" i="19"/>
  <c r="C149" i="32" s="1"/>
  <c r="E149" i="32" s="1"/>
  <c r="Y55" i="19"/>
  <c r="C53" i="32" s="1"/>
  <c r="E53" i="32" s="1"/>
  <c r="Y47" i="19"/>
  <c r="C45" i="32" s="1"/>
  <c r="E45" i="32" s="1"/>
  <c r="Y39" i="19"/>
  <c r="C37" i="32" s="1"/>
  <c r="E37" i="32" s="1"/>
  <c r="Y31" i="19"/>
  <c r="C29" i="32" s="1"/>
  <c r="E29" i="32" s="1"/>
  <c r="Y15" i="19"/>
  <c r="C13" i="32" s="1"/>
  <c r="E13" i="32" s="1"/>
  <c r="L170" i="13"/>
  <c r="M170" i="13" s="1"/>
  <c r="E170" i="49"/>
  <c r="L219" i="13"/>
  <c r="M219" i="13" s="1"/>
  <c r="E219" i="49"/>
  <c r="E244" i="49"/>
  <c r="L244" i="13"/>
  <c r="M244" i="13" s="1"/>
  <c r="Y171" i="19"/>
  <c r="C169" i="32" s="1"/>
  <c r="E169" i="32" s="1"/>
  <c r="G171" i="19"/>
  <c r="T171" i="19" s="1"/>
  <c r="H170" i="49" s="1"/>
  <c r="D170" i="49"/>
  <c r="Y220" i="19"/>
  <c r="C218" i="32" s="1"/>
  <c r="E218" i="32" s="1"/>
  <c r="G220" i="19"/>
  <c r="T220" i="19" s="1"/>
  <c r="H219" i="49" s="1"/>
  <c r="D219" i="49"/>
  <c r="Y245" i="19"/>
  <c r="C243" i="32" s="1"/>
  <c r="E243" i="32" s="1"/>
  <c r="G245" i="19"/>
  <c r="T245" i="19" s="1"/>
  <c r="H244" i="49" s="1"/>
  <c r="D244" i="49"/>
  <c r="Y61" i="19"/>
  <c r="C59" i="32" s="1"/>
  <c r="E59" i="32" s="1"/>
  <c r="Y132" i="19"/>
  <c r="C130" i="32" s="1"/>
  <c r="E130" i="32" s="1"/>
  <c r="T241" i="19" l="1"/>
  <c r="R241" i="19"/>
  <c r="U241" i="19" s="1"/>
  <c r="R240" i="19"/>
  <c r="U240" i="19" s="1"/>
  <c r="T240" i="19"/>
  <c r="T239" i="19"/>
  <c r="R239" i="19"/>
  <c r="U239" i="19" s="1"/>
  <c r="R287" i="19"/>
  <c r="U287" i="19" s="1"/>
  <c r="R263" i="19"/>
  <c r="U263" i="19" s="1"/>
  <c r="R212" i="19"/>
  <c r="U212" i="19" s="1"/>
  <c r="R31" i="19"/>
  <c r="U31" i="19" s="1"/>
  <c r="R279" i="19"/>
  <c r="U279" i="19" s="1"/>
  <c r="R15" i="19"/>
  <c r="U15" i="19" s="1"/>
  <c r="R159" i="19"/>
  <c r="U159" i="19" s="1"/>
  <c r="R47" i="19"/>
  <c r="U47" i="19" s="1"/>
  <c r="R48" i="19"/>
  <c r="U48" i="19" s="1"/>
  <c r="R170" i="19"/>
  <c r="U170" i="19" s="1"/>
  <c r="R283" i="19"/>
  <c r="U283" i="19" s="1"/>
  <c r="R315" i="19"/>
  <c r="U315" i="19" s="1"/>
  <c r="R88" i="19"/>
  <c r="U88" i="19" s="1"/>
  <c r="R87" i="19"/>
  <c r="U87" i="19" s="1"/>
  <c r="R57" i="19"/>
  <c r="U57" i="19" s="1"/>
  <c r="R215" i="19"/>
  <c r="U215" i="19" s="1"/>
  <c r="R196" i="19"/>
  <c r="U196" i="19" s="1"/>
  <c r="R16" i="19"/>
  <c r="U16" i="19" s="1"/>
  <c r="R135" i="19"/>
  <c r="U135" i="19" s="1"/>
  <c r="R213" i="19"/>
  <c r="U213" i="19" s="1"/>
  <c r="R10" i="19"/>
  <c r="U10" i="19" s="1"/>
  <c r="R82" i="19"/>
  <c r="U82" i="19" s="1"/>
  <c r="R225" i="19"/>
  <c r="U225" i="19" s="1"/>
  <c r="R265" i="19"/>
  <c r="U265" i="19" s="1"/>
  <c r="R74" i="19"/>
  <c r="U74" i="19" s="1"/>
  <c r="R153" i="19"/>
  <c r="U153" i="19" s="1"/>
  <c r="R71" i="19"/>
  <c r="U71" i="19" s="1"/>
  <c r="T57" i="19"/>
  <c r="R30" i="19"/>
  <c r="U30" i="19" s="1"/>
  <c r="R46" i="19"/>
  <c r="U46" i="19" s="1"/>
  <c r="R193" i="19"/>
  <c r="U193" i="19" s="1"/>
  <c r="T287" i="19"/>
  <c r="R264" i="19"/>
  <c r="U264" i="19" s="1"/>
  <c r="R93" i="19"/>
  <c r="U93" i="19" s="1"/>
  <c r="R182" i="19"/>
  <c r="U182" i="19" s="1"/>
  <c r="R142" i="19"/>
  <c r="U142" i="19" s="1"/>
  <c r="R203" i="19"/>
  <c r="U203" i="19" s="1"/>
  <c r="R165" i="19"/>
  <c r="U165" i="19" s="1"/>
  <c r="R232" i="19"/>
  <c r="U232" i="19" s="1"/>
  <c r="R22" i="19"/>
  <c r="U22" i="19" s="1"/>
  <c r="R32" i="19"/>
  <c r="U32" i="19" s="1"/>
  <c r="R268" i="19"/>
  <c r="U268" i="19" s="1"/>
  <c r="R69" i="19"/>
  <c r="U69" i="19" s="1"/>
  <c r="R147" i="19"/>
  <c r="U147" i="19" s="1"/>
  <c r="R143" i="19"/>
  <c r="U143" i="19" s="1"/>
  <c r="R41" i="19"/>
  <c r="U41" i="19" s="1"/>
  <c r="R303" i="19"/>
  <c r="U303" i="19" s="1"/>
  <c r="T47" i="19"/>
  <c r="T10" i="19"/>
  <c r="R112" i="19"/>
  <c r="U112" i="19" s="1"/>
  <c r="R197" i="19"/>
  <c r="U197" i="19" s="1"/>
  <c r="R286" i="19"/>
  <c r="U286" i="19" s="1"/>
  <c r="R133" i="19"/>
  <c r="U133" i="19" s="1"/>
  <c r="R223" i="19"/>
  <c r="U223" i="19" s="1"/>
  <c r="R95" i="19"/>
  <c r="U95" i="19" s="1"/>
  <c r="R80" i="19"/>
  <c r="U80" i="19" s="1"/>
  <c r="R43" i="19"/>
  <c r="U43" i="19" s="1"/>
  <c r="R108" i="19"/>
  <c r="U108" i="19" s="1"/>
  <c r="R172" i="19"/>
  <c r="U172" i="19" s="1"/>
  <c r="R120" i="19"/>
  <c r="U120" i="19" s="1"/>
  <c r="R38" i="19"/>
  <c r="U38" i="19" s="1"/>
  <c r="R115" i="19"/>
  <c r="U115" i="19" s="1"/>
  <c r="R185" i="19"/>
  <c r="U185" i="19" s="1"/>
  <c r="R60" i="19"/>
  <c r="U60" i="19" s="1"/>
  <c r="R23" i="19"/>
  <c r="U23" i="19" s="1"/>
  <c r="R76" i="19"/>
  <c r="U76" i="19" s="1"/>
  <c r="T87" i="19"/>
  <c r="R117" i="19"/>
  <c r="U117" i="19" s="1"/>
  <c r="R253" i="19"/>
  <c r="U253" i="19" s="1"/>
  <c r="R206" i="19"/>
  <c r="U206" i="19" s="1"/>
  <c r="R50" i="19"/>
  <c r="U50" i="19" s="1"/>
  <c r="R139" i="19"/>
  <c r="U139" i="19" s="1"/>
  <c r="R24" i="19"/>
  <c r="U24" i="19" s="1"/>
  <c r="T159" i="19"/>
  <c r="T82" i="19"/>
  <c r="T31" i="19"/>
  <c r="R109" i="19"/>
  <c r="U109" i="19" s="1"/>
  <c r="R238" i="19"/>
  <c r="U238" i="19" s="1"/>
  <c r="R179" i="19"/>
  <c r="U179" i="19" s="1"/>
  <c r="R119" i="19"/>
  <c r="U119" i="19" s="1"/>
  <c r="R247" i="19"/>
  <c r="U247" i="19" s="1"/>
  <c r="R313" i="19"/>
  <c r="U313" i="19" s="1"/>
  <c r="R34" i="19"/>
  <c r="U34" i="19" s="1"/>
  <c r="R300" i="19"/>
  <c r="U300" i="19" s="1"/>
  <c r="R56" i="19"/>
  <c r="U56" i="19" s="1"/>
  <c r="R184" i="19"/>
  <c r="U184" i="19" s="1"/>
  <c r="R141" i="19"/>
  <c r="U141" i="19" s="1"/>
  <c r="R157" i="19"/>
  <c r="U157" i="19" s="1"/>
  <c r="R183" i="19"/>
  <c r="U183" i="19" s="1"/>
  <c r="R100" i="19"/>
  <c r="U100" i="19" s="1"/>
  <c r="R191" i="19"/>
  <c r="U191" i="19" s="1"/>
  <c r="R255" i="19"/>
  <c r="U255" i="19" s="1"/>
  <c r="R101" i="19"/>
  <c r="U101" i="19" s="1"/>
  <c r="R271" i="19"/>
  <c r="U271" i="19" s="1"/>
  <c r="R234" i="19"/>
  <c r="U234" i="19" s="1"/>
  <c r="R64" i="19"/>
  <c r="U64" i="19" s="1"/>
  <c r="R285" i="19"/>
  <c r="U285" i="19" s="1"/>
  <c r="R91" i="19"/>
  <c r="U91" i="19" s="1"/>
  <c r="R65" i="19"/>
  <c r="U65" i="19" s="1"/>
  <c r="R162" i="19"/>
  <c r="U162" i="19" s="1"/>
  <c r="R195" i="19"/>
  <c r="U195" i="19" s="1"/>
  <c r="R35" i="19"/>
  <c r="U35" i="19" s="1"/>
  <c r="R307" i="19"/>
  <c r="U307" i="19" s="1"/>
  <c r="R174" i="19"/>
  <c r="U174" i="19" s="1"/>
  <c r="R81" i="19"/>
  <c r="U81" i="19" s="1"/>
  <c r="T153" i="19"/>
  <c r="R281" i="19"/>
  <c r="U281" i="19" s="1"/>
  <c r="R29" i="19"/>
  <c r="U29" i="19" s="1"/>
  <c r="T133" i="19"/>
  <c r="R221" i="19"/>
  <c r="U221" i="19" s="1"/>
  <c r="R258" i="19"/>
  <c r="U258" i="19" s="1"/>
  <c r="R237" i="19"/>
  <c r="U237" i="19" s="1"/>
  <c r="R309" i="19"/>
  <c r="U309" i="19" s="1"/>
  <c r="R207" i="19"/>
  <c r="U207" i="19" s="1"/>
  <c r="R243" i="19"/>
  <c r="U243" i="19" s="1"/>
  <c r="R113" i="19"/>
  <c r="U113" i="19" s="1"/>
  <c r="R89" i="19"/>
  <c r="U89" i="19" s="1"/>
  <c r="R299" i="19"/>
  <c r="U299" i="19" s="1"/>
  <c r="R126" i="19"/>
  <c r="U126" i="19" s="1"/>
  <c r="R145" i="19"/>
  <c r="U145" i="19" s="1"/>
  <c r="R154" i="19"/>
  <c r="U154" i="19" s="1"/>
  <c r="T35" i="19"/>
  <c r="T307" i="19"/>
  <c r="R62" i="19"/>
  <c r="U62" i="19" s="1"/>
  <c r="R308" i="19"/>
  <c r="U308" i="19" s="1"/>
  <c r="R84" i="19"/>
  <c r="U84" i="19" s="1"/>
  <c r="R276" i="19"/>
  <c r="U276" i="19" s="1"/>
  <c r="R288" i="19"/>
  <c r="U288" i="19" s="1"/>
  <c r="R14" i="19"/>
  <c r="U14" i="19" s="1"/>
  <c r="R127" i="19"/>
  <c r="U127" i="19" s="1"/>
  <c r="R121" i="19"/>
  <c r="U121" i="19" s="1"/>
  <c r="R201" i="19"/>
  <c r="U201" i="19" s="1"/>
  <c r="R274" i="19"/>
  <c r="U274" i="19" s="1"/>
  <c r="R33" i="19"/>
  <c r="U33" i="19" s="1"/>
  <c r="R161" i="19"/>
  <c r="U161" i="19" s="1"/>
  <c r="R146" i="19"/>
  <c r="U146" i="19" s="1"/>
  <c r="R49" i="19"/>
  <c r="U49" i="19" s="1"/>
  <c r="R12" i="19"/>
  <c r="U12" i="19" s="1"/>
  <c r="R302" i="19"/>
  <c r="U302" i="19" s="1"/>
  <c r="R155" i="19"/>
  <c r="U155" i="19" s="1"/>
  <c r="R129" i="19"/>
  <c r="U129" i="19" s="1"/>
  <c r="R231" i="19"/>
  <c r="U231" i="19" s="1"/>
  <c r="R122" i="19"/>
  <c r="U122" i="19" s="1"/>
  <c r="R169" i="19"/>
  <c r="U169" i="19" s="1"/>
  <c r="R199" i="19"/>
  <c r="U199" i="19" s="1"/>
  <c r="R86" i="19"/>
  <c r="U86" i="19" s="1"/>
  <c r="R150" i="19"/>
  <c r="U150" i="19" s="1"/>
  <c r="R214" i="19"/>
  <c r="U214" i="19" s="1"/>
  <c r="R151" i="19"/>
  <c r="U151" i="19" s="1"/>
  <c r="R211" i="19"/>
  <c r="U211" i="19" s="1"/>
  <c r="R94" i="19"/>
  <c r="U94" i="19" s="1"/>
  <c r="R305" i="19"/>
  <c r="U305" i="19" s="1"/>
  <c r="R79" i="19"/>
  <c r="U79" i="19" s="1"/>
  <c r="R289" i="19"/>
  <c r="U289" i="19" s="1"/>
  <c r="R272" i="19"/>
  <c r="U272" i="19" s="1"/>
  <c r="R28" i="19"/>
  <c r="U28" i="19" s="1"/>
  <c r="R168" i="19"/>
  <c r="U168" i="19" s="1"/>
  <c r="R227" i="19"/>
  <c r="U227" i="19" s="1"/>
  <c r="R295" i="19"/>
  <c r="U295" i="19" s="1"/>
  <c r="R114" i="19"/>
  <c r="U114" i="19" s="1"/>
  <c r="R298" i="19"/>
  <c r="U298" i="19" s="1"/>
  <c r="R110" i="19"/>
  <c r="U110" i="19" s="1"/>
  <c r="R301" i="19"/>
  <c r="U301" i="19" s="1"/>
  <c r="R228" i="19"/>
  <c r="U228" i="19" s="1"/>
  <c r="R304" i="19"/>
  <c r="U304" i="19" s="1"/>
  <c r="R222" i="19"/>
  <c r="U222" i="19" s="1"/>
  <c r="R19" i="19"/>
  <c r="U19" i="19" s="1"/>
  <c r="R102" i="19"/>
  <c r="U102" i="19" s="1"/>
  <c r="R256" i="19"/>
  <c r="U256" i="19" s="1"/>
  <c r="T272" i="19"/>
  <c r="T49" i="19"/>
  <c r="R235" i="19"/>
  <c r="U235" i="19" s="1"/>
  <c r="T12" i="19"/>
  <c r="R27" i="19"/>
  <c r="U27" i="19" s="1"/>
  <c r="T115" i="19"/>
  <c r="T183" i="19"/>
  <c r="T283" i="19"/>
  <c r="R128" i="19"/>
  <c r="U128" i="19" s="1"/>
  <c r="T129" i="19"/>
  <c r="R118" i="19"/>
  <c r="U118" i="19" s="1"/>
  <c r="T74" i="19"/>
  <c r="R262" i="19"/>
  <c r="U262" i="19" s="1"/>
  <c r="R178" i="19"/>
  <c r="U178" i="19" s="1"/>
  <c r="R242" i="19"/>
  <c r="U242" i="19" s="1"/>
  <c r="R306" i="19"/>
  <c r="U306" i="19" s="1"/>
  <c r="R8" i="19"/>
  <c r="U8" i="19" s="1"/>
  <c r="R72" i="19"/>
  <c r="U72" i="19" s="1"/>
  <c r="R163" i="19"/>
  <c r="U163" i="19" s="1"/>
  <c r="R18" i="19"/>
  <c r="U18" i="19" s="1"/>
  <c r="R200" i="19"/>
  <c r="U200" i="19" s="1"/>
  <c r="R257" i="19"/>
  <c r="U257" i="19" s="1"/>
  <c r="R40" i="19"/>
  <c r="U40" i="19" s="1"/>
  <c r="R310" i="19"/>
  <c r="U310" i="19" s="1"/>
  <c r="R249" i="19"/>
  <c r="U249" i="19" s="1"/>
  <c r="R77" i="19"/>
  <c r="U77" i="19" s="1"/>
  <c r="R83" i="19"/>
  <c r="U83" i="19" s="1"/>
  <c r="R224" i="19"/>
  <c r="U224" i="19" s="1"/>
  <c r="R180" i="19"/>
  <c r="U180" i="19" s="1"/>
  <c r="R175" i="19"/>
  <c r="U175" i="19" s="1"/>
  <c r="T157" i="19"/>
  <c r="R105" i="19"/>
  <c r="U105" i="19" s="1"/>
  <c r="R130" i="19"/>
  <c r="U130" i="19" s="1"/>
  <c r="R312" i="19"/>
  <c r="U312" i="19" s="1"/>
  <c r="T305" i="19"/>
  <c r="T114" i="19"/>
  <c r="R138" i="19"/>
  <c r="U138" i="19" s="1"/>
  <c r="T109" i="19"/>
  <c r="R136" i="19"/>
  <c r="U136" i="19" s="1"/>
  <c r="R134" i="19"/>
  <c r="U134" i="19" s="1"/>
  <c r="R198" i="19"/>
  <c r="U198" i="19" s="1"/>
  <c r="R125" i="19"/>
  <c r="U125" i="19" s="1"/>
  <c r="R167" i="19"/>
  <c r="U167" i="19" s="1"/>
  <c r="R26" i="19"/>
  <c r="U26" i="19" s="1"/>
  <c r="R291" i="19"/>
  <c r="U291" i="19" s="1"/>
  <c r="R273" i="19"/>
  <c r="U273" i="19" s="1"/>
  <c r="R96" i="19"/>
  <c r="U96" i="19" s="1"/>
  <c r="R158" i="19"/>
  <c r="U158" i="19" s="1"/>
  <c r="R294" i="19"/>
  <c r="U294" i="19" s="1"/>
  <c r="R42" i="19"/>
  <c r="U42" i="19" s="1"/>
  <c r="T135" i="19"/>
  <c r="T26" i="19"/>
  <c r="R284" i="19"/>
  <c r="U284" i="19" s="1"/>
  <c r="R116" i="19"/>
  <c r="U116" i="19" s="1"/>
  <c r="R244" i="19"/>
  <c r="U244" i="19" s="1"/>
  <c r="T211" i="19"/>
  <c r="T243" i="19"/>
  <c r="R250" i="19"/>
  <c r="U250" i="19" s="1"/>
  <c r="R314" i="19"/>
  <c r="U314" i="19" s="1"/>
  <c r="R137" i="19"/>
  <c r="U137" i="19" s="1"/>
  <c r="T151" i="19"/>
  <c r="R233" i="19"/>
  <c r="U233" i="19" s="1"/>
  <c r="R68" i="19"/>
  <c r="U68" i="19" s="1"/>
  <c r="R55" i="19"/>
  <c r="U55" i="19" s="1"/>
  <c r="T289" i="19"/>
  <c r="T224" i="19"/>
  <c r="T158" i="19"/>
  <c r="R52" i="19"/>
  <c r="U52" i="19" s="1"/>
  <c r="R99" i="19"/>
  <c r="U99" i="19" s="1"/>
  <c r="T201" i="19"/>
  <c r="T77" i="19"/>
  <c r="R111" i="19"/>
  <c r="U111" i="19" s="1"/>
  <c r="T295" i="19"/>
  <c r="T79" i="19"/>
  <c r="R160" i="19"/>
  <c r="U160" i="19" s="1"/>
  <c r="R37" i="19"/>
  <c r="U37" i="19" s="1"/>
  <c r="R148" i="19"/>
  <c r="U148" i="19" s="1"/>
  <c r="R189" i="19"/>
  <c r="U189" i="19" s="1"/>
  <c r="R311" i="19"/>
  <c r="U311" i="19" s="1"/>
  <c r="T294" i="19"/>
  <c r="T83" i="19"/>
  <c r="R131" i="19"/>
  <c r="U131" i="19" s="1"/>
  <c r="T94" i="19"/>
  <c r="T227" i="19"/>
  <c r="R36" i="19"/>
  <c r="U36" i="19" s="1"/>
  <c r="R164" i="19"/>
  <c r="U164" i="19" s="1"/>
  <c r="R292" i="19"/>
  <c r="U292" i="19" s="1"/>
  <c r="R104" i="19"/>
  <c r="U104" i="19" s="1"/>
  <c r="R296" i="19"/>
  <c r="U296" i="19" s="1"/>
  <c r="R53" i="19"/>
  <c r="U53" i="19" s="1"/>
  <c r="R181" i="19"/>
  <c r="U181" i="19" s="1"/>
  <c r="R13" i="19"/>
  <c r="U13" i="19" s="1"/>
  <c r="R59" i="19"/>
  <c r="U59" i="19" s="1"/>
  <c r="R107" i="19"/>
  <c r="U107" i="19" s="1"/>
  <c r="R173" i="19"/>
  <c r="U173" i="19" s="1"/>
  <c r="R209" i="19"/>
  <c r="U209" i="19" s="1"/>
  <c r="R70" i="19"/>
  <c r="U70" i="19" s="1"/>
  <c r="R92" i="19"/>
  <c r="U92" i="19" s="1"/>
  <c r="R188" i="19"/>
  <c r="U188" i="19" s="1"/>
  <c r="R251" i="19"/>
  <c r="U251" i="19" s="1"/>
  <c r="R278" i="19"/>
  <c r="U278" i="19" s="1"/>
  <c r="R248" i="19"/>
  <c r="U248" i="19" s="1"/>
  <c r="R166" i="19"/>
  <c r="U166" i="19" s="1"/>
  <c r="R11" i="19"/>
  <c r="U11" i="19" s="1"/>
  <c r="R275" i="19"/>
  <c r="U275" i="19" s="1"/>
  <c r="R90" i="19"/>
  <c r="U90" i="19" s="1"/>
  <c r="R98" i="19"/>
  <c r="U98" i="19" s="1"/>
  <c r="R297" i="19"/>
  <c r="U297" i="19" s="1"/>
  <c r="R73" i="19"/>
  <c r="U73" i="19" s="1"/>
  <c r="R45" i="19"/>
  <c r="U45" i="19" s="1"/>
  <c r="R210" i="19"/>
  <c r="U210" i="19" s="1"/>
  <c r="R17" i="19"/>
  <c r="U17" i="19" s="1"/>
  <c r="R51" i="19"/>
  <c r="U51" i="19" s="1"/>
  <c r="R219" i="19"/>
  <c r="U219" i="19" s="1"/>
  <c r="R259" i="19"/>
  <c r="U259" i="19" s="1"/>
  <c r="R78" i="19"/>
  <c r="U78" i="19" s="1"/>
  <c r="R266" i="19"/>
  <c r="U266" i="19" s="1"/>
  <c r="R85" i="19"/>
  <c r="U85" i="19" s="1"/>
  <c r="R216" i="19"/>
  <c r="U216" i="19" s="1"/>
  <c r="R106" i="19"/>
  <c r="U106" i="19" s="1"/>
  <c r="R75" i="19"/>
  <c r="U75" i="19" s="1"/>
  <c r="R192" i="19"/>
  <c r="U192" i="19" s="1"/>
  <c r="R205" i="19"/>
  <c r="U205" i="19" s="1"/>
  <c r="R230" i="19"/>
  <c r="U230" i="19" s="1"/>
  <c r="R194" i="19"/>
  <c r="U194" i="19" s="1"/>
  <c r="R226" i="19"/>
  <c r="U226" i="19" s="1"/>
  <c r="R204" i="19"/>
  <c r="U204" i="19" s="1"/>
  <c r="T249" i="19"/>
  <c r="T189" i="19"/>
  <c r="R290" i="19"/>
  <c r="U290" i="19" s="1"/>
  <c r="T19" i="19"/>
  <c r="R103" i="19"/>
  <c r="U103" i="19" s="1"/>
  <c r="T125" i="19"/>
  <c r="R267" i="19"/>
  <c r="U267" i="19" s="1"/>
  <c r="T291" i="19"/>
  <c r="R63" i="19"/>
  <c r="U63" i="19" s="1"/>
  <c r="R144" i="19"/>
  <c r="U144" i="19" s="1"/>
  <c r="R39" i="19"/>
  <c r="U39" i="19" s="1"/>
  <c r="R132" i="19"/>
  <c r="U132" i="19" s="1"/>
  <c r="R190" i="19"/>
  <c r="U190" i="19" s="1"/>
  <c r="R246" i="19"/>
  <c r="U246" i="19" s="1"/>
  <c r="T40" i="19"/>
  <c r="R186" i="19"/>
  <c r="U186" i="19" s="1"/>
  <c r="R156" i="19"/>
  <c r="U156" i="19" s="1"/>
  <c r="R177" i="19"/>
  <c r="U177" i="19" s="1"/>
  <c r="R58" i="19"/>
  <c r="U58" i="19" s="1"/>
  <c r="R236" i="19"/>
  <c r="U236" i="19" s="1"/>
  <c r="R277" i="19"/>
  <c r="U277" i="19" s="1"/>
  <c r="R218" i="19"/>
  <c r="U218" i="19" s="1"/>
  <c r="R282" i="19"/>
  <c r="U282" i="19" s="1"/>
  <c r="R20" i="19"/>
  <c r="U20" i="19" s="1"/>
  <c r="R152" i="19"/>
  <c r="U152" i="19" s="1"/>
  <c r="R280" i="19"/>
  <c r="U280" i="19" s="1"/>
  <c r="R229" i="19"/>
  <c r="U229" i="19" s="1"/>
  <c r="R254" i="19"/>
  <c r="U254" i="19" s="1"/>
  <c r="R9" i="19"/>
  <c r="U9" i="19" s="1"/>
  <c r="R123" i="19"/>
  <c r="U123" i="19" s="1"/>
  <c r="R44" i="19"/>
  <c r="U44" i="19" s="1"/>
  <c r="R66" i="19"/>
  <c r="U66" i="19" s="1"/>
  <c r="R176" i="19"/>
  <c r="U176" i="19" s="1"/>
  <c r="R202" i="19"/>
  <c r="U202" i="19" s="1"/>
  <c r="R61" i="19"/>
  <c r="U61" i="19" s="1"/>
  <c r="R187" i="19"/>
  <c r="U187" i="19" s="1"/>
  <c r="R149" i="19"/>
  <c r="U149" i="19" s="1"/>
  <c r="T209" i="19"/>
  <c r="T225" i="19"/>
  <c r="R293" i="19"/>
  <c r="U293" i="19" s="1"/>
  <c r="T50" i="19"/>
  <c r="T92" i="19"/>
  <c r="R97" i="19"/>
  <c r="U97" i="19" s="1"/>
  <c r="T107" i="19"/>
  <c r="R67" i="19"/>
  <c r="U67" i="19" s="1"/>
  <c r="R270" i="19"/>
  <c r="U270" i="19" s="1"/>
  <c r="R261" i="19"/>
  <c r="U261" i="19" s="1"/>
  <c r="T123" i="19"/>
  <c r="T70" i="19"/>
  <c r="T187" i="19"/>
  <c r="T257" i="19"/>
  <c r="T13" i="19"/>
  <c r="T173" i="19"/>
  <c r="T54" i="19"/>
  <c r="R54" i="19"/>
  <c r="U54" i="19" s="1"/>
  <c r="R208" i="19"/>
  <c r="U208" i="19" s="1"/>
  <c r="R252" i="19"/>
  <c r="U252" i="19" s="1"/>
  <c r="R124" i="19"/>
  <c r="U124" i="19" s="1"/>
  <c r="T121" i="19"/>
  <c r="R25" i="19"/>
  <c r="U25" i="19" s="1"/>
  <c r="R269" i="19"/>
  <c r="U269" i="19" s="1"/>
  <c r="T61" i="19"/>
  <c r="T274" i="19"/>
  <c r="R260" i="19"/>
  <c r="U260" i="19" s="1"/>
  <c r="R140" i="19"/>
  <c r="U140" i="19" s="1"/>
  <c r="R21" i="19"/>
  <c r="U21" i="19" s="1"/>
  <c r="R217" i="19"/>
  <c r="U217" i="19" s="1"/>
  <c r="T21" i="19"/>
  <c r="R220" i="19"/>
  <c r="U220" i="19" s="1"/>
  <c r="R171" i="19"/>
  <c r="F170" i="49" s="1"/>
  <c r="R245" i="19"/>
  <c r="F244" i="49" s="1"/>
  <c r="C175" i="12" l="1"/>
  <c r="C175" i="33"/>
  <c r="E175" i="33" s="1"/>
  <c r="C175" i="39"/>
  <c r="F175" i="32"/>
  <c r="G175" i="32" s="1"/>
  <c r="C49" i="39"/>
  <c r="C49" i="33"/>
  <c r="E49" i="33" s="1"/>
  <c r="C49" i="12"/>
  <c r="F49" i="32"/>
  <c r="G49" i="32" s="1"/>
  <c r="C294" i="12"/>
  <c r="C294" i="39"/>
  <c r="C294" i="33"/>
  <c r="E294" i="33" s="1"/>
  <c r="F294" i="32"/>
  <c r="G294" i="32" s="1"/>
  <c r="C292" i="39"/>
  <c r="C292" i="12"/>
  <c r="C292" i="33"/>
  <c r="E292" i="33" s="1"/>
  <c r="F292" i="32"/>
  <c r="G292" i="32" s="1"/>
  <c r="C6" i="12"/>
  <c r="C6" i="33"/>
  <c r="E6" i="33" s="1"/>
  <c r="C6" i="39"/>
  <c r="F6" i="32"/>
  <c r="G6" i="32" s="1"/>
  <c r="C287" i="39"/>
  <c r="C287" i="12"/>
  <c r="C287" i="33"/>
  <c r="E287" i="33" s="1"/>
  <c r="F287" i="32"/>
  <c r="G287" i="32" s="1"/>
  <c r="C311" i="39"/>
  <c r="C311" i="12"/>
  <c r="C311" i="33"/>
  <c r="E311" i="33" s="1"/>
  <c r="F311" i="32"/>
  <c r="G311" i="32" s="1"/>
  <c r="C110" i="12"/>
  <c r="C110" i="39"/>
  <c r="C110" i="33"/>
  <c r="E110" i="33" s="1"/>
  <c r="F110" i="32"/>
  <c r="G110" i="32" s="1"/>
  <c r="C261" i="12"/>
  <c r="C261" i="39"/>
  <c r="C261" i="33"/>
  <c r="E261" i="33" s="1"/>
  <c r="F261" i="32"/>
  <c r="G261" i="32" s="1"/>
  <c r="C138" i="39"/>
  <c r="C138" i="12"/>
  <c r="C138" i="33"/>
  <c r="E138" i="33" s="1"/>
  <c r="F138" i="32"/>
  <c r="G138" i="32" s="1"/>
  <c r="C250" i="12"/>
  <c r="C250" i="33"/>
  <c r="E250" i="33" s="1"/>
  <c r="F250" i="32"/>
  <c r="G250" i="32" s="1"/>
  <c r="C250" i="39"/>
  <c r="C174" i="12"/>
  <c r="C174" i="39"/>
  <c r="C174" i="33"/>
  <c r="E174" i="33" s="1"/>
  <c r="F174" i="32"/>
  <c r="G174" i="32" s="1"/>
  <c r="C150" i="12"/>
  <c r="C150" i="33"/>
  <c r="E150" i="33" s="1"/>
  <c r="C150" i="39"/>
  <c r="F150" i="32"/>
  <c r="G150" i="32" s="1"/>
  <c r="C154" i="39"/>
  <c r="C154" i="12"/>
  <c r="C154" i="33"/>
  <c r="E154" i="33" s="1"/>
  <c r="F154" i="32"/>
  <c r="G154" i="32" s="1"/>
  <c r="C61" i="39"/>
  <c r="F61" i="32"/>
  <c r="G61" i="32" s="1"/>
  <c r="C61" i="33"/>
  <c r="E61" i="33" s="1"/>
  <c r="C61" i="12"/>
  <c r="C104" i="39"/>
  <c r="C104" i="12"/>
  <c r="C104" i="33"/>
  <c r="E104" i="33" s="1"/>
  <c r="F104" i="32"/>
  <c r="G104" i="32" s="1"/>
  <c r="C15" i="12"/>
  <c r="C15" i="39"/>
  <c r="F15" i="32"/>
  <c r="G15" i="32" s="1"/>
  <c r="C15" i="33"/>
  <c r="E15" i="33" s="1"/>
  <c r="C9" i="39"/>
  <c r="C9" i="12"/>
  <c r="C9" i="33"/>
  <c r="E9" i="33" s="1"/>
  <c r="F9" i="32"/>
  <c r="G9" i="32" s="1"/>
  <c r="C207" i="12"/>
  <c r="C207" i="39"/>
  <c r="C207" i="33"/>
  <c r="E207" i="33" s="1"/>
  <c r="F207" i="32"/>
  <c r="G207" i="32" s="1"/>
  <c r="C102" i="12"/>
  <c r="C102" i="33"/>
  <c r="E102" i="33" s="1"/>
  <c r="C102" i="39"/>
  <c r="F102" i="32"/>
  <c r="G102" i="32" s="1"/>
  <c r="C109" i="39"/>
  <c r="C109" i="12"/>
  <c r="F109" i="32"/>
  <c r="G109" i="32" s="1"/>
  <c r="C109" i="33"/>
  <c r="E109" i="33" s="1"/>
  <c r="C53" i="39"/>
  <c r="C53" i="33"/>
  <c r="E53" i="33" s="1"/>
  <c r="F53" i="32"/>
  <c r="G53" i="32" s="1"/>
  <c r="C53" i="12"/>
  <c r="C156" i="12"/>
  <c r="C156" i="39"/>
  <c r="F156" i="32"/>
  <c r="G156" i="32" s="1"/>
  <c r="C156" i="33"/>
  <c r="E156" i="33" s="1"/>
  <c r="F132" i="32"/>
  <c r="G132" i="32" s="1"/>
  <c r="C132" i="33"/>
  <c r="E132" i="33" s="1"/>
  <c r="C132" i="39"/>
  <c r="C132" i="12"/>
  <c r="C103" i="12"/>
  <c r="C103" i="39"/>
  <c r="F103" i="32"/>
  <c r="G103" i="32" s="1"/>
  <c r="C103" i="33"/>
  <c r="E103" i="33" s="1"/>
  <c r="C308" i="39"/>
  <c r="C308" i="12"/>
  <c r="C308" i="33"/>
  <c r="E308" i="33" s="1"/>
  <c r="F308" i="32"/>
  <c r="G308" i="32" s="1"/>
  <c r="C304" i="39"/>
  <c r="C304" i="12"/>
  <c r="C304" i="33"/>
  <c r="E304" i="33" s="1"/>
  <c r="F304" i="32"/>
  <c r="G304" i="32" s="1"/>
  <c r="C254" i="12"/>
  <c r="C254" i="39"/>
  <c r="C254" i="33"/>
  <c r="E254" i="33" s="1"/>
  <c r="F254" i="32"/>
  <c r="G254" i="32" s="1"/>
  <c r="C296" i="39"/>
  <c r="C296" i="12"/>
  <c r="C296" i="33"/>
  <c r="E296" i="33" s="1"/>
  <c r="F296" i="32"/>
  <c r="G296" i="32" s="1"/>
  <c r="C77" i="39"/>
  <c r="C77" i="33"/>
  <c r="E77" i="33" s="1"/>
  <c r="C77" i="12"/>
  <c r="F77" i="32"/>
  <c r="G77" i="32" s="1"/>
  <c r="C197" i="39"/>
  <c r="C197" i="33"/>
  <c r="E197" i="33" s="1"/>
  <c r="F197" i="32"/>
  <c r="G197" i="32" s="1"/>
  <c r="C197" i="12"/>
  <c r="C47" i="12"/>
  <c r="C47" i="33"/>
  <c r="E47" i="33" s="1"/>
  <c r="C47" i="39"/>
  <c r="F47" i="32"/>
  <c r="G47" i="32" s="1"/>
  <c r="C12" i="33"/>
  <c r="E12" i="33" s="1"/>
  <c r="C12" i="12"/>
  <c r="C12" i="39"/>
  <c r="F12" i="32"/>
  <c r="G12" i="32" s="1"/>
  <c r="C152" i="39"/>
  <c r="C152" i="12"/>
  <c r="C152" i="33"/>
  <c r="E152" i="33" s="1"/>
  <c r="F152" i="32"/>
  <c r="G152" i="32" s="1"/>
  <c r="C307" i="39"/>
  <c r="C307" i="33"/>
  <c r="E307" i="33" s="1"/>
  <c r="C307" i="12"/>
  <c r="F307" i="32"/>
  <c r="G307" i="32" s="1"/>
  <c r="C79" i="12"/>
  <c r="C79" i="39"/>
  <c r="C79" i="33"/>
  <c r="E79" i="33" s="1"/>
  <c r="F79" i="32"/>
  <c r="G79" i="32" s="1"/>
  <c r="C283" i="12"/>
  <c r="C283" i="33"/>
  <c r="E283" i="33" s="1"/>
  <c r="F283" i="32"/>
  <c r="G283" i="32" s="1"/>
  <c r="C283" i="39"/>
  <c r="C181" i="39"/>
  <c r="C181" i="33"/>
  <c r="E181" i="33" s="1"/>
  <c r="F181" i="32"/>
  <c r="G181" i="32" s="1"/>
  <c r="C181" i="12"/>
  <c r="C245" i="12"/>
  <c r="C245" i="33"/>
  <c r="E245" i="33" s="1"/>
  <c r="C245" i="39"/>
  <c r="F245" i="32"/>
  <c r="G245" i="32" s="1"/>
  <c r="C22" i="12"/>
  <c r="C22" i="33"/>
  <c r="E22" i="33" s="1"/>
  <c r="C22" i="39"/>
  <c r="F22" i="32"/>
  <c r="G22" i="32" s="1"/>
  <c r="C21" i="39"/>
  <c r="C21" i="12"/>
  <c r="C21" i="33"/>
  <c r="E21" i="33" s="1"/>
  <c r="F21" i="32"/>
  <c r="G21" i="32" s="1"/>
  <c r="C41" i="39"/>
  <c r="C41" i="12"/>
  <c r="F41" i="32"/>
  <c r="G41" i="32" s="1"/>
  <c r="C41" i="33"/>
  <c r="E41" i="33" s="1"/>
  <c r="C30" i="12"/>
  <c r="C30" i="33"/>
  <c r="E30" i="33" s="1"/>
  <c r="C30" i="39"/>
  <c r="F30" i="32"/>
  <c r="G30" i="32" s="1"/>
  <c r="C262" i="12"/>
  <c r="C262" i="39"/>
  <c r="C262" i="33"/>
  <c r="E262" i="33" s="1"/>
  <c r="F262" i="32"/>
  <c r="G262" i="32" s="1"/>
  <c r="C72" i="39"/>
  <c r="C72" i="12"/>
  <c r="F72" i="32"/>
  <c r="G72" i="32" s="1"/>
  <c r="C72" i="33"/>
  <c r="E72" i="33" s="1"/>
  <c r="C194" i="39"/>
  <c r="C194" i="12"/>
  <c r="C194" i="33"/>
  <c r="E194" i="33" s="1"/>
  <c r="F194" i="32"/>
  <c r="G194" i="32" s="1"/>
  <c r="C46" i="12"/>
  <c r="C46" i="39"/>
  <c r="F46" i="32"/>
  <c r="G46" i="32" s="1"/>
  <c r="C46" i="33"/>
  <c r="E46" i="33" s="1"/>
  <c r="C285" i="12"/>
  <c r="C285" i="39"/>
  <c r="F285" i="32"/>
  <c r="G285" i="32" s="1"/>
  <c r="C285" i="33"/>
  <c r="E285" i="33" s="1"/>
  <c r="C258" i="12"/>
  <c r="C258" i="39"/>
  <c r="C258" i="33"/>
  <c r="E258" i="33" s="1"/>
  <c r="F258" i="32"/>
  <c r="G258" i="32" s="1"/>
  <c r="C206" i="12"/>
  <c r="C206" i="39"/>
  <c r="C206" i="33"/>
  <c r="E206" i="33" s="1"/>
  <c r="F206" i="32"/>
  <c r="G206" i="32" s="1"/>
  <c r="C291" i="39"/>
  <c r="C291" i="33"/>
  <c r="E291" i="33" s="1"/>
  <c r="F291" i="32"/>
  <c r="G291" i="32" s="1"/>
  <c r="C291" i="12"/>
  <c r="C64" i="39"/>
  <c r="C64" i="12"/>
  <c r="C64" i="33"/>
  <c r="E64" i="33" s="1"/>
  <c r="F64" i="32"/>
  <c r="G64" i="32" s="1"/>
  <c r="C18" i="39"/>
  <c r="C18" i="33"/>
  <c r="E18" i="33" s="1"/>
  <c r="C18" i="12"/>
  <c r="F18" i="32"/>
  <c r="G18" i="32" s="1"/>
  <c r="C184" i="39"/>
  <c r="C184" i="12"/>
  <c r="C184" i="33"/>
  <c r="E184" i="33" s="1"/>
  <c r="F184" i="32"/>
  <c r="G184" i="32" s="1"/>
  <c r="C202" i="39"/>
  <c r="C202" i="12"/>
  <c r="C202" i="33"/>
  <c r="E202" i="33" s="1"/>
  <c r="F202" i="32"/>
  <c r="G202" i="32" s="1"/>
  <c r="C214" i="12"/>
  <c r="C214" i="39"/>
  <c r="C214" i="33"/>
  <c r="E214" i="33" s="1"/>
  <c r="F214" i="32"/>
  <c r="G214" i="32" s="1"/>
  <c r="C208" i="39"/>
  <c r="C208" i="12"/>
  <c r="C208" i="33"/>
  <c r="E208" i="33" s="1"/>
  <c r="F208" i="32"/>
  <c r="G208" i="32" s="1"/>
  <c r="C164" i="33"/>
  <c r="E164" i="33" s="1"/>
  <c r="C164" i="12"/>
  <c r="C164" i="39"/>
  <c r="F164" i="32"/>
  <c r="G164" i="32" s="1"/>
  <c r="C171" i="12"/>
  <c r="C171" i="33"/>
  <c r="E171" i="33" s="1"/>
  <c r="F171" i="32"/>
  <c r="G171" i="32" s="1"/>
  <c r="C171" i="39"/>
  <c r="C290" i="12"/>
  <c r="C290" i="39"/>
  <c r="C290" i="33"/>
  <c r="E290" i="33" s="1"/>
  <c r="F290" i="32"/>
  <c r="G290" i="32" s="1"/>
  <c r="C309" i="12"/>
  <c r="C309" i="39"/>
  <c r="C309" i="33"/>
  <c r="E309" i="33" s="1"/>
  <c r="F309" i="32"/>
  <c r="G309" i="32" s="1"/>
  <c r="C66" i="39"/>
  <c r="C66" i="12"/>
  <c r="C66" i="33"/>
  <c r="E66" i="33" s="1"/>
  <c r="F66" i="32"/>
  <c r="G66" i="32" s="1"/>
  <c r="C242" i="39"/>
  <c r="C242" i="12"/>
  <c r="F242" i="32"/>
  <c r="G242" i="32" s="1"/>
  <c r="C242" i="33"/>
  <c r="E242" i="33" s="1"/>
  <c r="C94" i="12"/>
  <c r="C94" i="39"/>
  <c r="F94" i="32"/>
  <c r="G94" i="32" s="1"/>
  <c r="C94" i="33"/>
  <c r="E94" i="33" s="1"/>
  <c r="C134" i="12"/>
  <c r="C134" i="33"/>
  <c r="E134" i="33" s="1"/>
  <c r="C134" i="39"/>
  <c r="F134" i="32"/>
  <c r="G134" i="32" s="1"/>
  <c r="C38" i="12"/>
  <c r="C38" i="33"/>
  <c r="E38" i="33" s="1"/>
  <c r="F38" i="32"/>
  <c r="G38" i="32" s="1"/>
  <c r="C38" i="39"/>
  <c r="C240" i="39"/>
  <c r="C240" i="12"/>
  <c r="C240" i="33"/>
  <c r="E240" i="33" s="1"/>
  <c r="F240" i="32"/>
  <c r="G240" i="32" s="1"/>
  <c r="F100" i="32"/>
  <c r="G100" i="32" s="1"/>
  <c r="C100" i="33"/>
  <c r="E100" i="33" s="1"/>
  <c r="C100" i="12"/>
  <c r="C100" i="39"/>
  <c r="C112" i="39"/>
  <c r="C112" i="12"/>
  <c r="C112" i="33"/>
  <c r="E112" i="33" s="1"/>
  <c r="F112" i="32"/>
  <c r="G112" i="32" s="1"/>
  <c r="C303" i="39"/>
  <c r="C303" i="12"/>
  <c r="C303" i="33"/>
  <c r="E303" i="33" s="1"/>
  <c r="F303" i="32"/>
  <c r="G303" i="32" s="1"/>
  <c r="C167" i="12"/>
  <c r="C167" i="39"/>
  <c r="C167" i="33"/>
  <c r="E167" i="33" s="1"/>
  <c r="F167" i="32"/>
  <c r="G167" i="32" s="1"/>
  <c r="C144" i="39"/>
  <c r="C144" i="12"/>
  <c r="C144" i="33"/>
  <c r="E144" i="33" s="1"/>
  <c r="F144" i="32"/>
  <c r="G144" i="32" s="1"/>
  <c r="C286" i="12"/>
  <c r="C286" i="39"/>
  <c r="C286" i="33"/>
  <c r="E286" i="33" s="1"/>
  <c r="F286" i="32"/>
  <c r="G286" i="32" s="1"/>
  <c r="C143" i="12"/>
  <c r="C143" i="39"/>
  <c r="C143" i="33"/>
  <c r="E143" i="33" s="1"/>
  <c r="F143" i="32"/>
  <c r="G143" i="32" s="1"/>
  <c r="C235" i="12"/>
  <c r="C235" i="33"/>
  <c r="E235" i="33" s="1"/>
  <c r="C235" i="39"/>
  <c r="F235" i="32"/>
  <c r="G235" i="32" s="1"/>
  <c r="C172" i="12"/>
  <c r="C172" i="33"/>
  <c r="E172" i="33" s="1"/>
  <c r="F172" i="32"/>
  <c r="G172" i="32" s="1"/>
  <c r="C172" i="39"/>
  <c r="C62" i="12"/>
  <c r="C62" i="39"/>
  <c r="F62" i="32"/>
  <c r="G62" i="32" s="1"/>
  <c r="C62" i="33"/>
  <c r="E62" i="33" s="1"/>
  <c r="C155" i="12"/>
  <c r="C155" i="33"/>
  <c r="E155" i="33" s="1"/>
  <c r="C155" i="39"/>
  <c r="F155" i="32"/>
  <c r="G155" i="32" s="1"/>
  <c r="C117" i="39"/>
  <c r="C117" i="33"/>
  <c r="E117" i="33" s="1"/>
  <c r="F117" i="32"/>
  <c r="G117" i="32" s="1"/>
  <c r="C117" i="12"/>
  <c r="C137" i="39"/>
  <c r="C137" i="12"/>
  <c r="C137" i="33"/>
  <c r="E137" i="33" s="1"/>
  <c r="F137" i="32"/>
  <c r="G137" i="32" s="1"/>
  <c r="C58" i="39"/>
  <c r="C58" i="12"/>
  <c r="C58" i="33"/>
  <c r="E58" i="33" s="1"/>
  <c r="F58" i="32"/>
  <c r="G58" i="32" s="1"/>
  <c r="C78" i="12"/>
  <c r="C78" i="39"/>
  <c r="C78" i="33"/>
  <c r="E78" i="33" s="1"/>
  <c r="F78" i="32"/>
  <c r="G78" i="32" s="1"/>
  <c r="C20" i="33"/>
  <c r="E20" i="33" s="1"/>
  <c r="C20" i="39"/>
  <c r="C20" i="12"/>
  <c r="F20" i="32"/>
  <c r="G20" i="32" s="1"/>
  <c r="C263" i="39"/>
  <c r="C263" i="12"/>
  <c r="C263" i="33"/>
  <c r="E263" i="33" s="1"/>
  <c r="F263" i="32"/>
  <c r="G263" i="32" s="1"/>
  <c r="C213" i="39"/>
  <c r="C213" i="33"/>
  <c r="E213" i="33" s="1"/>
  <c r="C213" i="12"/>
  <c r="F213" i="32"/>
  <c r="G213" i="32" s="1"/>
  <c r="C45" i="39"/>
  <c r="C45" i="12"/>
  <c r="C45" i="33"/>
  <c r="E45" i="33" s="1"/>
  <c r="F45" i="32"/>
  <c r="G45" i="32" s="1"/>
  <c r="C237" i="39"/>
  <c r="C237" i="12"/>
  <c r="C237" i="33"/>
  <c r="E237" i="33" s="1"/>
  <c r="F237" i="32"/>
  <c r="G237" i="32" s="1"/>
  <c r="C122" i="39"/>
  <c r="C122" i="33"/>
  <c r="E122" i="33" s="1"/>
  <c r="C122" i="12"/>
  <c r="F122" i="32"/>
  <c r="G122" i="32" s="1"/>
  <c r="C278" i="12"/>
  <c r="C278" i="39"/>
  <c r="C278" i="33"/>
  <c r="E278" i="33" s="1"/>
  <c r="F278" i="32"/>
  <c r="G278" i="32" s="1"/>
  <c r="C73" i="39"/>
  <c r="C73" i="12"/>
  <c r="C73" i="33"/>
  <c r="E73" i="33" s="1"/>
  <c r="F73" i="32"/>
  <c r="G73" i="32" s="1"/>
  <c r="C128" i="39"/>
  <c r="C128" i="12"/>
  <c r="C128" i="33"/>
  <c r="E128" i="33" s="1"/>
  <c r="F128" i="32"/>
  <c r="G128" i="32" s="1"/>
  <c r="C108" i="12"/>
  <c r="C108" i="33"/>
  <c r="E108" i="33" s="1"/>
  <c r="F108" i="32"/>
  <c r="G108" i="32" s="1"/>
  <c r="C108" i="39"/>
  <c r="C125" i="39"/>
  <c r="C125" i="33"/>
  <c r="E125" i="33" s="1"/>
  <c r="C125" i="12"/>
  <c r="F125" i="32"/>
  <c r="G125" i="32" s="1"/>
  <c r="C89" i="39"/>
  <c r="C89" i="12"/>
  <c r="F89" i="32"/>
  <c r="G89" i="32" s="1"/>
  <c r="C89" i="33"/>
  <c r="E89" i="33" s="1"/>
  <c r="C266" i="12"/>
  <c r="C266" i="33"/>
  <c r="E266" i="33" s="1"/>
  <c r="C266" i="39"/>
  <c r="F266" i="32"/>
  <c r="G266" i="32" s="1"/>
  <c r="C168" i="39"/>
  <c r="C168" i="12"/>
  <c r="C168" i="33"/>
  <c r="E168" i="33" s="1"/>
  <c r="F168" i="32"/>
  <c r="G168" i="32" s="1"/>
  <c r="C52" i="39"/>
  <c r="C52" i="12"/>
  <c r="F52" i="32"/>
  <c r="G52" i="32" s="1"/>
  <c r="C52" i="33"/>
  <c r="E52" i="33" s="1"/>
  <c r="C280" i="39"/>
  <c r="C280" i="12"/>
  <c r="C280" i="33"/>
  <c r="E280" i="33" s="1"/>
  <c r="F280" i="32"/>
  <c r="G280" i="32" s="1"/>
  <c r="C83" i="12"/>
  <c r="C83" i="33"/>
  <c r="E83" i="33" s="1"/>
  <c r="C83" i="39"/>
  <c r="F83" i="32"/>
  <c r="G83" i="32" s="1"/>
  <c r="C162" i="39"/>
  <c r="C162" i="12"/>
  <c r="C162" i="33"/>
  <c r="E162" i="33" s="1"/>
  <c r="F162" i="32"/>
  <c r="G162" i="32" s="1"/>
  <c r="C231" i="12"/>
  <c r="C231" i="39"/>
  <c r="F231" i="32"/>
  <c r="G231" i="32" s="1"/>
  <c r="C231" i="33"/>
  <c r="E231" i="33" s="1"/>
  <c r="C176" i="39"/>
  <c r="C176" i="12"/>
  <c r="C176" i="33"/>
  <c r="E176" i="33" s="1"/>
  <c r="F176" i="32"/>
  <c r="G176" i="32" s="1"/>
  <c r="C92" i="12"/>
  <c r="C92" i="33"/>
  <c r="E92" i="33" s="1"/>
  <c r="C92" i="39"/>
  <c r="F92" i="32"/>
  <c r="G92" i="32" s="1"/>
  <c r="C124" i="33"/>
  <c r="E124" i="33" s="1"/>
  <c r="C124" i="12"/>
  <c r="F124" i="32"/>
  <c r="G124" i="32" s="1"/>
  <c r="C124" i="39"/>
  <c r="C139" i="12"/>
  <c r="C139" i="33"/>
  <c r="E139" i="33" s="1"/>
  <c r="F139" i="32"/>
  <c r="G139" i="32" s="1"/>
  <c r="C139" i="39"/>
  <c r="C48" i="39"/>
  <c r="C48" i="12"/>
  <c r="C48" i="33"/>
  <c r="E48" i="33" s="1"/>
  <c r="F48" i="32"/>
  <c r="G48" i="32" s="1"/>
  <c r="C93" i="39"/>
  <c r="C93" i="12"/>
  <c r="C93" i="33"/>
  <c r="E93" i="33" s="1"/>
  <c r="F93" i="32"/>
  <c r="G93" i="32" s="1"/>
  <c r="C191" i="12"/>
  <c r="C191" i="33"/>
  <c r="E191" i="33" s="1"/>
  <c r="C191" i="39"/>
  <c r="F191" i="32"/>
  <c r="G191" i="32" s="1"/>
  <c r="C55" i="12"/>
  <c r="C55" i="39"/>
  <c r="C55" i="33"/>
  <c r="E55" i="33" s="1"/>
  <c r="F55" i="32"/>
  <c r="G55" i="32" s="1"/>
  <c r="C268" i="39"/>
  <c r="C268" i="12"/>
  <c r="C268" i="33"/>
  <c r="E268" i="33" s="1"/>
  <c r="F268" i="32"/>
  <c r="G268" i="32" s="1"/>
  <c r="C216" i="39"/>
  <c r="C216" i="12"/>
  <c r="F216" i="32"/>
  <c r="G216" i="32" s="1"/>
  <c r="C216" i="33"/>
  <c r="E216" i="33" s="1"/>
  <c r="C71" i="12"/>
  <c r="C71" i="33"/>
  <c r="E71" i="33" s="1"/>
  <c r="C71" i="39"/>
  <c r="F71" i="32"/>
  <c r="G71" i="32" s="1"/>
  <c r="C34" i="39"/>
  <c r="C34" i="33"/>
  <c r="E34" i="33" s="1"/>
  <c r="C34" i="12"/>
  <c r="F34" i="32"/>
  <c r="G34" i="32" s="1"/>
  <c r="C136" i="39"/>
  <c r="C136" i="12"/>
  <c r="C136" i="33"/>
  <c r="E136" i="33" s="1"/>
  <c r="F136" i="32"/>
  <c r="G136" i="32" s="1"/>
  <c r="C260" i="39"/>
  <c r="C260" i="12"/>
  <c r="C260" i="33"/>
  <c r="E260" i="33" s="1"/>
  <c r="F260" i="32"/>
  <c r="G260" i="32" s="1"/>
  <c r="C225" i="39"/>
  <c r="C225" i="12"/>
  <c r="C225" i="33"/>
  <c r="E225" i="33" s="1"/>
  <c r="F225" i="32"/>
  <c r="G225" i="32" s="1"/>
  <c r="C31" i="12"/>
  <c r="C31" i="33"/>
  <c r="E31" i="33" s="1"/>
  <c r="C31" i="39"/>
  <c r="F31" i="32"/>
  <c r="G31" i="32" s="1"/>
  <c r="C219" i="12"/>
  <c r="C219" i="33"/>
  <c r="E219" i="33" s="1"/>
  <c r="C219" i="39"/>
  <c r="F219" i="32"/>
  <c r="G219" i="32" s="1"/>
  <c r="C182" i="12"/>
  <c r="C182" i="33"/>
  <c r="E182" i="33" s="1"/>
  <c r="C182" i="39"/>
  <c r="F182" i="32"/>
  <c r="G182" i="32" s="1"/>
  <c r="C113" i="39"/>
  <c r="C113" i="33"/>
  <c r="E113" i="33" s="1"/>
  <c r="C113" i="12"/>
  <c r="F113" i="32"/>
  <c r="G113" i="32" s="1"/>
  <c r="C163" i="12"/>
  <c r="C163" i="39"/>
  <c r="C163" i="33"/>
  <c r="E163" i="33" s="1"/>
  <c r="F163" i="32"/>
  <c r="G163" i="32" s="1"/>
  <c r="C13" i="39"/>
  <c r="C13" i="33"/>
  <c r="E13" i="33" s="1"/>
  <c r="C13" i="12"/>
  <c r="F13" i="32"/>
  <c r="G13" i="32" s="1"/>
  <c r="C218" i="39"/>
  <c r="C218" i="12"/>
  <c r="C218" i="33"/>
  <c r="E218" i="33" s="1"/>
  <c r="F218" i="32"/>
  <c r="G218" i="32" s="1"/>
  <c r="C267" i="12"/>
  <c r="C267" i="39"/>
  <c r="F267" i="32"/>
  <c r="G267" i="32" s="1"/>
  <c r="C267" i="33"/>
  <c r="E267" i="33" s="1"/>
  <c r="C65" i="39"/>
  <c r="C65" i="33"/>
  <c r="E65" i="33" s="1"/>
  <c r="F65" i="32"/>
  <c r="G65" i="32" s="1"/>
  <c r="C65" i="12"/>
  <c r="C147" i="12"/>
  <c r="C147" i="39"/>
  <c r="C147" i="33"/>
  <c r="E147" i="33" s="1"/>
  <c r="F147" i="32"/>
  <c r="G147" i="32" s="1"/>
  <c r="C7" i="12"/>
  <c r="C7" i="39"/>
  <c r="F7" i="32"/>
  <c r="G7" i="32" s="1"/>
  <c r="C7" i="33"/>
  <c r="E7" i="33" s="1"/>
  <c r="C275" i="33"/>
  <c r="E275" i="33" s="1"/>
  <c r="C275" i="39"/>
  <c r="F275" i="32"/>
  <c r="G275" i="32" s="1"/>
  <c r="C275" i="12"/>
  <c r="C188" i="12"/>
  <c r="C188" i="33"/>
  <c r="E188" i="33" s="1"/>
  <c r="F188" i="32"/>
  <c r="G188" i="32" s="1"/>
  <c r="C188" i="39"/>
  <c r="C101" i="39"/>
  <c r="F101" i="32"/>
  <c r="G101" i="32" s="1"/>
  <c r="C101" i="12"/>
  <c r="C101" i="33"/>
  <c r="E101" i="33" s="1"/>
  <c r="C228" i="33"/>
  <c r="E228" i="33" s="1"/>
  <c r="C228" i="12"/>
  <c r="C228" i="39"/>
  <c r="F228" i="32"/>
  <c r="G228" i="32" s="1"/>
  <c r="C76" i="33"/>
  <c r="E76" i="33" s="1"/>
  <c r="C76" i="12"/>
  <c r="C76" i="39"/>
  <c r="F76" i="32"/>
  <c r="G76" i="32" s="1"/>
  <c r="C295" i="39"/>
  <c r="C295" i="12"/>
  <c r="C295" i="33"/>
  <c r="E295" i="33" s="1"/>
  <c r="F295" i="32"/>
  <c r="G295" i="32" s="1"/>
  <c r="C249" i="39"/>
  <c r="C249" i="12"/>
  <c r="C249" i="33"/>
  <c r="E249" i="33" s="1"/>
  <c r="F249" i="32"/>
  <c r="G249" i="32" s="1"/>
  <c r="C11" i="12"/>
  <c r="C11" i="33"/>
  <c r="E11" i="33" s="1"/>
  <c r="F11" i="32"/>
  <c r="G11" i="32" s="1"/>
  <c r="C11" i="39"/>
  <c r="C35" i="12"/>
  <c r="C35" i="39"/>
  <c r="C35" i="33"/>
  <c r="E35" i="33" s="1"/>
  <c r="F35" i="32"/>
  <c r="G35" i="32" s="1"/>
  <c r="C50" i="39"/>
  <c r="C50" i="12"/>
  <c r="F50" i="32"/>
  <c r="G50" i="32" s="1"/>
  <c r="C50" i="33"/>
  <c r="E50" i="33" s="1"/>
  <c r="C135" i="12"/>
  <c r="C135" i="33"/>
  <c r="E135" i="33" s="1"/>
  <c r="C135" i="39"/>
  <c r="F135" i="32"/>
  <c r="G135" i="32" s="1"/>
  <c r="C24" i="39"/>
  <c r="C24" i="12"/>
  <c r="C24" i="33"/>
  <c r="E24" i="33" s="1"/>
  <c r="F24" i="32"/>
  <c r="G24" i="32" s="1"/>
  <c r="C222" i="12"/>
  <c r="C222" i="39"/>
  <c r="C222" i="33"/>
  <c r="E222" i="33" s="1"/>
  <c r="F222" i="32"/>
  <c r="G222" i="32" s="1"/>
  <c r="C16" i="39"/>
  <c r="C16" i="12"/>
  <c r="C16" i="33"/>
  <c r="E16" i="33" s="1"/>
  <c r="F16" i="32"/>
  <c r="G16" i="32" s="1"/>
  <c r="C302" i="12"/>
  <c r="C302" i="39"/>
  <c r="C302" i="33"/>
  <c r="E302" i="33" s="1"/>
  <c r="F302" i="32"/>
  <c r="G302" i="32" s="1"/>
  <c r="C166" i="12"/>
  <c r="C166" i="33"/>
  <c r="E166" i="33" s="1"/>
  <c r="C166" i="39"/>
  <c r="F166" i="32"/>
  <c r="G166" i="32" s="1"/>
  <c r="C149" i="39"/>
  <c r="C149" i="12"/>
  <c r="C149" i="33"/>
  <c r="E149" i="33" s="1"/>
  <c r="F149" i="32"/>
  <c r="G149" i="32" s="1"/>
  <c r="C127" i="12"/>
  <c r="C127" i="39"/>
  <c r="F127" i="32"/>
  <c r="G127" i="32" s="1"/>
  <c r="C127" i="33"/>
  <c r="E127" i="33" s="1"/>
  <c r="C272" i="39"/>
  <c r="C272" i="12"/>
  <c r="F272" i="32"/>
  <c r="G272" i="32" s="1"/>
  <c r="C272" i="33"/>
  <c r="E272" i="33" s="1"/>
  <c r="C306" i="12"/>
  <c r="C306" i="39"/>
  <c r="F306" i="32"/>
  <c r="G306" i="32" s="1"/>
  <c r="C306" i="33"/>
  <c r="E306" i="33" s="1"/>
  <c r="C87" i="12"/>
  <c r="C87" i="33"/>
  <c r="E87" i="33" s="1"/>
  <c r="C87" i="39"/>
  <c r="F87" i="32"/>
  <c r="G87" i="32" s="1"/>
  <c r="C193" i="39"/>
  <c r="C193" i="33"/>
  <c r="E193" i="33" s="1"/>
  <c r="C193" i="12"/>
  <c r="F193" i="32"/>
  <c r="G193" i="32" s="1"/>
  <c r="C99" i="12"/>
  <c r="C99" i="39"/>
  <c r="C99" i="33"/>
  <c r="E99" i="33" s="1"/>
  <c r="F99" i="32"/>
  <c r="G99" i="32" s="1"/>
  <c r="C54" i="12"/>
  <c r="C54" i="33"/>
  <c r="E54" i="33" s="1"/>
  <c r="C54" i="39"/>
  <c r="F54" i="32"/>
  <c r="G54" i="32" s="1"/>
  <c r="C107" i="12"/>
  <c r="F107" i="32"/>
  <c r="G107" i="32" s="1"/>
  <c r="C107" i="39"/>
  <c r="C107" i="33"/>
  <c r="E107" i="33" s="1"/>
  <c r="C251" i="39"/>
  <c r="C251" i="33"/>
  <c r="E251" i="33" s="1"/>
  <c r="F251" i="32"/>
  <c r="G251" i="32" s="1"/>
  <c r="C251" i="12"/>
  <c r="C36" i="33"/>
  <c r="E36" i="33" s="1"/>
  <c r="C36" i="12"/>
  <c r="C36" i="39"/>
  <c r="F36" i="32"/>
  <c r="G36" i="32" s="1"/>
  <c r="C131" i="12"/>
  <c r="C131" i="39"/>
  <c r="C131" i="33"/>
  <c r="E131" i="33" s="1"/>
  <c r="F131" i="32"/>
  <c r="G131" i="32" s="1"/>
  <c r="C141" i="39"/>
  <c r="C141" i="12"/>
  <c r="F141" i="32"/>
  <c r="G141" i="32" s="1"/>
  <c r="C141" i="33"/>
  <c r="E141" i="33" s="1"/>
  <c r="C201" i="39"/>
  <c r="C201" i="12"/>
  <c r="C201" i="33"/>
  <c r="E201" i="33" s="1"/>
  <c r="F201" i="32"/>
  <c r="G201" i="32" s="1"/>
  <c r="C28" i="33"/>
  <c r="E28" i="33" s="1"/>
  <c r="C28" i="12"/>
  <c r="F28" i="32"/>
  <c r="G28" i="32" s="1"/>
  <c r="C28" i="39"/>
  <c r="C8" i="39"/>
  <c r="C8" i="33"/>
  <c r="E8" i="33" s="1"/>
  <c r="C8" i="12"/>
  <c r="F8" i="32"/>
  <c r="G8" i="32" s="1"/>
  <c r="C86" i="12"/>
  <c r="C86" i="39"/>
  <c r="F86" i="32"/>
  <c r="G86" i="32" s="1"/>
  <c r="C86" i="33"/>
  <c r="E86" i="33" s="1"/>
  <c r="C277" i="12"/>
  <c r="C277" i="33"/>
  <c r="E277" i="33" s="1"/>
  <c r="C277" i="39"/>
  <c r="F277" i="32"/>
  <c r="G277" i="32" s="1"/>
  <c r="C238" i="12"/>
  <c r="C238" i="39"/>
  <c r="C238" i="33"/>
  <c r="E238" i="33" s="1"/>
  <c r="F238" i="32"/>
  <c r="G238" i="32" s="1"/>
  <c r="C142" i="12"/>
  <c r="C142" i="39"/>
  <c r="C142" i="33"/>
  <c r="E142" i="33" s="1"/>
  <c r="F142" i="32"/>
  <c r="G142" i="32" s="1"/>
  <c r="C273" i="39"/>
  <c r="C273" i="12"/>
  <c r="C273" i="33"/>
  <c r="E273" i="33" s="1"/>
  <c r="F273" i="32"/>
  <c r="G273" i="32" s="1"/>
  <c r="C247" i="39"/>
  <c r="C247" i="12"/>
  <c r="C247" i="33"/>
  <c r="E247" i="33" s="1"/>
  <c r="F247" i="32"/>
  <c r="G247" i="32" s="1"/>
  <c r="C10" i="39"/>
  <c r="C10" i="33"/>
  <c r="E10" i="33" s="1"/>
  <c r="C10" i="12"/>
  <c r="F10" i="32"/>
  <c r="G10" i="32" s="1"/>
  <c r="C74" i="39"/>
  <c r="C74" i="33"/>
  <c r="E74" i="33" s="1"/>
  <c r="C74" i="12"/>
  <c r="F74" i="32"/>
  <c r="G74" i="32" s="1"/>
  <c r="C151" i="12"/>
  <c r="C151" i="39"/>
  <c r="F151" i="32"/>
  <c r="G151" i="32" s="1"/>
  <c r="C151" i="33"/>
  <c r="E151" i="33" s="1"/>
  <c r="C265" i="39"/>
  <c r="C265" i="12"/>
  <c r="C265" i="33"/>
  <c r="E265" i="33" s="1"/>
  <c r="F265" i="32"/>
  <c r="G265" i="32" s="1"/>
  <c r="C43" i="12"/>
  <c r="C43" i="33"/>
  <c r="E43" i="33" s="1"/>
  <c r="F43" i="32"/>
  <c r="G43" i="32" s="1"/>
  <c r="C43" i="39"/>
  <c r="C105" i="39"/>
  <c r="C105" i="12"/>
  <c r="C105" i="33"/>
  <c r="E105" i="33" s="1"/>
  <c r="F105" i="32"/>
  <c r="G105" i="32" s="1"/>
  <c r="C271" i="39"/>
  <c r="C271" i="12"/>
  <c r="F271" i="32"/>
  <c r="G271" i="32" s="1"/>
  <c r="C271" i="33"/>
  <c r="E271" i="33" s="1"/>
  <c r="C255" i="39"/>
  <c r="C255" i="12"/>
  <c r="F255" i="32"/>
  <c r="G255" i="32" s="1"/>
  <c r="C255" i="33"/>
  <c r="E255" i="33" s="1"/>
  <c r="C17" i="39"/>
  <c r="C17" i="12"/>
  <c r="C17" i="33"/>
  <c r="E17" i="33" s="1"/>
  <c r="F17" i="32"/>
  <c r="G17" i="32" s="1"/>
  <c r="C120" i="39"/>
  <c r="C120" i="12"/>
  <c r="F120" i="32"/>
  <c r="G120" i="32" s="1"/>
  <c r="C120" i="33"/>
  <c r="E120" i="33" s="1"/>
  <c r="C274" i="12"/>
  <c r="C274" i="39"/>
  <c r="C274" i="33"/>
  <c r="E274" i="33" s="1"/>
  <c r="F274" i="32"/>
  <c r="G274" i="32" s="1"/>
  <c r="C305" i="39"/>
  <c r="C305" i="12"/>
  <c r="C305" i="33"/>
  <c r="E305" i="33" s="1"/>
  <c r="F305" i="32"/>
  <c r="G305" i="32" s="1"/>
  <c r="C177" i="39"/>
  <c r="C177" i="33"/>
  <c r="E177" i="33" s="1"/>
  <c r="C177" i="12"/>
  <c r="F177" i="32"/>
  <c r="G177" i="32" s="1"/>
  <c r="C230" i="12"/>
  <c r="C230" i="33"/>
  <c r="E230" i="33" s="1"/>
  <c r="C230" i="39"/>
  <c r="F230" i="32"/>
  <c r="G230" i="32" s="1"/>
  <c r="C157" i="39"/>
  <c r="C157" i="33"/>
  <c r="E157" i="33" s="1"/>
  <c r="F157" i="32"/>
  <c r="G157" i="32" s="1"/>
  <c r="C157" i="12"/>
  <c r="C121" i="39"/>
  <c r="C121" i="12"/>
  <c r="C121" i="33"/>
  <c r="E121" i="33" s="1"/>
  <c r="F121" i="32"/>
  <c r="G121" i="32" s="1"/>
  <c r="C192" i="39"/>
  <c r="C192" i="12"/>
  <c r="F192" i="32"/>
  <c r="G192" i="32" s="1"/>
  <c r="C192" i="33"/>
  <c r="E192" i="33" s="1"/>
  <c r="C276" i="39"/>
  <c r="C276" i="12"/>
  <c r="C276" i="33"/>
  <c r="E276" i="33" s="1"/>
  <c r="F276" i="32"/>
  <c r="G276" i="32" s="1"/>
  <c r="C97" i="39"/>
  <c r="C97" i="33"/>
  <c r="E97" i="33" s="1"/>
  <c r="F97" i="32"/>
  <c r="G97" i="32" s="1"/>
  <c r="C97" i="12"/>
  <c r="C289" i="39"/>
  <c r="C289" i="33"/>
  <c r="E289" i="33" s="1"/>
  <c r="F289" i="32"/>
  <c r="G289" i="32" s="1"/>
  <c r="C289" i="12"/>
  <c r="C198" i="12"/>
  <c r="C198" i="33"/>
  <c r="E198" i="33" s="1"/>
  <c r="C198" i="39"/>
  <c r="F198" i="32"/>
  <c r="G198" i="32" s="1"/>
  <c r="C220" i="12"/>
  <c r="C220" i="33"/>
  <c r="E220" i="33" s="1"/>
  <c r="F220" i="32"/>
  <c r="G220" i="32" s="1"/>
  <c r="C220" i="39"/>
  <c r="C229" i="39"/>
  <c r="C229" i="33"/>
  <c r="E229" i="33" s="1"/>
  <c r="F229" i="32"/>
  <c r="G229" i="32" s="1"/>
  <c r="C229" i="12"/>
  <c r="C297" i="39"/>
  <c r="C297" i="12"/>
  <c r="C297" i="33"/>
  <c r="E297" i="33" s="1"/>
  <c r="F297" i="32"/>
  <c r="G297" i="32" s="1"/>
  <c r="C269" i="12"/>
  <c r="C269" i="39"/>
  <c r="F269" i="32"/>
  <c r="G269" i="32" s="1"/>
  <c r="C269" i="33"/>
  <c r="E269" i="33" s="1"/>
  <c r="C204" i="12"/>
  <c r="C204" i="39"/>
  <c r="F204" i="32"/>
  <c r="G204" i="32" s="1"/>
  <c r="C204" i="33"/>
  <c r="E204" i="33" s="1"/>
  <c r="C39" i="12"/>
  <c r="C39" i="39"/>
  <c r="C39" i="33"/>
  <c r="E39" i="33" s="1"/>
  <c r="F39" i="32"/>
  <c r="G39" i="32" s="1"/>
  <c r="C44" i="12"/>
  <c r="F44" i="32"/>
  <c r="G44" i="32" s="1"/>
  <c r="C44" i="33"/>
  <c r="E44" i="33" s="1"/>
  <c r="C44" i="39"/>
  <c r="C85" i="39"/>
  <c r="C85" i="33"/>
  <c r="E85" i="33" s="1"/>
  <c r="C85" i="12"/>
  <c r="F85" i="32"/>
  <c r="G85" i="32" s="1"/>
  <c r="C23" i="33"/>
  <c r="E23" i="33" s="1"/>
  <c r="C23" i="12"/>
  <c r="C23" i="39"/>
  <c r="F23" i="32"/>
  <c r="G23" i="32" s="1"/>
  <c r="C185" i="39"/>
  <c r="C185" i="12"/>
  <c r="C185" i="33"/>
  <c r="E185" i="33" s="1"/>
  <c r="F185" i="32"/>
  <c r="G185" i="32" s="1"/>
  <c r="C252" i="39"/>
  <c r="C252" i="12"/>
  <c r="F252" i="32"/>
  <c r="G252" i="32" s="1"/>
  <c r="C252" i="33"/>
  <c r="E252" i="33" s="1"/>
  <c r="C234" i="39"/>
  <c r="C234" i="12"/>
  <c r="C234" i="33"/>
  <c r="E234" i="33" s="1"/>
  <c r="F234" i="32"/>
  <c r="G234" i="32" s="1"/>
  <c r="C130" i="39"/>
  <c r="C130" i="33"/>
  <c r="E130" i="33" s="1"/>
  <c r="C130" i="12"/>
  <c r="F130" i="32"/>
  <c r="G130" i="32" s="1"/>
  <c r="C203" i="12"/>
  <c r="C203" i="33"/>
  <c r="E203" i="33" s="1"/>
  <c r="F203" i="32"/>
  <c r="G203" i="32" s="1"/>
  <c r="C203" i="39"/>
  <c r="C257" i="39"/>
  <c r="F257" i="32"/>
  <c r="G257" i="32" s="1"/>
  <c r="C257" i="33"/>
  <c r="E257" i="33" s="1"/>
  <c r="C257" i="12"/>
  <c r="C96" i="39"/>
  <c r="C96" i="12"/>
  <c r="C96" i="33"/>
  <c r="E96" i="33" s="1"/>
  <c r="F96" i="32"/>
  <c r="G96" i="32" s="1"/>
  <c r="C186" i="39"/>
  <c r="C186" i="12"/>
  <c r="C186" i="33"/>
  <c r="E186" i="33" s="1"/>
  <c r="F186" i="32"/>
  <c r="G186" i="32" s="1"/>
  <c r="C179" i="12"/>
  <c r="C179" i="39"/>
  <c r="C179" i="33"/>
  <c r="E179" i="33" s="1"/>
  <c r="F179" i="32"/>
  <c r="G179" i="32" s="1"/>
  <c r="C158" i="12"/>
  <c r="C158" i="39"/>
  <c r="C158" i="33"/>
  <c r="E158" i="33" s="1"/>
  <c r="F158" i="32"/>
  <c r="G158" i="32" s="1"/>
  <c r="C312" i="39"/>
  <c r="C312" i="12"/>
  <c r="C312" i="33"/>
  <c r="E312" i="33" s="1"/>
  <c r="F312" i="32"/>
  <c r="G312" i="32" s="1"/>
  <c r="C165" i="39"/>
  <c r="C165" i="33"/>
  <c r="E165" i="33" s="1"/>
  <c r="F165" i="32"/>
  <c r="G165" i="32" s="1"/>
  <c r="C165" i="12"/>
  <c r="C81" i="39"/>
  <c r="C81" i="33"/>
  <c r="E81" i="33" s="1"/>
  <c r="C81" i="12"/>
  <c r="F81" i="32"/>
  <c r="G81" i="32" s="1"/>
  <c r="C161" i="39"/>
  <c r="C161" i="33"/>
  <c r="E161" i="33" s="1"/>
  <c r="C161" i="12"/>
  <c r="F161" i="32"/>
  <c r="G161" i="32" s="1"/>
  <c r="C116" i="33"/>
  <c r="E116" i="33" s="1"/>
  <c r="C116" i="39"/>
  <c r="C116" i="12"/>
  <c r="F116" i="32"/>
  <c r="G116" i="32" s="1"/>
  <c r="C233" i="39"/>
  <c r="C233" i="12"/>
  <c r="C233" i="33"/>
  <c r="E233" i="33" s="1"/>
  <c r="F233" i="32"/>
  <c r="G233" i="32" s="1"/>
  <c r="C226" i="39"/>
  <c r="C226" i="12"/>
  <c r="C226" i="33"/>
  <c r="E226" i="33" s="1"/>
  <c r="F226" i="32"/>
  <c r="G226" i="32" s="1"/>
  <c r="C26" i="39"/>
  <c r="C26" i="33"/>
  <c r="E26" i="33" s="1"/>
  <c r="C26" i="12"/>
  <c r="F26" i="32"/>
  <c r="G26" i="32" s="1"/>
  <c r="C212" i="39"/>
  <c r="C212" i="12"/>
  <c r="C212" i="33"/>
  <c r="E212" i="33" s="1"/>
  <c r="F212" i="32"/>
  <c r="G212" i="32" s="1"/>
  <c r="C153" i="39"/>
  <c r="C153" i="12"/>
  <c r="C153" i="33"/>
  <c r="E153" i="33" s="1"/>
  <c r="F153" i="32"/>
  <c r="G153" i="32" s="1"/>
  <c r="C199" i="12"/>
  <c r="C199" i="33"/>
  <c r="E199" i="33" s="1"/>
  <c r="C199" i="39"/>
  <c r="F199" i="32"/>
  <c r="G199" i="32" s="1"/>
  <c r="C60" i="12"/>
  <c r="C60" i="33"/>
  <c r="E60" i="33" s="1"/>
  <c r="F60" i="32"/>
  <c r="G60" i="32" s="1"/>
  <c r="C60" i="39"/>
  <c r="C111" i="12"/>
  <c r="C111" i="33"/>
  <c r="E111" i="33" s="1"/>
  <c r="C111" i="39"/>
  <c r="F111" i="32"/>
  <c r="G111" i="32" s="1"/>
  <c r="C27" i="33"/>
  <c r="E27" i="33" s="1"/>
  <c r="C27" i="12"/>
  <c r="C27" i="39"/>
  <c r="F27" i="32"/>
  <c r="G27" i="32" s="1"/>
  <c r="C160" i="39"/>
  <c r="C160" i="12"/>
  <c r="F160" i="32"/>
  <c r="G160" i="32" s="1"/>
  <c r="C160" i="33"/>
  <c r="E160" i="33" s="1"/>
  <c r="C253" i="12"/>
  <c r="C253" i="39"/>
  <c r="C253" i="33"/>
  <c r="E253" i="33" s="1"/>
  <c r="F253" i="32"/>
  <c r="G253" i="32" s="1"/>
  <c r="C298" i="12"/>
  <c r="C298" i="33"/>
  <c r="E298" i="33" s="1"/>
  <c r="C298" i="39"/>
  <c r="F298" i="32"/>
  <c r="G298" i="32" s="1"/>
  <c r="C115" i="12"/>
  <c r="C115" i="33"/>
  <c r="E115" i="33" s="1"/>
  <c r="C115" i="39"/>
  <c r="F115" i="32"/>
  <c r="G115" i="32" s="1"/>
  <c r="C118" i="12"/>
  <c r="C118" i="39"/>
  <c r="C118" i="33"/>
  <c r="E118" i="33" s="1"/>
  <c r="F118" i="32"/>
  <c r="G118" i="32" s="1"/>
  <c r="C284" i="39"/>
  <c r="C284" i="12"/>
  <c r="F284" i="32"/>
  <c r="G284" i="32" s="1"/>
  <c r="C284" i="33"/>
  <c r="E284" i="33" s="1"/>
  <c r="C145" i="39"/>
  <c r="C145" i="12"/>
  <c r="C145" i="33"/>
  <c r="E145" i="33" s="1"/>
  <c r="F145" i="32"/>
  <c r="G145" i="32" s="1"/>
  <c r="C140" i="12"/>
  <c r="C140" i="33"/>
  <c r="E140" i="33" s="1"/>
  <c r="C140" i="39"/>
  <c r="F140" i="32"/>
  <c r="G140" i="32" s="1"/>
  <c r="C211" i="12"/>
  <c r="C211" i="39"/>
  <c r="C211" i="33"/>
  <c r="E211" i="33" s="1"/>
  <c r="F211" i="32"/>
  <c r="G211" i="32" s="1"/>
  <c r="C313" i="39"/>
  <c r="C313" i="12"/>
  <c r="C313" i="33"/>
  <c r="E313" i="33" s="1"/>
  <c r="F313" i="32"/>
  <c r="G313" i="32" s="1"/>
  <c r="C29" i="33"/>
  <c r="E29" i="33" s="1"/>
  <c r="C29" i="39"/>
  <c r="F29" i="32"/>
  <c r="G29" i="32" s="1"/>
  <c r="C29" i="12"/>
  <c r="C239" i="12"/>
  <c r="C239" i="39"/>
  <c r="F239" i="32"/>
  <c r="G239" i="32" s="1"/>
  <c r="C239" i="33"/>
  <c r="E239" i="33" s="1"/>
  <c r="C19" i="12"/>
  <c r="C19" i="39"/>
  <c r="F19" i="32"/>
  <c r="G19" i="32" s="1"/>
  <c r="C19" i="33"/>
  <c r="E19" i="33" s="1"/>
  <c r="C200" i="39"/>
  <c r="C200" i="12"/>
  <c r="C200" i="33"/>
  <c r="E200" i="33" s="1"/>
  <c r="F200" i="32"/>
  <c r="G200" i="32" s="1"/>
  <c r="C68" i="33"/>
  <c r="E68" i="33" s="1"/>
  <c r="C68" i="12"/>
  <c r="C68" i="39"/>
  <c r="F68" i="32"/>
  <c r="G68" i="32" s="1"/>
  <c r="C196" i="33"/>
  <c r="E196" i="33" s="1"/>
  <c r="F196" i="32"/>
  <c r="G196" i="32" s="1"/>
  <c r="C196" i="12"/>
  <c r="C196" i="39"/>
  <c r="C126" i="12"/>
  <c r="C126" i="39"/>
  <c r="C126" i="33"/>
  <c r="E126" i="33" s="1"/>
  <c r="F126" i="32"/>
  <c r="G126" i="32" s="1"/>
  <c r="C84" i="33"/>
  <c r="E84" i="33" s="1"/>
  <c r="C84" i="39"/>
  <c r="C84" i="12"/>
  <c r="F84" i="32"/>
  <c r="G84" i="32" s="1"/>
  <c r="C205" i="39"/>
  <c r="C205" i="12"/>
  <c r="C205" i="33"/>
  <c r="E205" i="33" s="1"/>
  <c r="F205" i="32"/>
  <c r="G205" i="32" s="1"/>
  <c r="C98" i="39"/>
  <c r="C98" i="12"/>
  <c r="F98" i="32"/>
  <c r="G98" i="32" s="1"/>
  <c r="C98" i="33"/>
  <c r="E98" i="33" s="1"/>
  <c r="C106" i="39"/>
  <c r="C106" i="12"/>
  <c r="C106" i="33"/>
  <c r="E106" i="33" s="1"/>
  <c r="F106" i="32"/>
  <c r="G106" i="32" s="1"/>
  <c r="C91" i="12"/>
  <c r="C91" i="33"/>
  <c r="E91" i="33" s="1"/>
  <c r="F91" i="32"/>
  <c r="G91" i="32" s="1"/>
  <c r="C91" i="39"/>
  <c r="C14" i="12"/>
  <c r="C14" i="33"/>
  <c r="E14" i="33" s="1"/>
  <c r="C14" i="39"/>
  <c r="F14" i="32"/>
  <c r="G14" i="32" s="1"/>
  <c r="C259" i="39"/>
  <c r="C259" i="12"/>
  <c r="F259" i="32"/>
  <c r="G259" i="32" s="1"/>
  <c r="C259" i="33"/>
  <c r="E259" i="33" s="1"/>
  <c r="C42" i="39"/>
  <c r="C42" i="12"/>
  <c r="C42" i="33"/>
  <c r="E42" i="33" s="1"/>
  <c r="F42" i="32"/>
  <c r="G42" i="32" s="1"/>
  <c r="C224" i="39"/>
  <c r="C224" i="12"/>
  <c r="C224" i="33"/>
  <c r="E224" i="33" s="1"/>
  <c r="F224" i="32"/>
  <c r="G224" i="32" s="1"/>
  <c r="C246" i="12"/>
  <c r="C246" i="39"/>
  <c r="F246" i="32"/>
  <c r="G246" i="32" s="1"/>
  <c r="C246" i="33"/>
  <c r="E246" i="33" s="1"/>
  <c r="C187" i="12"/>
  <c r="C187" i="33"/>
  <c r="E187" i="33" s="1"/>
  <c r="C187" i="39"/>
  <c r="F187" i="32"/>
  <c r="G187" i="32" s="1"/>
  <c r="C114" i="39"/>
  <c r="C114" i="12"/>
  <c r="F114" i="32"/>
  <c r="G114" i="32" s="1"/>
  <c r="C114" i="33"/>
  <c r="E114" i="33" s="1"/>
  <c r="C173" i="39"/>
  <c r="C173" i="12"/>
  <c r="F173" i="32"/>
  <c r="G173" i="32" s="1"/>
  <c r="C173" i="33"/>
  <c r="E173" i="33" s="1"/>
  <c r="C293" i="12"/>
  <c r="C293" i="33"/>
  <c r="E293" i="33" s="1"/>
  <c r="F293" i="32"/>
  <c r="G293" i="32" s="1"/>
  <c r="C293" i="39"/>
  <c r="C159" i="12"/>
  <c r="C159" i="39"/>
  <c r="C159" i="33"/>
  <c r="E159" i="33" s="1"/>
  <c r="F159" i="32"/>
  <c r="G159" i="32" s="1"/>
  <c r="C256" i="39"/>
  <c r="C256" i="12"/>
  <c r="C256" i="33"/>
  <c r="E256" i="33" s="1"/>
  <c r="F256" i="32"/>
  <c r="G256" i="32" s="1"/>
  <c r="C232" i="39"/>
  <c r="C232" i="12"/>
  <c r="C232" i="33"/>
  <c r="E232" i="33" s="1"/>
  <c r="F232" i="32"/>
  <c r="G232" i="32" s="1"/>
  <c r="C183" i="12"/>
  <c r="C183" i="39"/>
  <c r="C183" i="33"/>
  <c r="E183" i="33" s="1"/>
  <c r="F183" i="32"/>
  <c r="G183" i="32" s="1"/>
  <c r="C301" i="12"/>
  <c r="C301" i="39"/>
  <c r="F301" i="32"/>
  <c r="G301" i="32" s="1"/>
  <c r="C301" i="33"/>
  <c r="E301" i="33" s="1"/>
  <c r="C223" i="12"/>
  <c r="C223" i="39"/>
  <c r="F223" i="32"/>
  <c r="G223" i="32" s="1"/>
  <c r="C223" i="33"/>
  <c r="E223" i="33" s="1"/>
  <c r="C244" i="39"/>
  <c r="C244" i="12"/>
  <c r="F244" i="32"/>
  <c r="G244" i="32" s="1"/>
  <c r="C244" i="33"/>
  <c r="E244" i="33" s="1"/>
  <c r="C264" i="39"/>
  <c r="C264" i="12"/>
  <c r="C264" i="33"/>
  <c r="E264" i="33" s="1"/>
  <c r="F264" i="32"/>
  <c r="G264" i="32" s="1"/>
  <c r="C57" i="39"/>
  <c r="C57" i="12"/>
  <c r="C57" i="33"/>
  <c r="E57" i="33" s="1"/>
  <c r="F57" i="32"/>
  <c r="G57" i="32" s="1"/>
  <c r="C146" i="39"/>
  <c r="C146" i="33"/>
  <c r="E146" i="33" s="1"/>
  <c r="C146" i="12"/>
  <c r="F146" i="32"/>
  <c r="G146" i="32" s="1"/>
  <c r="C282" i="12"/>
  <c r="F282" i="32"/>
  <c r="G282" i="32" s="1"/>
  <c r="C282" i="39"/>
  <c r="C282" i="33"/>
  <c r="E282" i="33" s="1"/>
  <c r="C178" i="39"/>
  <c r="C178" i="12"/>
  <c r="C178" i="33"/>
  <c r="E178" i="33" s="1"/>
  <c r="F178" i="32"/>
  <c r="G178" i="32" s="1"/>
  <c r="C25" i="39"/>
  <c r="C25" i="33"/>
  <c r="E25" i="33" s="1"/>
  <c r="C25" i="12"/>
  <c r="F25" i="32"/>
  <c r="G25" i="32" s="1"/>
  <c r="C209" i="39"/>
  <c r="C209" i="33"/>
  <c r="E209" i="33" s="1"/>
  <c r="C209" i="12"/>
  <c r="F209" i="32"/>
  <c r="G209" i="32" s="1"/>
  <c r="C82" i="39"/>
  <c r="C82" i="12"/>
  <c r="F82" i="32"/>
  <c r="G82" i="32" s="1"/>
  <c r="C82" i="33"/>
  <c r="E82" i="33" s="1"/>
  <c r="C33" i="39"/>
  <c r="C33" i="33"/>
  <c r="E33" i="33" s="1"/>
  <c r="C33" i="12"/>
  <c r="F33" i="32"/>
  <c r="G33" i="32" s="1"/>
  <c r="C236" i="12"/>
  <c r="C236" i="33"/>
  <c r="E236" i="33" s="1"/>
  <c r="F236" i="32"/>
  <c r="G236" i="32" s="1"/>
  <c r="C236" i="39"/>
  <c r="C221" i="39"/>
  <c r="C221" i="12"/>
  <c r="C221" i="33"/>
  <c r="E221" i="33" s="1"/>
  <c r="F221" i="32"/>
  <c r="G221" i="32" s="1"/>
  <c r="C80" i="39"/>
  <c r="C80" i="12"/>
  <c r="F80" i="32"/>
  <c r="G80" i="32" s="1"/>
  <c r="C80" i="33"/>
  <c r="E80" i="33" s="1"/>
  <c r="C215" i="12"/>
  <c r="C215" i="33"/>
  <c r="E215" i="33" s="1"/>
  <c r="C215" i="39"/>
  <c r="F215" i="32"/>
  <c r="G215" i="32" s="1"/>
  <c r="C95" i="12"/>
  <c r="C95" i="33"/>
  <c r="E95" i="33" s="1"/>
  <c r="C95" i="39"/>
  <c r="F95" i="32"/>
  <c r="G95" i="32" s="1"/>
  <c r="C59" i="12"/>
  <c r="C59" i="39"/>
  <c r="F59" i="32"/>
  <c r="G59" i="32" s="1"/>
  <c r="C59" i="33"/>
  <c r="E59" i="33" s="1"/>
  <c r="C227" i="12"/>
  <c r="C227" i="39"/>
  <c r="F227" i="32"/>
  <c r="G227" i="32" s="1"/>
  <c r="C227" i="33"/>
  <c r="E227" i="33" s="1"/>
  <c r="C56" i="39"/>
  <c r="C56" i="12"/>
  <c r="C56" i="33"/>
  <c r="E56" i="33" s="1"/>
  <c r="F56" i="32"/>
  <c r="G56" i="32" s="1"/>
  <c r="C37" i="39"/>
  <c r="C37" i="33"/>
  <c r="E37" i="33" s="1"/>
  <c r="F37" i="32"/>
  <c r="G37" i="32" s="1"/>
  <c r="C37" i="12"/>
  <c r="C288" i="39"/>
  <c r="C288" i="12"/>
  <c r="C288" i="33"/>
  <c r="E288" i="33" s="1"/>
  <c r="F288" i="32"/>
  <c r="G288" i="32" s="1"/>
  <c r="C190" i="12"/>
  <c r="C190" i="39"/>
  <c r="F190" i="32"/>
  <c r="G190" i="32" s="1"/>
  <c r="C190" i="33"/>
  <c r="E190" i="33" s="1"/>
  <c r="C217" i="39"/>
  <c r="C217" i="12"/>
  <c r="C217" i="33"/>
  <c r="E217" i="33" s="1"/>
  <c r="F217" i="32"/>
  <c r="G217" i="32" s="1"/>
  <c r="C88" i="39"/>
  <c r="C88" i="12"/>
  <c r="F88" i="32"/>
  <c r="G88" i="32" s="1"/>
  <c r="C88" i="33"/>
  <c r="E88" i="33" s="1"/>
  <c r="C90" i="39"/>
  <c r="C90" i="12"/>
  <c r="C90" i="33"/>
  <c r="E90" i="33" s="1"/>
  <c r="F90" i="32"/>
  <c r="G90" i="32" s="1"/>
  <c r="C51" i="12"/>
  <c r="C51" i="39"/>
  <c r="C51" i="33"/>
  <c r="E51" i="33" s="1"/>
  <c r="F51" i="32"/>
  <c r="G51" i="32" s="1"/>
  <c r="C129" i="39"/>
  <c r="F129" i="32"/>
  <c r="G129" i="32" s="1"/>
  <c r="C129" i="12"/>
  <c r="C129" i="33"/>
  <c r="E129" i="33" s="1"/>
  <c r="C248" i="39"/>
  <c r="C248" i="12"/>
  <c r="F248" i="32"/>
  <c r="G248" i="32" s="1"/>
  <c r="C248" i="33"/>
  <c r="E248" i="33" s="1"/>
  <c r="C40" i="39"/>
  <c r="C40" i="12"/>
  <c r="C40" i="33"/>
  <c r="E40" i="33" s="1"/>
  <c r="F40" i="32"/>
  <c r="G40" i="32" s="1"/>
  <c r="C123" i="12"/>
  <c r="F123" i="32"/>
  <c r="G123" i="32" s="1"/>
  <c r="C123" i="39"/>
  <c r="C123" i="33"/>
  <c r="E123" i="33" s="1"/>
  <c r="C310" i="12"/>
  <c r="C310" i="39"/>
  <c r="C310" i="33"/>
  <c r="E310" i="33" s="1"/>
  <c r="F310" i="32"/>
  <c r="G310" i="32" s="1"/>
  <c r="C75" i="12"/>
  <c r="C75" i="33"/>
  <c r="E75" i="33" s="1"/>
  <c r="F75" i="32"/>
  <c r="G75" i="32" s="1"/>
  <c r="C75" i="39"/>
  <c r="C70" i="12"/>
  <c r="C70" i="39"/>
  <c r="C70" i="33"/>
  <c r="E70" i="33" s="1"/>
  <c r="F70" i="32"/>
  <c r="G70" i="32" s="1"/>
  <c r="C299" i="12"/>
  <c r="C299" i="39"/>
  <c r="C299" i="33"/>
  <c r="E299" i="33" s="1"/>
  <c r="F299" i="32"/>
  <c r="G299" i="32" s="1"/>
  <c r="C270" i="12"/>
  <c r="C270" i="39"/>
  <c r="C270" i="33"/>
  <c r="E270" i="33" s="1"/>
  <c r="F270" i="32"/>
  <c r="G270" i="32" s="1"/>
  <c r="C148" i="33"/>
  <c r="E148" i="33" s="1"/>
  <c r="C148" i="39"/>
  <c r="C148" i="12"/>
  <c r="F148" i="32"/>
  <c r="G148" i="32" s="1"/>
  <c r="C300" i="39"/>
  <c r="C300" i="12"/>
  <c r="C300" i="33"/>
  <c r="E300" i="33" s="1"/>
  <c r="F300" i="32"/>
  <c r="G300" i="32" s="1"/>
  <c r="C119" i="12"/>
  <c r="C119" i="39"/>
  <c r="C119" i="33"/>
  <c r="E119" i="33" s="1"/>
  <c r="F119" i="32"/>
  <c r="G119" i="32" s="1"/>
  <c r="C241" i="39"/>
  <c r="C241" i="12"/>
  <c r="F241" i="32"/>
  <c r="G241" i="32" s="1"/>
  <c r="C241" i="33"/>
  <c r="E241" i="33" s="1"/>
  <c r="C279" i="39"/>
  <c r="C279" i="12"/>
  <c r="C279" i="33"/>
  <c r="E279" i="33" s="1"/>
  <c r="F279" i="32"/>
  <c r="G279" i="32" s="1"/>
  <c r="C63" i="12"/>
  <c r="C63" i="33"/>
  <c r="E63" i="33" s="1"/>
  <c r="C63" i="39"/>
  <c r="F63" i="32"/>
  <c r="G63" i="32" s="1"/>
  <c r="C189" i="39"/>
  <c r="C189" i="33"/>
  <c r="E189" i="33" s="1"/>
  <c r="C189" i="12"/>
  <c r="F189" i="32"/>
  <c r="G189" i="32" s="1"/>
  <c r="C32" i="39"/>
  <c r="C32" i="12"/>
  <c r="C32" i="33"/>
  <c r="E32" i="33" s="1"/>
  <c r="F32" i="32"/>
  <c r="G32" i="32" s="1"/>
  <c r="C170" i="39"/>
  <c r="C170" i="12"/>
  <c r="C170" i="33"/>
  <c r="E170" i="33" s="1"/>
  <c r="F170" i="32"/>
  <c r="G170" i="32" s="1"/>
  <c r="C195" i="12"/>
  <c r="C195" i="33"/>
  <c r="E195" i="33" s="1"/>
  <c r="C195" i="39"/>
  <c r="F195" i="32"/>
  <c r="G195" i="32" s="1"/>
  <c r="C67" i="12"/>
  <c r="C67" i="33"/>
  <c r="E67" i="33" s="1"/>
  <c r="C67" i="39"/>
  <c r="F67" i="32"/>
  <c r="G67" i="32" s="1"/>
  <c r="C180" i="39"/>
  <c r="C180" i="12"/>
  <c r="F180" i="32"/>
  <c r="G180" i="32" s="1"/>
  <c r="C180" i="33"/>
  <c r="E180" i="33" s="1"/>
  <c r="C69" i="39"/>
  <c r="C69" i="33"/>
  <c r="E69" i="33" s="1"/>
  <c r="F69" i="32"/>
  <c r="G69" i="32" s="1"/>
  <c r="C69" i="12"/>
  <c r="C133" i="39"/>
  <c r="F133" i="32"/>
  <c r="G133" i="32" s="1"/>
  <c r="C133" i="33"/>
  <c r="E133" i="33" s="1"/>
  <c r="C133" i="12"/>
  <c r="C281" i="39"/>
  <c r="C281" i="12"/>
  <c r="C281" i="33"/>
  <c r="E281" i="33" s="1"/>
  <c r="F281" i="32"/>
  <c r="G281" i="32" s="1"/>
  <c r="C210" i="39"/>
  <c r="C210" i="33"/>
  <c r="E210" i="33" s="1"/>
  <c r="C210" i="12"/>
  <c r="F210" i="32"/>
  <c r="G210" i="32" s="1"/>
  <c r="G219" i="49"/>
  <c r="F219" i="49"/>
  <c r="U245" i="19"/>
  <c r="U171" i="19"/>
  <c r="J219" i="13"/>
  <c r="A219" i="49"/>
  <c r="B219" i="49"/>
  <c r="A170" i="49"/>
  <c r="B170" i="49"/>
  <c r="A219" i="13"/>
  <c r="B219" i="13"/>
  <c r="A170" i="13"/>
  <c r="B170" i="13"/>
  <c r="A218" i="39"/>
  <c r="B218" i="39"/>
  <c r="A169" i="39"/>
  <c r="B169" i="39"/>
  <c r="C169" i="39" l="1"/>
  <c r="C169" i="12"/>
  <c r="C169" i="33"/>
  <c r="E169" i="33" s="1"/>
  <c r="F169" i="32"/>
  <c r="G169" i="32" s="1"/>
  <c r="C243" i="39"/>
  <c r="C243" i="12"/>
  <c r="F243" i="32"/>
  <c r="G243" i="32" s="1"/>
  <c r="C243" i="33"/>
  <c r="E243" i="33" s="1"/>
  <c r="J244" i="13"/>
  <c r="G244" i="49"/>
  <c r="J170" i="13"/>
  <c r="G170" i="49"/>
  <c r="M4" i="11"/>
  <c r="I4" i="11"/>
  <c r="M8" i="42" l="1"/>
  <c r="X8" i="42" s="1"/>
  <c r="M9" i="42"/>
  <c r="X9" i="42" s="1"/>
  <c r="M10" i="42"/>
  <c r="X10" i="42" s="1"/>
  <c r="M11" i="42"/>
  <c r="X11" i="42" s="1"/>
  <c r="M12" i="42"/>
  <c r="X12" i="42" s="1"/>
  <c r="M13" i="42"/>
  <c r="X13" i="42" s="1"/>
  <c r="M14" i="42"/>
  <c r="X14" i="42" s="1"/>
  <c r="M15" i="42"/>
  <c r="X15" i="42" s="1"/>
  <c r="M16" i="42"/>
  <c r="X16" i="42" s="1"/>
  <c r="M17" i="42"/>
  <c r="X17" i="42" s="1"/>
  <c r="M18" i="42"/>
  <c r="X18" i="42" s="1"/>
  <c r="M19" i="42"/>
  <c r="X19" i="42" s="1"/>
  <c r="M20" i="42"/>
  <c r="X20" i="42" s="1"/>
  <c r="M21" i="42"/>
  <c r="X21" i="42" s="1"/>
  <c r="M22" i="42"/>
  <c r="X22" i="42" s="1"/>
  <c r="M23" i="42"/>
  <c r="X23" i="42" s="1"/>
  <c r="M24" i="42"/>
  <c r="X24" i="42" s="1"/>
  <c r="M25" i="42"/>
  <c r="X25" i="42" s="1"/>
  <c r="M26" i="42"/>
  <c r="X26" i="42" s="1"/>
  <c r="M27" i="42"/>
  <c r="X27" i="42" s="1"/>
  <c r="M28" i="42"/>
  <c r="X28" i="42" s="1"/>
  <c r="M29" i="42"/>
  <c r="X29" i="42" s="1"/>
  <c r="M30" i="42"/>
  <c r="X30" i="42" s="1"/>
  <c r="M31" i="42"/>
  <c r="X31" i="42" s="1"/>
  <c r="M32" i="42"/>
  <c r="X32" i="42" s="1"/>
  <c r="M33" i="42"/>
  <c r="X33" i="42" s="1"/>
  <c r="M34" i="42"/>
  <c r="X34" i="42" s="1"/>
  <c r="M35" i="42"/>
  <c r="X35" i="42" s="1"/>
  <c r="M36" i="42"/>
  <c r="X36" i="42" s="1"/>
  <c r="M37" i="42"/>
  <c r="X37" i="42" s="1"/>
  <c r="M38" i="42"/>
  <c r="X38" i="42" s="1"/>
  <c r="M39" i="42"/>
  <c r="X39" i="42" s="1"/>
  <c r="M40" i="42"/>
  <c r="X40" i="42" s="1"/>
  <c r="M41" i="42"/>
  <c r="X41" i="42" s="1"/>
  <c r="M42" i="42"/>
  <c r="X42" i="42" s="1"/>
  <c r="M43" i="42"/>
  <c r="X43" i="42" s="1"/>
  <c r="M44" i="42"/>
  <c r="X44" i="42" s="1"/>
  <c r="M45" i="42"/>
  <c r="X45" i="42" s="1"/>
  <c r="M46" i="42"/>
  <c r="X46" i="42" s="1"/>
  <c r="M47" i="42"/>
  <c r="X47" i="42" s="1"/>
  <c r="M48" i="42"/>
  <c r="X48" i="42" s="1"/>
  <c r="M49" i="42"/>
  <c r="X49" i="42" s="1"/>
  <c r="M50" i="42"/>
  <c r="X50" i="42" s="1"/>
  <c r="M51" i="42"/>
  <c r="X51" i="42" s="1"/>
  <c r="M52" i="42"/>
  <c r="X52" i="42" s="1"/>
  <c r="M53" i="42"/>
  <c r="X53" i="42" s="1"/>
  <c r="M54" i="42"/>
  <c r="X54" i="42" s="1"/>
  <c r="M55" i="42"/>
  <c r="X55" i="42" s="1"/>
  <c r="M56" i="42"/>
  <c r="X56" i="42" s="1"/>
  <c r="M57" i="42"/>
  <c r="X57" i="42" s="1"/>
  <c r="M58" i="42"/>
  <c r="X58" i="42" s="1"/>
  <c r="M59" i="42"/>
  <c r="X59" i="42" s="1"/>
  <c r="M60" i="42"/>
  <c r="X60" i="42" s="1"/>
  <c r="M61" i="42"/>
  <c r="X61" i="42" s="1"/>
  <c r="M62" i="42"/>
  <c r="X62" i="42" s="1"/>
  <c r="M63" i="42"/>
  <c r="X63" i="42" s="1"/>
  <c r="M64" i="42"/>
  <c r="X64" i="42" s="1"/>
  <c r="M65" i="42"/>
  <c r="X65" i="42" s="1"/>
  <c r="M66" i="42"/>
  <c r="X66" i="42" s="1"/>
  <c r="M67" i="42"/>
  <c r="X67" i="42" s="1"/>
  <c r="M69" i="42"/>
  <c r="X69" i="42" s="1"/>
  <c r="M70" i="42"/>
  <c r="X70" i="42" s="1"/>
  <c r="M71" i="42"/>
  <c r="X71" i="42" s="1"/>
  <c r="M72" i="42"/>
  <c r="X72" i="42" s="1"/>
  <c r="M73" i="42"/>
  <c r="X73" i="42" s="1"/>
  <c r="M74" i="42"/>
  <c r="X74" i="42" s="1"/>
  <c r="M75" i="42"/>
  <c r="X75" i="42" s="1"/>
  <c r="M76" i="42"/>
  <c r="X76" i="42" s="1"/>
  <c r="M77" i="42"/>
  <c r="X77" i="42" s="1"/>
  <c r="M78" i="42"/>
  <c r="X78" i="42" s="1"/>
  <c r="M79" i="42"/>
  <c r="X79" i="42" s="1"/>
  <c r="M80" i="42"/>
  <c r="X80" i="42" s="1"/>
  <c r="M81" i="42"/>
  <c r="X81" i="42" s="1"/>
  <c r="M82" i="42"/>
  <c r="X82" i="42" s="1"/>
  <c r="M83" i="42"/>
  <c r="X83" i="42" s="1"/>
  <c r="M84" i="42"/>
  <c r="X84" i="42" s="1"/>
  <c r="M85" i="42"/>
  <c r="X85" i="42" s="1"/>
  <c r="M86" i="42"/>
  <c r="X86" i="42" s="1"/>
  <c r="M87" i="42"/>
  <c r="X87" i="42" s="1"/>
  <c r="M88" i="42"/>
  <c r="X88" i="42" s="1"/>
  <c r="M89" i="42"/>
  <c r="X89" i="42" s="1"/>
  <c r="M90" i="42"/>
  <c r="X90" i="42" s="1"/>
  <c r="M91" i="42"/>
  <c r="X91" i="42" s="1"/>
  <c r="M92" i="42"/>
  <c r="X92" i="42" s="1"/>
  <c r="M93" i="42"/>
  <c r="X93" i="42" s="1"/>
  <c r="M94" i="42"/>
  <c r="X94" i="42" s="1"/>
  <c r="M95" i="42"/>
  <c r="X95" i="42" s="1"/>
  <c r="M96" i="42"/>
  <c r="X96" i="42" s="1"/>
  <c r="M97" i="42"/>
  <c r="X97" i="42" s="1"/>
  <c r="M98" i="42"/>
  <c r="X98" i="42" s="1"/>
  <c r="M99" i="42"/>
  <c r="X99" i="42" s="1"/>
  <c r="M100" i="42"/>
  <c r="X100" i="42" s="1"/>
  <c r="M101" i="42"/>
  <c r="X101" i="42" s="1"/>
  <c r="M102" i="42"/>
  <c r="X102" i="42" s="1"/>
  <c r="M103" i="42"/>
  <c r="X103" i="42" s="1"/>
  <c r="M104" i="42"/>
  <c r="X104" i="42" s="1"/>
  <c r="M105" i="42"/>
  <c r="X105" i="42" s="1"/>
  <c r="M106" i="42"/>
  <c r="X106" i="42" s="1"/>
  <c r="M107" i="42"/>
  <c r="X107" i="42" s="1"/>
  <c r="M108" i="42"/>
  <c r="X108" i="42" s="1"/>
  <c r="M109" i="42"/>
  <c r="X109" i="42" s="1"/>
  <c r="M110" i="42"/>
  <c r="X110" i="42" s="1"/>
  <c r="M111" i="42"/>
  <c r="X111" i="42" s="1"/>
  <c r="M112" i="42"/>
  <c r="X112" i="42" s="1"/>
  <c r="M113" i="42"/>
  <c r="X113" i="42" s="1"/>
  <c r="M114" i="42"/>
  <c r="X114" i="42" s="1"/>
  <c r="M115" i="42"/>
  <c r="X115" i="42" s="1"/>
  <c r="M116" i="42"/>
  <c r="X116" i="42" s="1"/>
  <c r="M117" i="42"/>
  <c r="X117" i="42" s="1"/>
  <c r="M118" i="42"/>
  <c r="X118" i="42" s="1"/>
  <c r="M119" i="42"/>
  <c r="X119" i="42" s="1"/>
  <c r="M120" i="42"/>
  <c r="X120" i="42" s="1"/>
  <c r="M121" i="42"/>
  <c r="X121" i="42" s="1"/>
  <c r="M122" i="42"/>
  <c r="X122" i="42" s="1"/>
  <c r="M123" i="42"/>
  <c r="X123" i="42" s="1"/>
  <c r="M124" i="42"/>
  <c r="X124" i="42" s="1"/>
  <c r="M125" i="42"/>
  <c r="X125" i="42" s="1"/>
  <c r="M126" i="42"/>
  <c r="X126" i="42" s="1"/>
  <c r="M127" i="42"/>
  <c r="X127" i="42" s="1"/>
  <c r="M128" i="42"/>
  <c r="X128" i="42" s="1"/>
  <c r="M129" i="42"/>
  <c r="X129" i="42" s="1"/>
  <c r="M130" i="42"/>
  <c r="X130" i="42" s="1"/>
  <c r="M131" i="42"/>
  <c r="X131" i="42" s="1"/>
  <c r="M132" i="42"/>
  <c r="X132" i="42" s="1"/>
  <c r="M133" i="42"/>
  <c r="X133" i="42" s="1"/>
  <c r="M134" i="42"/>
  <c r="X134" i="42" s="1"/>
  <c r="M135" i="42"/>
  <c r="X135" i="42" s="1"/>
  <c r="M137" i="42"/>
  <c r="X137" i="42" s="1"/>
  <c r="M138" i="42"/>
  <c r="X138" i="42" s="1"/>
  <c r="M139" i="42"/>
  <c r="X139" i="42" s="1"/>
  <c r="M140" i="42"/>
  <c r="X140" i="42" s="1"/>
  <c r="M141" i="42"/>
  <c r="X141" i="42" s="1"/>
  <c r="M142" i="42"/>
  <c r="X142" i="42" s="1"/>
  <c r="M143" i="42"/>
  <c r="X143" i="42" s="1"/>
  <c r="M144" i="42"/>
  <c r="X144" i="42" s="1"/>
  <c r="M145" i="42"/>
  <c r="X145" i="42" s="1"/>
  <c r="M146" i="42"/>
  <c r="X146" i="42" s="1"/>
  <c r="M147" i="42"/>
  <c r="X147" i="42" s="1"/>
  <c r="M148" i="42"/>
  <c r="X148" i="42" s="1"/>
  <c r="M149" i="42"/>
  <c r="X149" i="42" s="1"/>
  <c r="M150" i="42"/>
  <c r="X150" i="42" s="1"/>
  <c r="M151" i="42"/>
  <c r="X151" i="42" s="1"/>
  <c r="M152" i="42"/>
  <c r="X152" i="42" s="1"/>
  <c r="M153" i="42"/>
  <c r="X153" i="42" s="1"/>
  <c r="M154" i="42"/>
  <c r="X154" i="42" s="1"/>
  <c r="M155" i="42"/>
  <c r="X155" i="42" s="1"/>
  <c r="M156" i="42"/>
  <c r="X156" i="42" s="1"/>
  <c r="M157" i="42"/>
  <c r="X157" i="42" s="1"/>
  <c r="M158" i="42"/>
  <c r="X158" i="42" s="1"/>
  <c r="M159" i="42"/>
  <c r="X159" i="42" s="1"/>
  <c r="M160" i="42"/>
  <c r="X160" i="42" s="1"/>
  <c r="M161" i="42"/>
  <c r="X161" i="42" s="1"/>
  <c r="M162" i="42"/>
  <c r="X162" i="42" s="1"/>
  <c r="M163" i="42"/>
  <c r="X163" i="42" s="1"/>
  <c r="M164" i="42"/>
  <c r="X164" i="42" s="1"/>
  <c r="M165" i="42"/>
  <c r="X165" i="42" s="1"/>
  <c r="M166" i="42"/>
  <c r="X166" i="42" s="1"/>
  <c r="M167" i="42"/>
  <c r="X167" i="42" s="1"/>
  <c r="M168" i="42"/>
  <c r="X168" i="42" s="1"/>
  <c r="M169" i="42"/>
  <c r="X169" i="42" s="1"/>
  <c r="X170" i="42"/>
  <c r="M172" i="42"/>
  <c r="X172" i="42" s="1"/>
  <c r="M173" i="42"/>
  <c r="X173" i="42" s="1"/>
  <c r="M174" i="42"/>
  <c r="X174" i="42" s="1"/>
  <c r="M175" i="42"/>
  <c r="X175" i="42" s="1"/>
  <c r="M176" i="42"/>
  <c r="X176" i="42" s="1"/>
  <c r="M177" i="42"/>
  <c r="X177" i="42" s="1"/>
  <c r="M178" i="42"/>
  <c r="X178" i="42" s="1"/>
  <c r="M179" i="42"/>
  <c r="X179" i="42" s="1"/>
  <c r="M180" i="42"/>
  <c r="X180" i="42" s="1"/>
  <c r="M181" i="42"/>
  <c r="X181" i="42" s="1"/>
  <c r="M182" i="42"/>
  <c r="X182" i="42" s="1"/>
  <c r="M183" i="42"/>
  <c r="X183" i="42" s="1"/>
  <c r="M184" i="42"/>
  <c r="X184" i="42" s="1"/>
  <c r="M185" i="42"/>
  <c r="X185" i="42" s="1"/>
  <c r="M186" i="42"/>
  <c r="X186" i="42" s="1"/>
  <c r="M187" i="42"/>
  <c r="X187" i="42" s="1"/>
  <c r="M188" i="42"/>
  <c r="X188" i="42" s="1"/>
  <c r="M189" i="42"/>
  <c r="X189" i="42" s="1"/>
  <c r="M190" i="42"/>
  <c r="X190" i="42" s="1"/>
  <c r="M191" i="42"/>
  <c r="X191" i="42" s="1"/>
  <c r="M192" i="42"/>
  <c r="X192" i="42" s="1"/>
  <c r="M193" i="42"/>
  <c r="X193" i="42" s="1"/>
  <c r="M194" i="42"/>
  <c r="X194" i="42" s="1"/>
  <c r="M195" i="42"/>
  <c r="X195" i="42" s="1"/>
  <c r="M196" i="42"/>
  <c r="X196" i="42" s="1"/>
  <c r="M197" i="42"/>
  <c r="X197" i="42" s="1"/>
  <c r="M198" i="42"/>
  <c r="X198" i="42" s="1"/>
  <c r="M199" i="42"/>
  <c r="X199" i="42" s="1"/>
  <c r="M200" i="42"/>
  <c r="X200" i="42" s="1"/>
  <c r="M201" i="42"/>
  <c r="X201" i="42" s="1"/>
  <c r="M202" i="42"/>
  <c r="X202" i="42" s="1"/>
  <c r="M203" i="42"/>
  <c r="X203" i="42" s="1"/>
  <c r="M204" i="42"/>
  <c r="X204" i="42" s="1"/>
  <c r="M205" i="42"/>
  <c r="X205" i="42" s="1"/>
  <c r="M206" i="42"/>
  <c r="X206" i="42" s="1"/>
  <c r="M207" i="42"/>
  <c r="X207" i="42" s="1"/>
  <c r="M208" i="42"/>
  <c r="X208" i="42" s="1"/>
  <c r="M209" i="42"/>
  <c r="X209" i="42" s="1"/>
  <c r="M210" i="42"/>
  <c r="X210" i="42" s="1"/>
  <c r="M211" i="42"/>
  <c r="X211" i="42" s="1"/>
  <c r="M212" i="42"/>
  <c r="X212" i="42" s="1"/>
  <c r="M213" i="42"/>
  <c r="X213" i="42" s="1"/>
  <c r="M214" i="42"/>
  <c r="X214" i="42" s="1"/>
  <c r="M215" i="42"/>
  <c r="X215" i="42" s="1"/>
  <c r="M216" i="42"/>
  <c r="X216" i="42" s="1"/>
  <c r="M217" i="42"/>
  <c r="X217" i="42" s="1"/>
  <c r="M218" i="42"/>
  <c r="X218" i="42" s="1"/>
  <c r="M219" i="42"/>
  <c r="X219" i="42" s="1"/>
  <c r="M221" i="42"/>
  <c r="X221" i="42" s="1"/>
  <c r="M222" i="42"/>
  <c r="X222" i="42" s="1"/>
  <c r="M223" i="42"/>
  <c r="X223" i="42" s="1"/>
  <c r="M224" i="42"/>
  <c r="X224" i="42" s="1"/>
  <c r="M225" i="42"/>
  <c r="X225" i="42" s="1"/>
  <c r="M226" i="42"/>
  <c r="X226" i="42" s="1"/>
  <c r="M227" i="42"/>
  <c r="X227" i="42" s="1"/>
  <c r="M228" i="42"/>
  <c r="X228" i="42" s="1"/>
  <c r="M229" i="42"/>
  <c r="X229" i="42" s="1"/>
  <c r="M230" i="42"/>
  <c r="X230" i="42" s="1"/>
  <c r="M231" i="42"/>
  <c r="X231" i="42" s="1"/>
  <c r="M232" i="42"/>
  <c r="X232" i="42" s="1"/>
  <c r="M233" i="42"/>
  <c r="X233" i="42" s="1"/>
  <c r="M234" i="42"/>
  <c r="X234" i="42" s="1"/>
  <c r="M235" i="42"/>
  <c r="X235" i="42" s="1"/>
  <c r="M236" i="42"/>
  <c r="X236" i="42" s="1"/>
  <c r="M237" i="42"/>
  <c r="X237" i="42" s="1"/>
  <c r="M238" i="42"/>
  <c r="X238" i="42" s="1"/>
  <c r="M240" i="42"/>
  <c r="X240" i="42" s="1"/>
  <c r="M241" i="42"/>
  <c r="X241" i="42" s="1"/>
  <c r="M242" i="42"/>
  <c r="X242" i="42" s="1"/>
  <c r="M243" i="42"/>
  <c r="X243" i="42" s="1"/>
  <c r="M244" i="42"/>
  <c r="X244" i="42" s="1"/>
  <c r="M247" i="42"/>
  <c r="X247" i="42" s="1"/>
  <c r="M248" i="42"/>
  <c r="X248" i="42" s="1"/>
  <c r="M249" i="42"/>
  <c r="X249" i="42" s="1"/>
  <c r="M250" i="42"/>
  <c r="X250" i="42" s="1"/>
  <c r="M251" i="42"/>
  <c r="X251" i="42" s="1"/>
  <c r="M252" i="42"/>
  <c r="X252" i="42" s="1"/>
  <c r="M253" i="42"/>
  <c r="X253" i="42" s="1"/>
  <c r="M254" i="42"/>
  <c r="X254" i="42" s="1"/>
  <c r="M255" i="42"/>
  <c r="X255" i="42" s="1"/>
  <c r="M256" i="42"/>
  <c r="X256" i="42" s="1"/>
  <c r="M257" i="42"/>
  <c r="X257" i="42" s="1"/>
  <c r="M258" i="42"/>
  <c r="X258" i="42" s="1"/>
  <c r="M259" i="42"/>
  <c r="X259" i="42" s="1"/>
  <c r="M260" i="42"/>
  <c r="X260" i="42" s="1"/>
  <c r="M261" i="42"/>
  <c r="X261" i="42" s="1"/>
  <c r="M263" i="42"/>
  <c r="X263" i="42" s="1"/>
  <c r="M264" i="42"/>
  <c r="X264" i="42" s="1"/>
  <c r="M265" i="42"/>
  <c r="X265" i="42" s="1"/>
  <c r="M266" i="42"/>
  <c r="X266" i="42" s="1"/>
  <c r="M267" i="42"/>
  <c r="X267" i="42" s="1"/>
  <c r="M268" i="42"/>
  <c r="X268" i="42" s="1"/>
  <c r="M269" i="42"/>
  <c r="X269" i="42" s="1"/>
  <c r="M270" i="42"/>
  <c r="X270" i="42" s="1"/>
  <c r="M271" i="42"/>
  <c r="X271" i="42" s="1"/>
  <c r="M272" i="42"/>
  <c r="X272" i="42" s="1"/>
  <c r="M273" i="42"/>
  <c r="X273" i="42" s="1"/>
  <c r="M275" i="42"/>
  <c r="X275" i="42" s="1"/>
  <c r="M276" i="42"/>
  <c r="X276" i="42" s="1"/>
  <c r="M277" i="42"/>
  <c r="X277" i="42" s="1"/>
  <c r="M278" i="42"/>
  <c r="X278" i="42" s="1"/>
  <c r="M279" i="42"/>
  <c r="X279" i="42" s="1"/>
  <c r="M280" i="42"/>
  <c r="X280" i="42" s="1"/>
  <c r="M281" i="42"/>
  <c r="X281" i="42" s="1"/>
  <c r="M282" i="42"/>
  <c r="X282" i="42" s="1"/>
  <c r="M283" i="42"/>
  <c r="X283" i="42" s="1"/>
  <c r="M284" i="42"/>
  <c r="X284" i="42" s="1"/>
  <c r="M285" i="42"/>
  <c r="X285" i="42" s="1"/>
  <c r="M286" i="42"/>
  <c r="X286" i="42" s="1"/>
  <c r="M287" i="42"/>
  <c r="X287" i="42" s="1"/>
  <c r="M288" i="42"/>
  <c r="X288" i="42" s="1"/>
  <c r="M289" i="42"/>
  <c r="X289" i="42" s="1"/>
  <c r="M290" i="42"/>
  <c r="X290" i="42" s="1"/>
  <c r="M291" i="42"/>
  <c r="X291" i="42" s="1"/>
  <c r="M292" i="42"/>
  <c r="X292" i="42" s="1"/>
  <c r="M293" i="42"/>
  <c r="X293" i="42" s="1"/>
  <c r="M294" i="42"/>
  <c r="X294" i="42" s="1"/>
  <c r="M295" i="42"/>
  <c r="X295" i="42" s="1"/>
  <c r="M296" i="42"/>
  <c r="X296" i="42" s="1"/>
  <c r="M297" i="42"/>
  <c r="X297" i="42" s="1"/>
  <c r="M298" i="42"/>
  <c r="X298" i="42" s="1"/>
  <c r="M299" i="42"/>
  <c r="X299" i="42" s="1"/>
  <c r="M300" i="42"/>
  <c r="X300" i="42" s="1"/>
  <c r="M301" i="42"/>
  <c r="X301" i="42" s="1"/>
  <c r="M302" i="42"/>
  <c r="X302" i="42" s="1"/>
  <c r="M303" i="42"/>
  <c r="X303" i="42" s="1"/>
  <c r="M304" i="42"/>
  <c r="X304" i="42" s="1"/>
  <c r="M305" i="42"/>
  <c r="X305" i="42" s="1"/>
  <c r="M306" i="42"/>
  <c r="X306" i="42" s="1"/>
  <c r="M307" i="42"/>
  <c r="X307" i="42" s="1"/>
  <c r="M308" i="42"/>
  <c r="X308" i="42" s="1"/>
  <c r="M309" i="42"/>
  <c r="X309" i="42" s="1"/>
  <c r="M310" i="42"/>
  <c r="X310" i="42" s="1"/>
  <c r="M311" i="42"/>
  <c r="X311" i="42" s="1"/>
  <c r="M312" i="42"/>
  <c r="X312" i="42" s="1"/>
  <c r="M313" i="42"/>
  <c r="X313" i="42" s="1"/>
  <c r="M314" i="42"/>
  <c r="X314" i="42" s="1"/>
  <c r="M315" i="42"/>
  <c r="X315" i="42" s="1"/>
  <c r="M136" i="42" l="1"/>
  <c r="X136" i="42" s="1"/>
  <c r="B6" i="48" l="1"/>
  <c r="D67" i="40" l="1"/>
  <c r="D68" i="40" s="1"/>
  <c r="F66" i="40" s="1"/>
  <c r="F67" i="40" s="1"/>
  <c r="F68" i="40" s="1"/>
  <c r="B29" i="40" l="1"/>
  <c r="M7" i="42" l="1"/>
  <c r="X7" i="42" s="1"/>
  <c r="M262" i="42" l="1"/>
  <c r="X262" i="42" s="1"/>
  <c r="M68" i="42" l="1"/>
  <c r="X68" i="42" s="1"/>
  <c r="M274" i="42" l="1"/>
  <c r="X274" i="42" s="1"/>
  <c r="I5" i="13" l="1"/>
  <c r="Q7" i="19" l="1"/>
  <c r="AR6" i="19"/>
  <c r="S6" i="19"/>
  <c r="B61" i="40" l="1"/>
  <c r="K14" i="49" l="1"/>
  <c r="K112" i="49"/>
  <c r="K114" i="49"/>
  <c r="K117" i="49"/>
  <c r="K119" i="49"/>
  <c r="K120" i="49"/>
  <c r="K121" i="49"/>
  <c r="K122" i="49"/>
  <c r="K124" i="49"/>
  <c r="K126" i="49"/>
  <c r="K127" i="49"/>
  <c r="K128" i="49"/>
  <c r="K129" i="49"/>
  <c r="K130" i="49"/>
  <c r="K131" i="49"/>
  <c r="K134" i="49"/>
  <c r="K135" i="49"/>
  <c r="K137" i="49"/>
  <c r="K144" i="49"/>
  <c r="K149" i="49"/>
  <c r="K150" i="49"/>
  <c r="K151" i="49"/>
  <c r="K154" i="49"/>
  <c r="K155" i="49"/>
  <c r="K156" i="49"/>
  <c r="K158" i="49"/>
  <c r="K191" i="49"/>
  <c r="K202" i="49"/>
  <c r="K203" i="49"/>
  <c r="K224" i="49"/>
  <c r="K225" i="49"/>
  <c r="K275" i="49"/>
  <c r="K276" i="49"/>
  <c r="K277" i="49"/>
  <c r="K278" i="49"/>
  <c r="K279" i="49"/>
  <c r="K280" i="49"/>
  <c r="K281" i="49"/>
  <c r="K282" i="49"/>
  <c r="K283" i="49"/>
  <c r="K284" i="49"/>
  <c r="K296" i="49"/>
  <c r="K305" i="49"/>
  <c r="K313" i="49"/>
  <c r="K7" i="49"/>
  <c r="K6" i="49"/>
  <c r="I5" i="49"/>
  <c r="A2" i="49"/>
  <c r="C315"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B243" i="49"/>
  <c r="B245" i="49"/>
  <c r="B246"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B6" i="49"/>
  <c r="A6" i="49"/>
  <c r="I170" i="49" l="1"/>
  <c r="I244" i="49"/>
  <c r="I219" i="49"/>
  <c r="B315" i="49"/>
  <c r="B7" i="48"/>
  <c r="B9" i="48" l="1"/>
  <c r="B8" i="48"/>
  <c r="F8" i="48"/>
  <c r="C8" i="34"/>
  <c r="U6" i="19" l="1"/>
  <c r="C29" i="40" l="1"/>
  <c r="A2" i="25"/>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6" i="13"/>
  <c r="A6" i="13"/>
  <c r="A6" i="39"/>
  <c r="B6" i="39"/>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B5" i="39"/>
  <c r="A5" i="39"/>
  <c r="B5" i="12"/>
  <c r="A5" i="12"/>
  <c r="K314" i="11"/>
  <c r="F314" i="11"/>
  <c r="E314" i="11"/>
  <c r="D314" i="11"/>
  <c r="D16" i="34"/>
  <c r="B16" i="34"/>
  <c r="A16" i="34"/>
  <c r="C5" i="37"/>
  <c r="B5" i="37"/>
  <c r="A5" i="37"/>
  <c r="C8" i="36"/>
  <c r="B8" i="36"/>
  <c r="A8" i="36"/>
  <c r="C11" i="9"/>
  <c r="C320" i="9" s="1"/>
  <c r="B11" i="9"/>
  <c r="A11" i="9"/>
  <c r="D325" i="34" l="1"/>
  <c r="B314" i="37"/>
  <c r="C314" i="37"/>
  <c r="C317" i="36"/>
  <c r="B317" i="36"/>
  <c r="B314" i="12"/>
  <c r="B314" i="39"/>
  <c r="B315" i="13"/>
  <c r="B325" i="34"/>
  <c r="B320" i="9"/>
  <c r="T183" i="13" l="1"/>
  <c r="T155" i="13"/>
  <c r="T224" i="13"/>
  <c r="T33" i="13"/>
  <c r="T97" i="13"/>
  <c r="T23"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8" i="13"/>
  <c r="T28" i="13"/>
  <c r="T30" i="13"/>
  <c r="T32"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29"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8" i="13"/>
  <c r="T12" i="13"/>
  <c r="T20" i="13"/>
  <c r="T26"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19" i="13"/>
  <c r="T17" i="13"/>
  <c r="T25"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T6" i="13"/>
  <c r="G315" i="13"/>
  <c r="T16" i="13"/>
  <c r="T22"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9" i="13"/>
  <c r="T13" i="13"/>
  <c r="T21" i="13"/>
  <c r="T65" i="13"/>
  <c r="T69" i="13"/>
  <c r="T77" i="13"/>
  <c r="T7" i="13"/>
  <c r="T11" i="13"/>
  <c r="T15" i="13"/>
  <c r="T27" i="13"/>
  <c r="T31"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T10" i="13"/>
  <c r="T14" i="13"/>
  <c r="T24" i="13"/>
  <c r="T34" i="13"/>
  <c r="T68" i="13"/>
  <c r="T72" i="13"/>
  <c r="T76" i="13"/>
  <c r="T86" i="13"/>
  <c r="T94" i="13"/>
  <c r="T114" i="13"/>
  <c r="T122" i="13"/>
  <c r="T130" i="13"/>
  <c r="T171" i="13"/>
  <c r="T199" i="13"/>
  <c r="T215" i="13"/>
  <c r="T220" i="13"/>
  <c r="T240" i="13"/>
  <c r="T245" i="13"/>
  <c r="T253" i="13"/>
  <c r="T305" i="13"/>
  <c r="T313" i="13"/>
  <c r="H3" i="33"/>
  <c r="I3" i="33"/>
  <c r="J3" i="33"/>
  <c r="G3" i="33"/>
  <c r="J4" i="33"/>
  <c r="H4" i="33"/>
  <c r="I4" i="33"/>
  <c r="G4" i="33"/>
  <c r="H315" i="13" l="1"/>
  <c r="K6" i="13"/>
  <c r="C4" i="32"/>
  <c r="B5" i="33"/>
  <c r="A5" i="33"/>
  <c r="B5" i="32"/>
  <c r="A5" i="32"/>
  <c r="B7" i="19"/>
  <c r="B6" i="54" s="1"/>
  <c r="A7" i="19"/>
  <c r="A6" i="54" s="1"/>
  <c r="A2" i="19"/>
  <c r="A2" i="42"/>
  <c r="O7" i="19"/>
  <c r="R316" i="42"/>
  <c r="Q316" i="42"/>
  <c r="P316" i="42"/>
  <c r="O316" i="42"/>
  <c r="N316" i="42"/>
  <c r="J316" i="42"/>
  <c r="K316" i="42"/>
  <c r="L316" i="42"/>
  <c r="I316" i="42"/>
  <c r="F316" i="42"/>
  <c r="G316" i="42"/>
  <c r="H316" i="42"/>
  <c r="E316" i="42"/>
  <c r="D316" i="42"/>
  <c r="B316" i="42"/>
  <c r="B315" i="54" l="1"/>
  <c r="D59" i="48"/>
  <c r="F59" i="48"/>
  <c r="E59" i="48"/>
  <c r="B314" i="32"/>
  <c r="B316" i="19"/>
  <c r="B314" i="33"/>
  <c r="C59" i="48" l="1"/>
  <c r="E4" i="37"/>
  <c r="E7" i="36"/>
  <c r="D29" i="40"/>
  <c r="F7" i="36" s="1"/>
  <c r="E29" i="40"/>
  <c r="G7" i="36" s="1"/>
  <c r="F29" i="40"/>
  <c r="H7" i="36" s="1"/>
  <c r="G29" i="40"/>
  <c r="I7" i="36" s="1"/>
  <c r="H29" i="40"/>
  <c r="J7" i="36" s="1"/>
  <c r="D7" i="36"/>
  <c r="C4" i="9" l="1"/>
  <c r="N316" i="19"/>
  <c r="C7" i="19"/>
  <c r="D7" i="19"/>
  <c r="E7" i="19"/>
  <c r="F7" i="19"/>
  <c r="E11" i="49"/>
  <c r="E15" i="49"/>
  <c r="E19" i="49"/>
  <c r="E23" i="49"/>
  <c r="E24" i="49"/>
  <c r="E27" i="49"/>
  <c r="E28" i="49"/>
  <c r="E31" i="49"/>
  <c r="E35" i="49"/>
  <c r="E39" i="49"/>
  <c r="E43" i="49"/>
  <c r="E55" i="49"/>
  <c r="E63" i="49"/>
  <c r="E67" i="49"/>
  <c r="E71" i="49"/>
  <c r="E75" i="49"/>
  <c r="E79" i="49"/>
  <c r="E83" i="49"/>
  <c r="E86" i="49"/>
  <c r="E87" i="49"/>
  <c r="E91" i="49"/>
  <c r="E95" i="49"/>
  <c r="E96" i="49"/>
  <c r="E99" i="49"/>
  <c r="E103" i="49"/>
  <c r="E107" i="49"/>
  <c r="E111" i="49"/>
  <c r="E115" i="49"/>
  <c r="E118" i="49"/>
  <c r="E119" i="49"/>
  <c r="E120" i="49"/>
  <c r="E121" i="49"/>
  <c r="E123" i="49"/>
  <c r="E127" i="49"/>
  <c r="E128" i="49"/>
  <c r="E131" i="49"/>
  <c r="E132" i="49"/>
  <c r="E134" i="49"/>
  <c r="E136" i="49"/>
  <c r="E139" i="49"/>
  <c r="E142" i="49"/>
  <c r="E143" i="49"/>
  <c r="E146" i="49"/>
  <c r="E149" i="49"/>
  <c r="E152" i="49"/>
  <c r="E168" i="49"/>
  <c r="E171" i="49"/>
  <c r="E173" i="49"/>
  <c r="E180" i="49"/>
  <c r="E183" i="49"/>
  <c r="E195" i="49"/>
  <c r="E196" i="49"/>
  <c r="E197" i="49"/>
  <c r="E199" i="49"/>
  <c r="E215" i="49"/>
  <c r="E220" i="49"/>
  <c r="E221" i="49"/>
  <c r="E222" i="49"/>
  <c r="E227" i="49"/>
  <c r="E229" i="49"/>
  <c r="E234" i="49"/>
  <c r="E239" i="49"/>
  <c r="E242" i="49"/>
  <c r="E243" i="49"/>
  <c r="E245" i="49"/>
  <c r="E246" i="49"/>
  <c r="E256" i="49"/>
  <c r="E257" i="49"/>
  <c r="E261" i="49"/>
  <c r="E269" i="49"/>
  <c r="E270" i="49"/>
  <c r="E276" i="49"/>
  <c r="E288" i="49"/>
  <c r="E289" i="49"/>
  <c r="E293" i="49"/>
  <c r="E296" i="49"/>
  <c r="E297" i="49"/>
  <c r="E301" i="49"/>
  <c r="E304" i="49"/>
  <c r="E312" i="49"/>
  <c r="E313" i="49"/>
  <c r="D4" i="32"/>
  <c r="AR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K14" i="13"/>
  <c r="K88" i="13"/>
  <c r="E4" i="36"/>
  <c r="G4" i="36"/>
  <c r="I4" i="36"/>
  <c r="H4" i="36"/>
  <c r="G5" i="36"/>
  <c r="C6" i="34"/>
  <c r="D4" i="36"/>
  <c r="D5" i="36"/>
  <c r="E5" i="36"/>
  <c r="F4" i="36"/>
  <c r="F5" i="36"/>
  <c r="H5" i="36"/>
  <c r="J4" i="36"/>
  <c r="I5" i="36"/>
  <c r="I4" i="39"/>
  <c r="K8" i="13"/>
  <c r="K9" i="13"/>
  <c r="K10" i="13"/>
  <c r="K11" i="13"/>
  <c r="K12" i="13"/>
  <c r="K13"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A6" i="25"/>
  <c r="B6" i="25"/>
  <c r="I106" i="36" l="1"/>
  <c r="I139" i="36"/>
  <c r="I165" i="36"/>
  <c r="I247" i="36"/>
  <c r="I141" i="36"/>
  <c r="I244" i="36"/>
  <c r="I25" i="36"/>
  <c r="I110" i="36"/>
  <c r="I112" i="36"/>
  <c r="I31" i="36"/>
  <c r="I277" i="36"/>
  <c r="I17" i="36"/>
  <c r="I86" i="36"/>
  <c r="I152" i="36"/>
  <c r="I174" i="36"/>
  <c r="I301" i="36"/>
  <c r="I182" i="36"/>
  <c r="I63" i="36"/>
  <c r="I145" i="36"/>
  <c r="I256" i="36"/>
  <c r="I252" i="36"/>
  <c r="I293" i="36"/>
  <c r="I164" i="36"/>
  <c r="I125" i="36"/>
  <c r="I296" i="36"/>
  <c r="I114" i="36"/>
  <c r="I148" i="36"/>
  <c r="I280" i="36"/>
  <c r="I57" i="36"/>
  <c r="I129" i="36"/>
  <c r="I273" i="36"/>
  <c r="I196" i="36"/>
  <c r="I217" i="36"/>
  <c r="I97" i="36"/>
  <c r="I286" i="36"/>
  <c r="I311" i="36"/>
  <c r="I161" i="36"/>
  <c r="I144" i="36"/>
  <c r="I284" i="36"/>
  <c r="I302" i="36"/>
  <c r="I56" i="36"/>
  <c r="I253" i="36"/>
  <c r="I33" i="36"/>
  <c r="I254" i="36"/>
  <c r="I179" i="36"/>
  <c r="I297" i="36"/>
  <c r="I269" i="36"/>
  <c r="I73" i="36"/>
  <c r="I287" i="36"/>
  <c r="I237" i="36"/>
  <c r="I222" i="36"/>
  <c r="I212" i="36"/>
  <c r="I281" i="36"/>
  <c r="I246" i="36"/>
  <c r="I185" i="36"/>
  <c r="I118" i="36"/>
  <c r="I268" i="36"/>
  <c r="I102" i="36"/>
  <c r="I65" i="36"/>
  <c r="I209" i="36"/>
  <c r="I312" i="36"/>
  <c r="I233" i="36"/>
  <c r="I248" i="36"/>
  <c r="I88" i="36"/>
  <c r="I285" i="36"/>
  <c r="I104" i="36"/>
  <c r="I305" i="36"/>
  <c r="I170" i="36"/>
  <c r="I176" i="36"/>
  <c r="I303" i="36"/>
  <c r="I279" i="36"/>
  <c r="I157" i="36"/>
  <c r="I190" i="36"/>
  <c r="I201" i="36"/>
  <c r="I272" i="36"/>
  <c r="I261" i="36"/>
  <c r="I121" i="36"/>
  <c r="I130" i="36"/>
  <c r="I288" i="36"/>
  <c r="I267" i="36"/>
  <c r="I224" i="36"/>
  <c r="I178" i="36"/>
  <c r="I123" i="36"/>
  <c r="I122" i="36"/>
  <c r="I188" i="36"/>
  <c r="I150" i="36"/>
  <c r="I229" i="36"/>
  <c r="I134" i="36"/>
  <c r="I239" i="36"/>
  <c r="I173" i="36"/>
  <c r="I198" i="36"/>
  <c r="I270" i="36"/>
  <c r="I250" i="36"/>
  <c r="I32" i="36"/>
  <c r="I260" i="36"/>
  <c r="I9" i="36"/>
  <c r="I203" i="36"/>
  <c r="I180" i="36"/>
  <c r="I232" i="36"/>
  <c r="I204" i="36"/>
  <c r="I169" i="36"/>
  <c r="I49" i="36"/>
  <c r="I113" i="36"/>
  <c r="I105" i="36"/>
  <c r="I214" i="36"/>
  <c r="I171" i="36"/>
  <c r="I299" i="36"/>
  <c r="I242" i="36"/>
  <c r="I159" i="36"/>
  <c r="I99" i="36"/>
  <c r="I132" i="36"/>
  <c r="I249" i="36"/>
  <c r="I100" i="36"/>
  <c r="I223" i="36"/>
  <c r="I290" i="36"/>
  <c r="I192" i="36"/>
  <c r="I146" i="36"/>
  <c r="I235" i="36"/>
  <c r="I187" i="36"/>
  <c r="I136" i="36"/>
  <c r="I295" i="36"/>
  <c r="I265" i="36"/>
  <c r="I263" i="36"/>
  <c r="I289" i="36"/>
  <c r="I216" i="36"/>
  <c r="I291" i="36"/>
  <c r="I266" i="36"/>
  <c r="I62" i="36"/>
  <c r="I128" i="36"/>
  <c r="I181" i="36"/>
  <c r="I131" i="36"/>
  <c r="I207" i="36"/>
  <c r="I140" i="36"/>
  <c r="I199" i="36"/>
  <c r="I186" i="36"/>
  <c r="I117" i="36"/>
  <c r="I137" i="36"/>
  <c r="I308" i="36"/>
  <c r="I238" i="36"/>
  <c r="I80" i="36"/>
  <c r="I294" i="36"/>
  <c r="I230" i="36"/>
  <c r="I168" i="36"/>
  <c r="I14" i="36"/>
  <c r="I282" i="36"/>
  <c r="I315" i="36"/>
  <c r="I55" i="36"/>
  <c r="I54" i="36"/>
  <c r="I314" i="36"/>
  <c r="I304" i="36"/>
  <c r="I283" i="36"/>
  <c r="I240" i="36"/>
  <c r="I307" i="36"/>
  <c r="I218" i="36"/>
  <c r="I151" i="36"/>
  <c r="I211" i="36"/>
  <c r="I172" i="36"/>
  <c r="I127" i="36"/>
  <c r="I245" i="36"/>
  <c r="I87" i="36"/>
  <c r="I116" i="36"/>
  <c r="I177" i="36"/>
  <c r="I120" i="36"/>
  <c r="I10" i="36"/>
  <c r="I231" i="36"/>
  <c r="I98" i="36"/>
  <c r="I166" i="36"/>
  <c r="I126" i="36"/>
  <c r="I24" i="36"/>
  <c r="I191" i="36"/>
  <c r="I108" i="36"/>
  <c r="I202" i="36"/>
  <c r="I316" i="36"/>
  <c r="I210" i="36"/>
  <c r="I200" i="36"/>
  <c r="I109" i="36"/>
  <c r="I39" i="36"/>
  <c r="I91" i="36"/>
  <c r="I59" i="36"/>
  <c r="I27" i="36"/>
  <c r="I18" i="36"/>
  <c r="I58" i="36"/>
  <c r="I262" i="36"/>
  <c r="I241" i="36"/>
  <c r="I119" i="36"/>
  <c r="I16" i="36"/>
  <c r="I309" i="36"/>
  <c r="I310" i="36"/>
  <c r="I22" i="36"/>
  <c r="I147" i="36"/>
  <c r="I227" i="36"/>
  <c r="I298" i="36"/>
  <c r="I38" i="36"/>
  <c r="I264" i="36"/>
  <c r="I183" i="36"/>
  <c r="I184" i="36"/>
  <c r="I219" i="36"/>
  <c r="I23" i="36"/>
  <c r="I40" i="36"/>
  <c r="I101" i="36"/>
  <c r="I111" i="36"/>
  <c r="I225" i="36"/>
  <c r="I48" i="36"/>
  <c r="I259" i="36"/>
  <c r="I124" i="36"/>
  <c r="I226" i="36"/>
  <c r="I163" i="36"/>
  <c r="I208" i="36"/>
  <c r="I133" i="36"/>
  <c r="I15" i="36"/>
  <c r="I41" i="36"/>
  <c r="I228" i="36"/>
  <c r="I275" i="36"/>
  <c r="I234" i="36"/>
  <c r="I236" i="36"/>
  <c r="I167" i="36"/>
  <c r="I215" i="36"/>
  <c r="I197" i="36"/>
  <c r="I107" i="36"/>
  <c r="I64" i="36"/>
  <c r="I30" i="36"/>
  <c r="I47" i="36"/>
  <c r="I95" i="36"/>
  <c r="I70" i="36"/>
  <c r="I75" i="36"/>
  <c r="I51" i="36"/>
  <c r="I50" i="36"/>
  <c r="I52" i="36"/>
  <c r="I34" i="36"/>
  <c r="I155" i="36"/>
  <c r="I292" i="36"/>
  <c r="I46" i="36"/>
  <c r="I220" i="36"/>
  <c r="I162" i="36"/>
  <c r="I276" i="36"/>
  <c r="I213" i="36"/>
  <c r="I274" i="36"/>
  <c r="I189" i="36"/>
  <c r="I175" i="36"/>
  <c r="I143" i="36"/>
  <c r="I78" i="36"/>
  <c r="I42" i="36"/>
  <c r="I68" i="36"/>
  <c r="I12" i="36"/>
  <c r="I61" i="36"/>
  <c r="I45" i="36"/>
  <c r="I29" i="36"/>
  <c r="I13" i="36"/>
  <c r="I82" i="36"/>
  <c r="I313" i="36"/>
  <c r="I153" i="36"/>
  <c r="I251" i="36"/>
  <c r="I243" i="36"/>
  <c r="I158" i="36"/>
  <c r="I72" i="36"/>
  <c r="I135" i="36"/>
  <c r="I83" i="36"/>
  <c r="I154" i="36"/>
  <c r="I11" i="36"/>
  <c r="I255" i="36"/>
  <c r="I306" i="36"/>
  <c r="I194" i="36"/>
  <c r="I149" i="36"/>
  <c r="I28" i="36"/>
  <c r="I90" i="36"/>
  <c r="I85" i="36"/>
  <c r="I53" i="36"/>
  <c r="I94" i="36"/>
  <c r="I300" i="36"/>
  <c r="I195" i="36"/>
  <c r="I138" i="36"/>
  <c r="I26" i="36"/>
  <c r="I76" i="36"/>
  <c r="I74" i="36"/>
  <c r="I37" i="36"/>
  <c r="I142" i="36"/>
  <c r="I77" i="36"/>
  <c r="I79" i="36"/>
  <c r="I44" i="36"/>
  <c r="I206" i="36"/>
  <c r="I221" i="36"/>
  <c r="I96" i="36"/>
  <c r="I115" i="36"/>
  <c r="I71" i="36"/>
  <c r="I103" i="36"/>
  <c r="I92" i="36"/>
  <c r="I20" i="36"/>
  <c r="I278" i="36"/>
  <c r="I258" i="36"/>
  <c r="I160" i="36"/>
  <c r="I205" i="36"/>
  <c r="I93" i="36"/>
  <c r="I69" i="36"/>
  <c r="I271" i="36"/>
  <c r="I193" i="36"/>
  <c r="I81" i="36"/>
  <c r="I89" i="36"/>
  <c r="I35" i="36"/>
  <c r="I84" i="36"/>
  <c r="I60" i="36"/>
  <c r="I67" i="36"/>
  <c r="I19" i="36"/>
  <c r="I36" i="36"/>
  <c r="I21" i="36"/>
  <c r="I66" i="36"/>
  <c r="I257" i="36"/>
  <c r="I156" i="36"/>
  <c r="I43" i="36"/>
  <c r="F110" i="36"/>
  <c r="F162" i="36"/>
  <c r="F296" i="36"/>
  <c r="F158" i="36"/>
  <c r="F107" i="36"/>
  <c r="F249" i="36"/>
  <c r="F226" i="36"/>
  <c r="F261" i="36"/>
  <c r="F182" i="36"/>
  <c r="F186" i="36"/>
  <c r="F245" i="36"/>
  <c r="F105" i="36"/>
  <c r="F115" i="36"/>
  <c r="F139" i="36"/>
  <c r="F298" i="36"/>
  <c r="F208" i="36"/>
  <c r="F218" i="36"/>
  <c r="F190" i="36"/>
  <c r="F264" i="36"/>
  <c r="F270" i="36"/>
  <c r="F205" i="36"/>
  <c r="F313" i="36"/>
  <c r="F114" i="36"/>
  <c r="F138" i="36"/>
  <c r="F149" i="36"/>
  <c r="F206" i="36"/>
  <c r="F239" i="36"/>
  <c r="F234" i="36"/>
  <c r="F274" i="36"/>
  <c r="F281" i="36"/>
  <c r="F112" i="36"/>
  <c r="F145" i="36"/>
  <c r="F150" i="36"/>
  <c r="F310" i="36"/>
  <c r="F241" i="36"/>
  <c r="F210" i="36"/>
  <c r="F74" i="36"/>
  <c r="F263" i="36"/>
  <c r="F50" i="36"/>
  <c r="F302" i="36"/>
  <c r="F187" i="36"/>
  <c r="F257" i="36"/>
  <c r="F66" i="36"/>
  <c r="F266" i="36"/>
  <c r="F35" i="36"/>
  <c r="F237" i="36"/>
  <c r="F11" i="36"/>
  <c r="F184" i="36"/>
  <c r="F316" i="36"/>
  <c r="F287" i="36"/>
  <c r="F97" i="36"/>
  <c r="F195" i="36"/>
  <c r="F121" i="36"/>
  <c r="F168" i="36"/>
  <c r="F92" i="36"/>
  <c r="F99" i="36"/>
  <c r="F26" i="36"/>
  <c r="F90" i="36"/>
  <c r="F89" i="36"/>
  <c r="F309" i="36"/>
  <c r="F214" i="36"/>
  <c r="F95" i="36"/>
  <c r="F137" i="36"/>
  <c r="F175" i="36"/>
  <c r="F247" i="36"/>
  <c r="F221" i="36"/>
  <c r="F279" i="36"/>
  <c r="F231" i="36"/>
  <c r="F173" i="36"/>
  <c r="F277" i="36"/>
  <c r="F31" i="36"/>
  <c r="F246" i="36"/>
  <c r="F314" i="36"/>
  <c r="F130" i="36"/>
  <c r="F305" i="36"/>
  <c r="F278" i="36"/>
  <c r="F19" i="36"/>
  <c r="F57" i="36"/>
  <c r="F265" i="36"/>
  <c r="F177" i="36"/>
  <c r="F262" i="36"/>
  <c r="F161" i="36"/>
  <c r="F39" i="36"/>
  <c r="F16" i="36"/>
  <c r="F18" i="36"/>
  <c r="F117" i="36"/>
  <c r="F256" i="36"/>
  <c r="F202" i="36"/>
  <c r="F113" i="36"/>
  <c r="F34" i="36"/>
  <c r="F269" i="36"/>
  <c r="F166" i="36"/>
  <c r="F233" i="36"/>
  <c r="F155" i="36"/>
  <c r="F45" i="36"/>
  <c r="F25" i="36"/>
  <c r="F216" i="36"/>
  <c r="F126" i="36"/>
  <c r="F48" i="36"/>
  <c r="F55" i="36"/>
  <c r="F20" i="36"/>
  <c r="F288" i="36"/>
  <c r="F123" i="36"/>
  <c r="F129" i="36"/>
  <c r="F294" i="36"/>
  <c r="F36" i="36"/>
  <c r="F103" i="36"/>
  <c r="F144" i="36"/>
  <c r="F125" i="36"/>
  <c r="F253" i="36"/>
  <c r="F178" i="36"/>
  <c r="F291" i="36"/>
  <c r="F251" i="36"/>
  <c r="F62" i="36"/>
  <c r="F52" i="36"/>
  <c r="F82" i="36"/>
  <c r="F293" i="36"/>
  <c r="F312" i="36"/>
  <c r="F289" i="36"/>
  <c r="F248" i="36"/>
  <c r="F111" i="36"/>
  <c r="F198" i="36"/>
  <c r="F230" i="36"/>
  <c r="F271" i="36"/>
  <c r="F63" i="36"/>
  <c r="F211" i="36"/>
  <c r="F146" i="36"/>
  <c r="F315" i="36"/>
  <c r="F272" i="36"/>
  <c r="F297" i="36"/>
  <c r="F229" i="36"/>
  <c r="F295" i="36"/>
  <c r="F109" i="36"/>
  <c r="F219" i="36"/>
  <c r="F119" i="36"/>
  <c r="F191" i="36"/>
  <c r="F258" i="36"/>
  <c r="F75" i="36"/>
  <c r="F27" i="36"/>
  <c r="F197" i="36"/>
  <c r="F255" i="36"/>
  <c r="F59" i="36"/>
  <c r="F171" i="36"/>
  <c r="F254" i="36"/>
  <c r="F143" i="36"/>
  <c r="F267" i="36"/>
  <c r="F194" i="36"/>
  <c r="F170" i="36"/>
  <c r="F283" i="36"/>
  <c r="F307" i="36"/>
  <c r="F252" i="36"/>
  <c r="F224" i="36"/>
  <c r="F142" i="36"/>
  <c r="F23" i="36"/>
  <c r="F225" i="36"/>
  <c r="F193" i="36"/>
  <c r="F71" i="36"/>
  <c r="F28" i="36"/>
  <c r="F22" i="36"/>
  <c r="F58" i="36"/>
  <c r="F101" i="36"/>
  <c r="F311" i="36"/>
  <c r="F84" i="36"/>
  <c r="F238" i="36"/>
  <c r="F32" i="36"/>
  <c r="F223" i="36"/>
  <c r="F275" i="36"/>
  <c r="F132" i="36"/>
  <c r="F181" i="36"/>
  <c r="F108" i="36"/>
  <c r="F308" i="36"/>
  <c r="F124" i="36"/>
  <c r="F215" i="36"/>
  <c r="F86" i="36"/>
  <c r="F141" i="36"/>
  <c r="F106" i="36"/>
  <c r="F41" i="36"/>
  <c r="F180" i="36"/>
  <c r="F116" i="36"/>
  <c r="F37" i="36"/>
  <c r="F67" i="36"/>
  <c r="F83" i="36"/>
  <c r="F286" i="36"/>
  <c r="F285" i="36"/>
  <c r="F24" i="36"/>
  <c r="F159" i="36"/>
  <c r="F54" i="36"/>
  <c r="F292" i="36"/>
  <c r="F243" i="36"/>
  <c r="F96" i="36"/>
  <c r="F69" i="36"/>
  <c r="F87" i="36"/>
  <c r="F209" i="36"/>
  <c r="F120" i="36"/>
  <c r="F212" i="36"/>
  <c r="F30" i="36"/>
  <c r="F14" i="36"/>
  <c r="F49" i="36"/>
  <c r="F91" i="36"/>
  <c r="F51" i="36"/>
  <c r="F176" i="36"/>
  <c r="F200" i="36"/>
  <c r="F43" i="36"/>
  <c r="F134" i="36"/>
  <c r="F147" i="36"/>
  <c r="F213" i="36"/>
  <c r="F38" i="36"/>
  <c r="F189" i="36"/>
  <c r="F167" i="36"/>
  <c r="F102" i="36"/>
  <c r="F165" i="36"/>
  <c r="F140" i="36"/>
  <c r="F81" i="36"/>
  <c r="F151" i="36"/>
  <c r="F174" i="36"/>
  <c r="F228" i="36"/>
  <c r="F76" i="36"/>
  <c r="F179" i="36"/>
  <c r="F169" i="36"/>
  <c r="F128" i="36"/>
  <c r="F259" i="36"/>
  <c r="F163" i="36"/>
  <c r="F217" i="36"/>
  <c r="F220" i="36"/>
  <c r="F98" i="36"/>
  <c r="F53" i="36"/>
  <c r="F15" i="36"/>
  <c r="F306" i="36"/>
  <c r="F303" i="36"/>
  <c r="F299" i="36"/>
  <c r="F203" i="36"/>
  <c r="F164" i="36"/>
  <c r="F156" i="36"/>
  <c r="F304" i="36"/>
  <c r="F118" i="36"/>
  <c r="F172" i="36"/>
  <c r="F13" i="36"/>
  <c r="F204" i="36"/>
  <c r="F88" i="36"/>
  <c r="F65" i="36"/>
  <c r="F73" i="36"/>
  <c r="F290" i="36"/>
  <c r="F135" i="36"/>
  <c r="F153" i="36"/>
  <c r="F222" i="36"/>
  <c r="F260" i="36"/>
  <c r="F160" i="36"/>
  <c r="F127" i="36"/>
  <c r="F78" i="36"/>
  <c r="F77" i="36"/>
  <c r="F273" i="36"/>
  <c r="F244" i="36"/>
  <c r="F300" i="36"/>
  <c r="F154" i="36"/>
  <c r="F250" i="36"/>
  <c r="F192" i="36"/>
  <c r="F94" i="36"/>
  <c r="F21" i="36"/>
  <c r="F185" i="36"/>
  <c r="F44" i="36"/>
  <c r="F100" i="36"/>
  <c r="F61" i="36"/>
  <c r="F17" i="36"/>
  <c r="F93" i="36"/>
  <c r="F33" i="36"/>
  <c r="F46" i="36"/>
  <c r="F42" i="36"/>
  <c r="F280" i="36"/>
  <c r="F80" i="36"/>
  <c r="F157" i="36"/>
  <c r="F68" i="36"/>
  <c r="F196" i="36"/>
  <c r="F282" i="36"/>
  <c r="F236" i="36"/>
  <c r="F284" i="36"/>
  <c r="F207" i="36"/>
  <c r="F235" i="36"/>
  <c r="F240" i="36"/>
  <c r="F188" i="36"/>
  <c r="F70" i="36"/>
  <c r="F201" i="36"/>
  <c r="F301" i="36"/>
  <c r="F9" i="36"/>
  <c r="F133" i="36"/>
  <c r="F47" i="36"/>
  <c r="F152" i="36"/>
  <c r="F242" i="36"/>
  <c r="F276" i="36"/>
  <c r="F268" i="36"/>
  <c r="F131" i="36"/>
  <c r="F183" i="36"/>
  <c r="F199" i="36"/>
  <c r="F104" i="36"/>
  <c r="F64" i="36"/>
  <c r="F29" i="36"/>
  <c r="F227" i="36"/>
  <c r="F136" i="36"/>
  <c r="F72" i="36"/>
  <c r="F60" i="36"/>
  <c r="F85" i="36"/>
  <c r="F12" i="36"/>
  <c r="F10" i="36"/>
  <c r="F232" i="36"/>
  <c r="F40" i="36"/>
  <c r="F56" i="36"/>
  <c r="F79" i="36"/>
  <c r="F122" i="36"/>
  <c r="F148" i="36"/>
  <c r="G39" i="36"/>
  <c r="G112" i="36"/>
  <c r="G128" i="36"/>
  <c r="G211" i="36"/>
  <c r="G31" i="36"/>
  <c r="G97" i="36"/>
  <c r="G151" i="36"/>
  <c r="G207" i="36"/>
  <c r="G220" i="36"/>
  <c r="G63" i="36"/>
  <c r="G22" i="36"/>
  <c r="G77" i="36"/>
  <c r="G158" i="36"/>
  <c r="G193" i="36"/>
  <c r="G177" i="36"/>
  <c r="G79" i="36"/>
  <c r="G95" i="36"/>
  <c r="G145" i="36"/>
  <c r="G160" i="36"/>
  <c r="G190" i="36"/>
  <c r="G15" i="36"/>
  <c r="G64" i="36"/>
  <c r="G225" i="36"/>
  <c r="G98" i="36"/>
  <c r="G155" i="36"/>
  <c r="G191" i="36"/>
  <c r="G38" i="36"/>
  <c r="G131" i="36"/>
  <c r="G199" i="36"/>
  <c r="G215" i="36"/>
  <c r="G139" i="36"/>
  <c r="G113" i="36"/>
  <c r="G214" i="36"/>
  <c r="G96" i="36"/>
  <c r="G94" i="36"/>
  <c r="G37" i="36"/>
  <c r="G209" i="36"/>
  <c r="G201" i="36"/>
  <c r="G217" i="36"/>
  <c r="G70" i="36"/>
  <c r="G169" i="36"/>
  <c r="G143" i="36"/>
  <c r="G219" i="36"/>
  <c r="G203" i="36"/>
  <c r="G16" i="36"/>
  <c r="G176" i="36"/>
  <c r="G140" i="36"/>
  <c r="G206" i="36"/>
  <c r="G135" i="36"/>
  <c r="G185" i="36"/>
  <c r="G162" i="36"/>
  <c r="G142" i="36"/>
  <c r="G196" i="36"/>
  <c r="G111" i="36"/>
  <c r="G161" i="36"/>
  <c r="G222" i="36"/>
  <c r="G144" i="36"/>
  <c r="G175" i="36"/>
  <c r="G299" i="36"/>
  <c r="G9" i="36"/>
  <c r="G242" i="36"/>
  <c r="G223" i="36"/>
  <c r="G194" i="36"/>
  <c r="G88" i="36"/>
  <c r="G227" i="36"/>
  <c r="G166" i="36"/>
  <c r="G120" i="36"/>
  <c r="G100" i="36"/>
  <c r="G212" i="36"/>
  <c r="G121" i="36"/>
  <c r="G282" i="36"/>
  <c r="G48" i="36"/>
  <c r="G300" i="36"/>
  <c r="G315" i="36"/>
  <c r="G260" i="36"/>
  <c r="G147" i="36"/>
  <c r="G122" i="36"/>
  <c r="G55" i="36"/>
  <c r="G69" i="36"/>
  <c r="G56" i="36"/>
  <c r="G153" i="36"/>
  <c r="G267" i="36"/>
  <c r="G167" i="36"/>
  <c r="G152" i="36"/>
  <c r="G103" i="36"/>
  <c r="G180" i="36"/>
  <c r="G171" i="36"/>
  <c r="G110" i="36"/>
  <c r="G306" i="36"/>
  <c r="G170" i="36"/>
  <c r="G268" i="36"/>
  <c r="G154" i="36"/>
  <c r="G80" i="36"/>
  <c r="G148" i="36"/>
  <c r="G45" i="36"/>
  <c r="G104" i="36"/>
  <c r="G146" i="36"/>
  <c r="G236" i="36"/>
  <c r="G54" i="36"/>
  <c r="G292" i="36"/>
  <c r="G221" i="36"/>
  <c r="G316" i="36"/>
  <c r="G178" i="36"/>
  <c r="G271" i="36"/>
  <c r="G114" i="36"/>
  <c r="G253" i="36"/>
  <c r="G262" i="36"/>
  <c r="G141" i="36"/>
  <c r="G313" i="36"/>
  <c r="G249" i="36"/>
  <c r="G197" i="36"/>
  <c r="G40" i="36"/>
  <c r="G107" i="36"/>
  <c r="G78" i="36"/>
  <c r="G53" i="36"/>
  <c r="G105" i="36"/>
  <c r="G228" i="36"/>
  <c r="G119" i="36"/>
  <c r="G264" i="36"/>
  <c r="G284" i="36"/>
  <c r="G192" i="36"/>
  <c r="G274" i="36"/>
  <c r="G156" i="36"/>
  <c r="G243" i="36"/>
  <c r="G311" i="36"/>
  <c r="G247" i="36"/>
  <c r="G293" i="36"/>
  <c r="G229" i="36"/>
  <c r="G302" i="36"/>
  <c r="G238" i="36"/>
  <c r="G23" i="36"/>
  <c r="G289" i="36"/>
  <c r="G71" i="36"/>
  <c r="G47" i="36"/>
  <c r="G134" i="36"/>
  <c r="G123" i="36"/>
  <c r="G251" i="36"/>
  <c r="G62" i="36"/>
  <c r="G248" i="36"/>
  <c r="G256" i="36"/>
  <c r="G136" i="36"/>
  <c r="G232" i="36"/>
  <c r="G252" i="36"/>
  <c r="G124" i="36"/>
  <c r="G303" i="36"/>
  <c r="G239" i="36"/>
  <c r="G226" i="36"/>
  <c r="G285" i="36"/>
  <c r="G118" i="36"/>
  <c r="G294" i="36"/>
  <c r="G230" i="36"/>
  <c r="G208" i="36"/>
  <c r="G281" i="36"/>
  <c r="G150" i="36"/>
  <c r="G133" i="36"/>
  <c r="G13" i="36"/>
  <c r="G93" i="36"/>
  <c r="G81" i="36"/>
  <c r="G49" i="36"/>
  <c r="G17" i="36"/>
  <c r="G82" i="36"/>
  <c r="G66" i="36"/>
  <c r="G50" i="36"/>
  <c r="G34" i="36"/>
  <c r="G18" i="36"/>
  <c r="G288" i="36"/>
  <c r="G308" i="36"/>
  <c r="G259" i="36"/>
  <c r="G210" i="36"/>
  <c r="G115" i="36"/>
  <c r="G297" i="36"/>
  <c r="G14" i="36"/>
  <c r="G224" i="36"/>
  <c r="G126" i="36"/>
  <c r="G263" i="36"/>
  <c r="G231" i="36"/>
  <c r="G245" i="36"/>
  <c r="G149" i="36"/>
  <c r="G254" i="36"/>
  <c r="G257" i="36"/>
  <c r="G87" i="36"/>
  <c r="G29" i="36"/>
  <c r="G204" i="36"/>
  <c r="G116" i="36"/>
  <c r="G216" i="36"/>
  <c r="G266" i="36"/>
  <c r="G235" i="36"/>
  <c r="G234" i="36"/>
  <c r="G187" i="36"/>
  <c r="G258" i="36"/>
  <c r="G295" i="36"/>
  <c r="G309" i="36"/>
  <c r="G277" i="36"/>
  <c r="G286" i="36"/>
  <c r="G109" i="36"/>
  <c r="G174" i="36"/>
  <c r="G188" i="36"/>
  <c r="G198" i="36"/>
  <c r="G132" i="36"/>
  <c r="G181" i="36"/>
  <c r="G108" i="36"/>
  <c r="G280" i="36"/>
  <c r="G279" i="36"/>
  <c r="G138" i="36"/>
  <c r="G261" i="36"/>
  <c r="G270" i="36"/>
  <c r="G205" i="36"/>
  <c r="G72" i="36"/>
  <c r="G241" i="36"/>
  <c r="G10" i="36"/>
  <c r="G90" i="36"/>
  <c r="G83" i="36"/>
  <c r="G84" i="36"/>
  <c r="G20" i="36"/>
  <c r="G172" i="36"/>
  <c r="G195" i="36"/>
  <c r="G163" i="36"/>
  <c r="G130" i="36"/>
  <c r="G240" i="36"/>
  <c r="G290" i="36"/>
  <c r="G32" i="36"/>
  <c r="G298" i="36"/>
  <c r="G168" i="36"/>
  <c r="G165" i="36"/>
  <c r="G305" i="36"/>
  <c r="G273" i="36"/>
  <c r="G127" i="36"/>
  <c r="G25" i="36"/>
  <c r="G44" i="36"/>
  <c r="G304" i="36"/>
  <c r="G250" i="36"/>
  <c r="G283" i="36"/>
  <c r="G269" i="36"/>
  <c r="G179" i="36"/>
  <c r="G85" i="36"/>
  <c r="G28" i="36"/>
  <c r="G272" i="36"/>
  <c r="G117" i="36"/>
  <c r="G157" i="36"/>
  <c r="G26" i="36"/>
  <c r="G296" i="36"/>
  <c r="G74" i="36"/>
  <c r="G11" i="36"/>
  <c r="G129" i="36"/>
  <c r="G244" i="36"/>
  <c r="G312" i="36"/>
  <c r="G307" i="36"/>
  <c r="G21" i="36"/>
  <c r="G61" i="36"/>
  <c r="G33" i="36"/>
  <c r="G58" i="36"/>
  <c r="G237" i="36"/>
  <c r="G213" i="36"/>
  <c r="G182" i="36"/>
  <c r="G200" i="36"/>
  <c r="G137" i="36"/>
  <c r="G24" i="36"/>
  <c r="G291" i="36"/>
  <c r="G159" i="36"/>
  <c r="G218" i="36"/>
  <c r="G287" i="36"/>
  <c r="G246" i="36"/>
  <c r="G233" i="36"/>
  <c r="G65" i="36"/>
  <c r="G59" i="36"/>
  <c r="G19" i="36"/>
  <c r="G92" i="36"/>
  <c r="G76" i="36"/>
  <c r="G184" i="36"/>
  <c r="G276" i="36"/>
  <c r="G99" i="36"/>
  <c r="G275" i="36"/>
  <c r="G189" i="36"/>
  <c r="G255" i="36"/>
  <c r="G310" i="36"/>
  <c r="G46" i="36"/>
  <c r="G73" i="36"/>
  <c r="G57" i="36"/>
  <c r="G75" i="36"/>
  <c r="G68" i="36"/>
  <c r="G52" i="36"/>
  <c r="G36" i="36"/>
  <c r="G202" i="36"/>
  <c r="G86" i="36"/>
  <c r="G301" i="36"/>
  <c r="G106" i="36"/>
  <c r="G125" i="36"/>
  <c r="G30" i="36"/>
  <c r="G101" i="36"/>
  <c r="G89" i="36"/>
  <c r="G41" i="36"/>
  <c r="G42" i="36"/>
  <c r="G51" i="36"/>
  <c r="G27" i="36"/>
  <c r="G314" i="36"/>
  <c r="G183" i="36"/>
  <c r="G173" i="36"/>
  <c r="G278" i="36"/>
  <c r="G186" i="36"/>
  <c r="G265" i="36"/>
  <c r="G91" i="36"/>
  <c r="G67" i="36"/>
  <c r="G43" i="36"/>
  <c r="G12" i="36"/>
  <c r="G60" i="36"/>
  <c r="G164" i="36"/>
  <c r="G102" i="36"/>
  <c r="G35" i="36"/>
  <c r="E25" i="36"/>
  <c r="E31" i="36"/>
  <c r="E46" i="36"/>
  <c r="E92" i="36"/>
  <c r="E101" i="36"/>
  <c r="E153" i="36"/>
  <c r="E180" i="36"/>
  <c r="E210" i="36"/>
  <c r="E277" i="36"/>
  <c r="E17" i="36"/>
  <c r="E20" i="36"/>
  <c r="E89" i="36"/>
  <c r="E226" i="36"/>
  <c r="E93" i="36"/>
  <c r="E283" i="36"/>
  <c r="E301" i="36"/>
  <c r="E313" i="36"/>
  <c r="E105" i="36"/>
  <c r="E142" i="36"/>
  <c r="E165" i="36"/>
  <c r="E206" i="36"/>
  <c r="E52" i="36"/>
  <c r="E143" i="36"/>
  <c r="E186" i="36"/>
  <c r="E152" i="36"/>
  <c r="E157" i="36"/>
  <c r="E111" i="36"/>
  <c r="E39" i="36"/>
  <c r="E175" i="36"/>
  <c r="E106" i="36"/>
  <c r="E71" i="36"/>
  <c r="E315" i="36"/>
  <c r="E112" i="36"/>
  <c r="E60" i="36"/>
  <c r="E100" i="36"/>
  <c r="E133" i="36"/>
  <c r="E249" i="36"/>
  <c r="E125" i="36"/>
  <c r="E209" i="36"/>
  <c r="E309" i="36"/>
  <c r="E201" i="36"/>
  <c r="E73" i="36"/>
  <c r="E145" i="36"/>
  <c r="E169" i="36"/>
  <c r="E197" i="36"/>
  <c r="E21" i="36"/>
  <c r="E231" i="36"/>
  <c r="E285" i="36"/>
  <c r="E247" i="36"/>
  <c r="E182" i="36"/>
  <c r="E279" i="36"/>
  <c r="E270" i="36"/>
  <c r="E251" i="36"/>
  <c r="E29" i="36"/>
  <c r="E261" i="36"/>
  <c r="E85" i="36"/>
  <c r="E166" i="36"/>
  <c r="E273" i="36"/>
  <c r="E196" i="36"/>
  <c r="E188" i="36"/>
  <c r="E121" i="36"/>
  <c r="E255" i="36"/>
  <c r="E103" i="36"/>
  <c r="E84" i="36"/>
  <c r="E120" i="36"/>
  <c r="E287" i="36"/>
  <c r="E79" i="36"/>
  <c r="E174" i="36"/>
  <c r="E204" i="36"/>
  <c r="E134" i="36"/>
  <c r="E303" i="36"/>
  <c r="E275" i="36"/>
  <c r="E238" i="36"/>
  <c r="E222" i="36"/>
  <c r="E271" i="36"/>
  <c r="E173" i="36"/>
  <c r="E263" i="36"/>
  <c r="E278" i="36"/>
  <c r="E183" i="36"/>
  <c r="E235" i="36"/>
  <c r="E53" i="36"/>
  <c r="E199" i="36"/>
  <c r="E269" i="36"/>
  <c r="E68" i="36"/>
  <c r="E233" i="36"/>
  <c r="E162" i="36"/>
  <c r="E177" i="36"/>
  <c r="E118" i="36"/>
  <c r="E86" i="36"/>
  <c r="E228" i="36"/>
  <c r="E239" i="36"/>
  <c r="E159" i="36"/>
  <c r="E198" i="36"/>
  <c r="E109" i="36"/>
  <c r="E129" i="36"/>
  <c r="E294" i="36"/>
  <c r="E262" i="36"/>
  <c r="E246" i="36"/>
  <c r="E130" i="36"/>
  <c r="E305" i="36"/>
  <c r="E45" i="36"/>
  <c r="E306" i="36"/>
  <c r="E266" i="36"/>
  <c r="E213" i="36"/>
  <c r="E151" i="36"/>
  <c r="E297" i="36"/>
  <c r="E245" i="36"/>
  <c r="E97" i="36"/>
  <c r="E259" i="36"/>
  <c r="E148" i="36"/>
  <c r="E224" i="36"/>
  <c r="E236" i="36"/>
  <c r="E288" i="36"/>
  <c r="E291" i="36"/>
  <c r="E141" i="36"/>
  <c r="E164" i="36"/>
  <c r="E311" i="36"/>
  <c r="E190" i="36"/>
  <c r="E286" i="36"/>
  <c r="E205" i="36"/>
  <c r="E193" i="36"/>
  <c r="E33" i="36"/>
  <c r="E241" i="36"/>
  <c r="E137" i="36"/>
  <c r="E110" i="36"/>
  <c r="E300" i="36"/>
  <c r="E123" i="36"/>
  <c r="E260" i="36"/>
  <c r="E10" i="36"/>
  <c r="E161" i="36"/>
  <c r="E212" i="36"/>
  <c r="E295" i="36"/>
  <c r="E257" i="36"/>
  <c r="E146" i="36"/>
  <c r="E178" i="36"/>
  <c r="E242" i="36"/>
  <c r="E154" i="36"/>
  <c r="E62" i="36"/>
  <c r="E248" i="36"/>
  <c r="E298" i="36"/>
  <c r="E256" i="36"/>
  <c r="E234" i="36"/>
  <c r="E181" i="36"/>
  <c r="E243" i="36"/>
  <c r="E293" i="36"/>
  <c r="E217" i="36"/>
  <c r="E119" i="36"/>
  <c r="E312" i="36"/>
  <c r="E290" i="36"/>
  <c r="E192" i="36"/>
  <c r="E191" i="36"/>
  <c r="E187" i="36"/>
  <c r="E308" i="36"/>
  <c r="E202" i="36"/>
  <c r="E96" i="36"/>
  <c r="E219" i="36"/>
  <c r="E172" i="36"/>
  <c r="E229" i="36"/>
  <c r="E265" i="36"/>
  <c r="E36" i="36"/>
  <c r="E15" i="36"/>
  <c r="E49" i="36"/>
  <c r="E77" i="36"/>
  <c r="E250" i="36"/>
  <c r="E216" i="36"/>
  <c r="E147" i="36"/>
  <c r="E99" i="36"/>
  <c r="E280" i="36"/>
  <c r="E189" i="36"/>
  <c r="E102" i="36"/>
  <c r="E163" i="36"/>
  <c r="E176" i="36"/>
  <c r="E135" i="36"/>
  <c r="E139" i="36"/>
  <c r="E78" i="36"/>
  <c r="E194" i="36"/>
  <c r="E289" i="36"/>
  <c r="E150" i="36"/>
  <c r="E215" i="36"/>
  <c r="E220" i="36"/>
  <c r="E302" i="36"/>
  <c r="E214" i="36"/>
  <c r="E310" i="36"/>
  <c r="E244" i="36"/>
  <c r="E276" i="36"/>
  <c r="E240" i="36"/>
  <c r="E284" i="36"/>
  <c r="E94" i="36"/>
  <c r="E168" i="36"/>
  <c r="E38" i="36"/>
  <c r="E267" i="36"/>
  <c r="E138" i="36"/>
  <c r="E155" i="36"/>
  <c r="E12" i="36"/>
  <c r="E90" i="36"/>
  <c r="E74" i="36"/>
  <c r="E185" i="36"/>
  <c r="E95" i="36"/>
  <c r="E104" i="36"/>
  <c r="E57" i="36"/>
  <c r="E304" i="36"/>
  <c r="E223" i="36"/>
  <c r="E55" i="36"/>
  <c r="E170" i="36"/>
  <c r="E221" i="36"/>
  <c r="E252" i="36"/>
  <c r="E195" i="36"/>
  <c r="E114" i="36"/>
  <c r="E23" i="36"/>
  <c r="E61" i="36"/>
  <c r="E47" i="36"/>
  <c r="E113" i="36"/>
  <c r="E264" i="36"/>
  <c r="E203" i="36"/>
  <c r="E314" i="36"/>
  <c r="E296" i="36"/>
  <c r="E136" i="36"/>
  <c r="E218" i="36"/>
  <c r="E179" i="36"/>
  <c r="E211" i="36"/>
  <c r="E22" i="36"/>
  <c r="E76" i="36"/>
  <c r="E230" i="36"/>
  <c r="E28" i="36"/>
  <c r="E282" i="36"/>
  <c r="E122" i="36"/>
  <c r="E227" i="36"/>
  <c r="E128" i="36"/>
  <c r="E184" i="36"/>
  <c r="E140" i="36"/>
  <c r="E81" i="36"/>
  <c r="E149" i="36"/>
  <c r="E87" i="36"/>
  <c r="E14" i="36"/>
  <c r="E127" i="36"/>
  <c r="E253" i="36"/>
  <c r="E281" i="36"/>
  <c r="E65" i="36"/>
  <c r="E9" i="36"/>
  <c r="E299" i="36"/>
  <c r="E272" i="36"/>
  <c r="E232" i="36"/>
  <c r="E131" i="36"/>
  <c r="E258" i="36"/>
  <c r="E207" i="36"/>
  <c r="E69" i="36"/>
  <c r="E117" i="36"/>
  <c r="E41" i="36"/>
  <c r="E88" i="36"/>
  <c r="E64" i="36"/>
  <c r="E40" i="36"/>
  <c r="E66" i="36"/>
  <c r="E50" i="36"/>
  <c r="E34" i="36"/>
  <c r="E18" i="36"/>
  <c r="E59" i="36"/>
  <c r="E116" i="36"/>
  <c r="E70" i="36"/>
  <c r="E254" i="36"/>
  <c r="E98" i="36"/>
  <c r="E160" i="36"/>
  <c r="E316" i="36"/>
  <c r="E167" i="36"/>
  <c r="E158" i="36"/>
  <c r="E115" i="36"/>
  <c r="E107" i="36"/>
  <c r="E82" i="36"/>
  <c r="E83" i="36"/>
  <c r="E19" i="36"/>
  <c r="E63" i="36"/>
  <c r="E126" i="36"/>
  <c r="E108" i="36"/>
  <c r="E274" i="36"/>
  <c r="E11" i="36"/>
  <c r="E13" i="36"/>
  <c r="E225" i="36"/>
  <c r="E48" i="36"/>
  <c r="E58" i="36"/>
  <c r="E132" i="36"/>
  <c r="E237" i="36"/>
  <c r="E124" i="36"/>
  <c r="E144" i="36"/>
  <c r="E171" i="36"/>
  <c r="E80" i="36"/>
  <c r="E32" i="36"/>
  <c r="E16" i="36"/>
  <c r="E200" i="36"/>
  <c r="E91" i="36"/>
  <c r="E307" i="36"/>
  <c r="E268" i="36"/>
  <c r="E156" i="36"/>
  <c r="E208" i="36"/>
  <c r="E37" i="36"/>
  <c r="E24" i="36"/>
  <c r="E54" i="36"/>
  <c r="E72" i="36"/>
  <c r="E56" i="36"/>
  <c r="E67" i="36"/>
  <c r="E51" i="36"/>
  <c r="E35" i="36"/>
  <c r="E292" i="36"/>
  <c r="E44" i="36"/>
  <c r="E26" i="36"/>
  <c r="E42" i="36"/>
  <c r="E43" i="36"/>
  <c r="E27" i="36"/>
  <c r="E75" i="36"/>
  <c r="E30" i="36"/>
  <c r="D20" i="36"/>
  <c r="D171" i="36"/>
  <c r="D111" i="36"/>
  <c r="D181" i="36"/>
  <c r="D190" i="36"/>
  <c r="D11" i="36"/>
  <c r="D77" i="36"/>
  <c r="D145" i="36"/>
  <c r="D35" i="36"/>
  <c r="D107" i="36"/>
  <c r="D217" i="36"/>
  <c r="D208" i="36"/>
  <c r="D91" i="36"/>
  <c r="D169" i="36"/>
  <c r="D33" i="36"/>
  <c r="D75" i="36"/>
  <c r="D196" i="36"/>
  <c r="D219" i="36"/>
  <c r="D200" i="36"/>
  <c r="D110" i="36"/>
  <c r="D153" i="36"/>
  <c r="D201" i="36"/>
  <c r="D92" i="36"/>
  <c r="D214" i="36"/>
  <c r="D44" i="36"/>
  <c r="D76" i="36"/>
  <c r="D172" i="36"/>
  <c r="D166" i="36"/>
  <c r="D225" i="36"/>
  <c r="D103" i="36"/>
  <c r="D84" i="36"/>
  <c r="D45" i="36"/>
  <c r="D10" i="36"/>
  <c r="D25" i="36"/>
  <c r="D68" i="36"/>
  <c r="D220" i="36"/>
  <c r="D184" i="36"/>
  <c r="D129" i="36"/>
  <c r="D211" i="36"/>
  <c r="D65" i="36"/>
  <c r="D139" i="36"/>
  <c r="D56" i="36"/>
  <c r="D195" i="36"/>
  <c r="D64" i="36"/>
  <c r="D222" i="36"/>
  <c r="D36" i="36"/>
  <c r="D158" i="36"/>
  <c r="D41" i="36"/>
  <c r="D204" i="36"/>
  <c r="D152" i="36"/>
  <c r="D188" i="36"/>
  <c r="D163" i="36"/>
  <c r="D125" i="36"/>
  <c r="D198" i="36"/>
  <c r="D109" i="36"/>
  <c r="D228" i="36"/>
  <c r="D13" i="36"/>
  <c r="D176" i="36"/>
  <c r="D19" i="36"/>
  <c r="D121" i="36"/>
  <c r="D227" i="36"/>
  <c r="D52" i="36"/>
  <c r="D97" i="36"/>
  <c r="D120" i="36"/>
  <c r="D161" i="36"/>
  <c r="D180" i="36"/>
  <c r="D43" i="36"/>
  <c r="D105" i="36"/>
  <c r="D206" i="36"/>
  <c r="D32" i="36"/>
  <c r="D291" i="36"/>
  <c r="D236" i="36"/>
  <c r="D288" i="36"/>
  <c r="D251" i="36"/>
  <c r="D147" i="36"/>
  <c r="D99" i="36"/>
  <c r="D12" i="36"/>
  <c r="D149" i="36"/>
  <c r="D57" i="36"/>
  <c r="D29" i="36"/>
  <c r="D89" i="36"/>
  <c r="D95" i="36"/>
  <c r="D27" i="36"/>
  <c r="D16" i="36"/>
  <c r="D14" i="36"/>
  <c r="D146" i="36"/>
  <c r="D276" i="36"/>
  <c r="D154" i="36"/>
  <c r="D137" i="36"/>
  <c r="D119" i="36"/>
  <c r="D203" i="36"/>
  <c r="D67" i="36"/>
  <c r="D80" i="36"/>
  <c r="D157" i="36"/>
  <c r="D267" i="36"/>
  <c r="D224" i="36"/>
  <c r="D194" i="36"/>
  <c r="D312" i="36"/>
  <c r="D314" i="36"/>
  <c r="D283" i="36"/>
  <c r="D83" i="36"/>
  <c r="D250" i="36"/>
  <c r="D282" i="36"/>
  <c r="D9" i="36"/>
  <c r="D306" i="36"/>
  <c r="D315" i="36"/>
  <c r="D223" i="36"/>
  <c r="D275" i="36"/>
  <c r="D94" i="36"/>
  <c r="D156" i="36"/>
  <c r="D280" i="36"/>
  <c r="D258" i="36"/>
  <c r="D189" i="36"/>
  <c r="D255" i="36"/>
  <c r="D215" i="36"/>
  <c r="D301" i="36"/>
  <c r="D237" i="36"/>
  <c r="D310" i="36"/>
  <c r="D246" i="36"/>
  <c r="D106" i="36"/>
  <c r="D297" i="36"/>
  <c r="D233" i="36"/>
  <c r="D135" i="36"/>
  <c r="D60" i="36"/>
  <c r="D193" i="36"/>
  <c r="D209" i="36"/>
  <c r="D148" i="36"/>
  <c r="D59" i="36"/>
  <c r="D212" i="36"/>
  <c r="D143" i="36"/>
  <c r="D78" i="36"/>
  <c r="D128" i="36"/>
  <c r="D268" i="36"/>
  <c r="D221" i="36"/>
  <c r="D259" i="36"/>
  <c r="D295" i="36"/>
  <c r="D231" i="36"/>
  <c r="D277" i="36"/>
  <c r="D144" i="36"/>
  <c r="D286" i="36"/>
  <c r="D186" i="36"/>
  <c r="D273" i="36"/>
  <c r="D197" i="36"/>
  <c r="D28" i="36"/>
  <c r="D162" i="36"/>
  <c r="D98" i="36"/>
  <c r="D22" i="36"/>
  <c r="D51" i="36"/>
  <c r="D185" i="36"/>
  <c r="D299" i="36"/>
  <c r="D304" i="36"/>
  <c r="D300" i="36"/>
  <c r="D122" i="36"/>
  <c r="D132" i="36"/>
  <c r="D296" i="36"/>
  <c r="D298" i="36"/>
  <c r="D234" i="36"/>
  <c r="D213" i="36"/>
  <c r="D187" i="36"/>
  <c r="D272" i="36"/>
  <c r="D287" i="36"/>
  <c r="D269" i="36"/>
  <c r="D278" i="36"/>
  <c r="D115" i="36"/>
  <c r="D72" i="36"/>
  <c r="D265" i="36"/>
  <c r="D174" i="36"/>
  <c r="D127" i="36"/>
  <c r="D71" i="36"/>
  <c r="D39" i="36"/>
  <c r="D113" i="36"/>
  <c r="D100" i="36"/>
  <c r="D264" i="36"/>
  <c r="D248" i="36"/>
  <c r="D136" i="36"/>
  <c r="D271" i="36"/>
  <c r="D239" i="36"/>
  <c r="D253" i="36"/>
  <c r="D142" i="36"/>
  <c r="D262" i="36"/>
  <c r="D230" i="36"/>
  <c r="D40" i="36"/>
  <c r="D104" i="36"/>
  <c r="D93" i="36"/>
  <c r="D134" i="36"/>
  <c r="D256" i="36"/>
  <c r="D307" i="36"/>
  <c r="D303" i="36"/>
  <c r="D140" i="36"/>
  <c r="D81" i="36"/>
  <c r="D285" i="36"/>
  <c r="D294" i="36"/>
  <c r="D130" i="36"/>
  <c r="D73" i="36"/>
  <c r="D177" i="36"/>
  <c r="D101" i="36"/>
  <c r="D24" i="36"/>
  <c r="D242" i="36"/>
  <c r="D284" i="36"/>
  <c r="D292" i="36"/>
  <c r="D308" i="36"/>
  <c r="D202" i="36"/>
  <c r="D243" i="36"/>
  <c r="D216" i="36"/>
  <c r="D183" i="36"/>
  <c r="D263" i="36"/>
  <c r="D96" i="36"/>
  <c r="D245" i="36"/>
  <c r="D199" i="36"/>
  <c r="D254" i="36"/>
  <c r="D179" i="36"/>
  <c r="D141" i="36"/>
  <c r="D53" i="36"/>
  <c r="D112" i="36"/>
  <c r="D70" i="36"/>
  <c r="D244" i="36"/>
  <c r="D159" i="36"/>
  <c r="D192" i="36"/>
  <c r="D274" i="36"/>
  <c r="D316" i="36"/>
  <c r="D182" i="36"/>
  <c r="D86" i="36"/>
  <c r="D313" i="36"/>
  <c r="D281" i="36"/>
  <c r="D150" i="36"/>
  <c r="D85" i="36"/>
  <c r="D49" i="36"/>
  <c r="D15" i="36"/>
  <c r="D34" i="36"/>
  <c r="D126" i="36"/>
  <c r="D62" i="36"/>
  <c r="D191" i="36"/>
  <c r="D131" i="36"/>
  <c r="D218" i="36"/>
  <c r="D102" i="36"/>
  <c r="D247" i="36"/>
  <c r="D229" i="36"/>
  <c r="D173" i="36"/>
  <c r="D238" i="36"/>
  <c r="D205" i="36"/>
  <c r="D241" i="36"/>
  <c r="D30" i="36"/>
  <c r="D87" i="36"/>
  <c r="D63" i="36"/>
  <c r="D58" i="36"/>
  <c r="D61" i="36"/>
  <c r="D21" i="36"/>
  <c r="D46" i="36"/>
  <c r="D175" i="36"/>
  <c r="D240" i="36"/>
  <c r="D178" i="36"/>
  <c r="D235" i="36"/>
  <c r="D167" i="36"/>
  <c r="D226" i="36"/>
  <c r="D69" i="36"/>
  <c r="D151" i="36"/>
  <c r="D257" i="36"/>
  <c r="D42" i="36"/>
  <c r="D114" i="36"/>
  <c r="D17" i="36"/>
  <c r="D48" i="36"/>
  <c r="D170" i="36"/>
  <c r="D108" i="36"/>
  <c r="D124" i="36"/>
  <c r="D311" i="36"/>
  <c r="D138" i="36"/>
  <c r="D270" i="36"/>
  <c r="D249" i="36"/>
  <c r="D133" i="36"/>
  <c r="D88" i="36"/>
  <c r="D168" i="36"/>
  <c r="D118" i="36"/>
  <c r="D37" i="36"/>
  <c r="D164" i="36"/>
  <c r="D232" i="36"/>
  <c r="D261" i="36"/>
  <c r="D155" i="36"/>
  <c r="D47" i="36"/>
  <c r="D290" i="36"/>
  <c r="D207" i="36"/>
  <c r="D79" i="36"/>
  <c r="D31" i="36"/>
  <c r="D117" i="36"/>
  <c r="D90" i="36"/>
  <c r="D123" i="36"/>
  <c r="D54" i="36"/>
  <c r="D165" i="36"/>
  <c r="D309" i="36"/>
  <c r="D210" i="36"/>
  <c r="D289" i="36"/>
  <c r="D18" i="36"/>
  <c r="D116" i="36"/>
  <c r="D266" i="36"/>
  <c r="D302" i="36"/>
  <c r="D23" i="36"/>
  <c r="D260" i="36"/>
  <c r="D38" i="36"/>
  <c r="D252" i="36"/>
  <c r="D160" i="36"/>
  <c r="D293" i="36"/>
  <c r="D55" i="36"/>
  <c r="D82" i="36"/>
  <c r="D66" i="36"/>
  <c r="D50" i="36"/>
  <c r="D26" i="36"/>
  <c r="D279" i="36"/>
  <c r="D305" i="36"/>
  <c r="D74" i="36"/>
  <c r="J17" i="36"/>
  <c r="J198" i="36"/>
  <c r="J72" i="36"/>
  <c r="J208" i="36"/>
  <c r="J64" i="36"/>
  <c r="J219" i="36"/>
  <c r="J97" i="36"/>
  <c r="J137" i="36"/>
  <c r="J211" i="36"/>
  <c r="J145" i="36"/>
  <c r="J195" i="36"/>
  <c r="J101" i="36"/>
  <c r="J95" i="36"/>
  <c r="J153" i="36"/>
  <c r="J22" i="36"/>
  <c r="J120" i="36"/>
  <c r="J80" i="36"/>
  <c r="J49" i="36"/>
  <c r="J200" i="36"/>
  <c r="J111" i="36"/>
  <c r="J57" i="36"/>
  <c r="J217" i="36"/>
  <c r="J103" i="36"/>
  <c r="J46" i="36"/>
  <c r="J221" i="36"/>
  <c r="J146" i="36"/>
  <c r="J276" i="36"/>
  <c r="J154" i="36"/>
  <c r="J177" i="36"/>
  <c r="J201" i="36"/>
  <c r="J169" i="36"/>
  <c r="J222" i="36"/>
  <c r="J14" i="36"/>
  <c r="J121" i="36"/>
  <c r="J25" i="36"/>
  <c r="J89" i="36"/>
  <c r="J299" i="36"/>
  <c r="J216" i="36"/>
  <c r="J119" i="36"/>
  <c r="J242" i="36"/>
  <c r="J194" i="36"/>
  <c r="J40" i="36"/>
  <c r="J209" i="36"/>
  <c r="J73" i="36"/>
  <c r="J30" i="36"/>
  <c r="J190" i="36"/>
  <c r="J244" i="36"/>
  <c r="J24" i="36"/>
  <c r="J304" i="36"/>
  <c r="J240" i="36"/>
  <c r="J178" i="36"/>
  <c r="J48" i="36"/>
  <c r="J306" i="36"/>
  <c r="J264" i="36"/>
  <c r="J266" i="36"/>
  <c r="J223" i="36"/>
  <c r="J122" i="36"/>
  <c r="J206" i="36"/>
  <c r="J16" i="36"/>
  <c r="J197" i="36"/>
  <c r="J250" i="36"/>
  <c r="J282" i="36"/>
  <c r="J9" i="36"/>
  <c r="J291" i="36"/>
  <c r="J315" i="36"/>
  <c r="J275" i="36"/>
  <c r="J54" i="36"/>
  <c r="J94" i="36"/>
  <c r="J147" i="36"/>
  <c r="J99" i="36"/>
  <c r="J132" i="36"/>
  <c r="J268" i="36"/>
  <c r="J224" i="36"/>
  <c r="J108" i="36"/>
  <c r="J259" i="36"/>
  <c r="J124" i="36"/>
  <c r="J295" i="36"/>
  <c r="J231" i="36"/>
  <c r="J182" i="36"/>
  <c r="J163" i="36"/>
  <c r="J158" i="36"/>
  <c r="J277" i="36"/>
  <c r="J151" i="36"/>
  <c r="J144" i="36"/>
  <c r="J286" i="36"/>
  <c r="J176" i="36"/>
  <c r="J273" i="36"/>
  <c r="J127" i="36"/>
  <c r="J180" i="36"/>
  <c r="J162" i="36"/>
  <c r="J139" i="36"/>
  <c r="J116" i="36"/>
  <c r="J189" i="36"/>
  <c r="J184" i="36"/>
  <c r="J129" i="36"/>
  <c r="J113" i="36"/>
  <c r="J126" i="36"/>
  <c r="J236" i="36"/>
  <c r="J260" i="36"/>
  <c r="J159" i="36"/>
  <c r="J292" i="36"/>
  <c r="J168" i="36"/>
  <c r="J316" i="36"/>
  <c r="J207" i="36"/>
  <c r="J167" i="36"/>
  <c r="J271" i="36"/>
  <c r="J138" i="36"/>
  <c r="J81" i="36"/>
  <c r="J253" i="36"/>
  <c r="J199" i="36"/>
  <c r="J118" i="36"/>
  <c r="J262" i="36"/>
  <c r="J115" i="36"/>
  <c r="J313" i="36"/>
  <c r="J249" i="36"/>
  <c r="J104" i="36"/>
  <c r="J220" i="36"/>
  <c r="J188" i="36"/>
  <c r="J192" i="36"/>
  <c r="J193" i="36"/>
  <c r="J290" i="36"/>
  <c r="J170" i="36"/>
  <c r="J235" i="36"/>
  <c r="J131" i="36"/>
  <c r="J218" i="36"/>
  <c r="J183" i="36"/>
  <c r="J263" i="36"/>
  <c r="J165" i="36"/>
  <c r="J160" i="36"/>
  <c r="J140" i="36"/>
  <c r="J86" i="36"/>
  <c r="J309" i="36"/>
  <c r="J245" i="36"/>
  <c r="J173" i="36"/>
  <c r="J149" i="36"/>
  <c r="J142" i="36"/>
  <c r="J254" i="36"/>
  <c r="J179" i="36"/>
  <c r="J117" i="36"/>
  <c r="J305" i="36"/>
  <c r="J241" i="36"/>
  <c r="J41" i="36"/>
  <c r="J171" i="36"/>
  <c r="J148" i="36"/>
  <c r="J130" i="36"/>
  <c r="J100" i="36"/>
  <c r="J88" i="36"/>
  <c r="J56" i="36"/>
  <c r="J112" i="36"/>
  <c r="J18" i="36"/>
  <c r="J128" i="36"/>
  <c r="J314" i="36"/>
  <c r="J296" i="36"/>
  <c r="J256" i="36"/>
  <c r="J307" i="36"/>
  <c r="J303" i="36"/>
  <c r="J285" i="36"/>
  <c r="J294" i="36"/>
  <c r="J186" i="36"/>
  <c r="J141" i="36"/>
  <c r="J265" i="36"/>
  <c r="J233" i="36"/>
  <c r="J228" i="36"/>
  <c r="J166" i="36"/>
  <c r="J98" i="36"/>
  <c r="J152" i="36"/>
  <c r="J78" i="36"/>
  <c r="J32" i="36"/>
  <c r="J288" i="36"/>
  <c r="J284" i="36"/>
  <c r="J164" i="36"/>
  <c r="J213" i="36"/>
  <c r="J308" i="36"/>
  <c r="J156" i="36"/>
  <c r="J243" i="36"/>
  <c r="J96" i="36"/>
  <c r="J210" i="36"/>
  <c r="J106" i="36"/>
  <c r="J297" i="36"/>
  <c r="J172" i="36"/>
  <c r="J133" i="36"/>
  <c r="J110" i="36"/>
  <c r="J161" i="36"/>
  <c r="J289" i="36"/>
  <c r="J257" i="36"/>
  <c r="J212" i="36"/>
  <c r="J157" i="36"/>
  <c r="J125" i="36"/>
  <c r="J70" i="36"/>
  <c r="J185" i="36"/>
  <c r="J105" i="36"/>
  <c r="J267" i="36"/>
  <c r="J300" i="36"/>
  <c r="J123" i="36"/>
  <c r="J191" i="36"/>
  <c r="J283" i="36"/>
  <c r="J102" i="36"/>
  <c r="J247" i="36"/>
  <c r="J301" i="36"/>
  <c r="J229" i="36"/>
  <c r="J310" i="36"/>
  <c r="J238" i="36"/>
  <c r="J155" i="36"/>
  <c r="J196" i="36"/>
  <c r="J175" i="36"/>
  <c r="J143" i="36"/>
  <c r="J69" i="36"/>
  <c r="J13" i="36"/>
  <c r="J91" i="36"/>
  <c r="J71" i="36"/>
  <c r="J214" i="36"/>
  <c r="J251" i="36"/>
  <c r="J136" i="36"/>
  <c r="J280" i="36"/>
  <c r="J252" i="36"/>
  <c r="J311" i="36"/>
  <c r="J279" i="36"/>
  <c r="J215" i="36"/>
  <c r="J114" i="36"/>
  <c r="J293" i="36"/>
  <c r="J261" i="36"/>
  <c r="J302" i="36"/>
  <c r="J270" i="36"/>
  <c r="J174" i="36"/>
  <c r="J135" i="36"/>
  <c r="J90" i="36"/>
  <c r="J36" i="36"/>
  <c r="J12" i="36"/>
  <c r="J85" i="36"/>
  <c r="J29" i="36"/>
  <c r="J27" i="36"/>
  <c r="J31" i="36"/>
  <c r="J205" i="36"/>
  <c r="J109" i="36"/>
  <c r="J227" i="36"/>
  <c r="J38" i="36"/>
  <c r="J278" i="36"/>
  <c r="J58" i="36"/>
  <c r="J51" i="36"/>
  <c r="J39" i="36"/>
  <c r="J230" i="36"/>
  <c r="J76" i="36"/>
  <c r="J28" i="36"/>
  <c r="J43" i="36"/>
  <c r="J225" i="36"/>
  <c r="J232" i="36"/>
  <c r="J226" i="36"/>
  <c r="J269" i="36"/>
  <c r="J83" i="36"/>
  <c r="J35" i="36"/>
  <c r="J77" i="36"/>
  <c r="J60" i="36"/>
  <c r="J55" i="36"/>
  <c r="J312" i="36"/>
  <c r="J234" i="36"/>
  <c r="J204" i="36"/>
  <c r="J65" i="36"/>
  <c r="J33" i="36"/>
  <c r="J67" i="36"/>
  <c r="J53" i="36"/>
  <c r="J45" i="36"/>
  <c r="J272" i="36"/>
  <c r="J82" i="36"/>
  <c r="J187" i="36"/>
  <c r="J258" i="36"/>
  <c r="J107" i="36"/>
  <c r="J134" i="36"/>
  <c r="J50" i="36"/>
  <c r="J11" i="36"/>
  <c r="J74" i="36"/>
  <c r="J87" i="36"/>
  <c r="J62" i="36"/>
  <c r="J248" i="36"/>
  <c r="J298" i="36"/>
  <c r="J181" i="36"/>
  <c r="J255" i="36"/>
  <c r="J281" i="36"/>
  <c r="J150" i="36"/>
  <c r="J42" i="36"/>
  <c r="J61" i="36"/>
  <c r="J66" i="36"/>
  <c r="J15" i="36"/>
  <c r="J10" i="36"/>
  <c r="J203" i="36"/>
  <c r="J202" i="36"/>
  <c r="J274" i="36"/>
  <c r="J239" i="36"/>
  <c r="J84" i="36"/>
  <c r="J68" i="36"/>
  <c r="J20" i="36"/>
  <c r="J75" i="36"/>
  <c r="J37" i="36"/>
  <c r="J34" i="36"/>
  <c r="J52" i="36"/>
  <c r="J59" i="36"/>
  <c r="J26" i="36"/>
  <c r="J79" i="36"/>
  <c r="J63" i="36"/>
  <c r="J47" i="36"/>
  <c r="J287" i="36"/>
  <c r="J246" i="36"/>
  <c r="J44" i="36"/>
  <c r="J19" i="36"/>
  <c r="J23" i="36"/>
  <c r="J237" i="36"/>
  <c r="J92" i="36"/>
  <c r="J93" i="36"/>
  <c r="J21" i="36"/>
  <c r="H71" i="36"/>
  <c r="H143" i="36"/>
  <c r="H175" i="36"/>
  <c r="H188" i="36"/>
  <c r="H281" i="36"/>
  <c r="H299" i="36"/>
  <c r="H226" i="36"/>
  <c r="H65" i="36"/>
  <c r="H116" i="36"/>
  <c r="H153" i="36"/>
  <c r="H162" i="36"/>
  <c r="H180" i="36"/>
  <c r="H210" i="36"/>
  <c r="H237" i="36"/>
  <c r="H277" i="36"/>
  <c r="H117" i="36"/>
  <c r="H17" i="36"/>
  <c r="H31" i="36"/>
  <c r="H89" i="36"/>
  <c r="H97" i="36"/>
  <c r="H151" i="36"/>
  <c r="H172" i="36"/>
  <c r="H185" i="36"/>
  <c r="H261" i="36"/>
  <c r="H111" i="36"/>
  <c r="H149" i="36"/>
  <c r="H200" i="36"/>
  <c r="H239" i="36"/>
  <c r="H95" i="36"/>
  <c r="H133" i="36"/>
  <c r="H145" i="36"/>
  <c r="H190" i="36"/>
  <c r="H115" i="36"/>
  <c r="H165" i="36"/>
  <c r="H236" i="36"/>
  <c r="H283" i="36"/>
  <c r="H177" i="36"/>
  <c r="H301" i="36"/>
  <c r="H268" i="36"/>
  <c r="H33" i="36"/>
  <c r="H139" i="36"/>
  <c r="H156" i="36"/>
  <c r="H138" i="36"/>
  <c r="H215" i="36"/>
  <c r="H293" i="36"/>
  <c r="H47" i="36"/>
  <c r="H87" i="36"/>
  <c r="H228" i="36"/>
  <c r="H245" i="36"/>
  <c r="H120" i="36"/>
  <c r="H30" i="36"/>
  <c r="H220" i="36"/>
  <c r="H246" i="36"/>
  <c r="H193" i="36"/>
  <c r="H313" i="36"/>
  <c r="H225" i="36"/>
  <c r="H79" i="36"/>
  <c r="H183" i="36"/>
  <c r="H171" i="36"/>
  <c r="H147" i="36"/>
  <c r="H199" i="36"/>
  <c r="H189" i="36"/>
  <c r="H316" i="36"/>
  <c r="H213" i="36"/>
  <c r="H262" i="36"/>
  <c r="H259" i="36"/>
  <c r="H197" i="36"/>
  <c r="H192" i="36"/>
  <c r="H14" i="36"/>
  <c r="H205" i="36"/>
  <c r="H121" i="36"/>
  <c r="H230" i="36"/>
  <c r="H303" i="36"/>
  <c r="H148" i="36"/>
  <c r="H25" i="36"/>
  <c r="H181" i="36"/>
  <c r="H113" i="36"/>
  <c r="H297" i="36"/>
  <c r="H269" i="36"/>
  <c r="H10" i="36"/>
  <c r="H70" i="36"/>
  <c r="H127" i="36"/>
  <c r="H46" i="36"/>
  <c r="H235" i="36"/>
  <c r="H208" i="36"/>
  <c r="H129" i="36"/>
  <c r="H217" i="36"/>
  <c r="H300" i="36"/>
  <c r="H136" i="36"/>
  <c r="H196" i="36"/>
  <c r="H212" i="36"/>
  <c r="H263" i="36"/>
  <c r="H39" i="36"/>
  <c r="H285" i="36"/>
  <c r="H270" i="36"/>
  <c r="H157" i="36"/>
  <c r="H152" i="36"/>
  <c r="H250" i="36"/>
  <c r="H186" i="36"/>
  <c r="H109" i="36"/>
  <c r="H233" i="36"/>
  <c r="H243" i="36"/>
  <c r="H302" i="36"/>
  <c r="H279" i="36"/>
  <c r="H105" i="36"/>
  <c r="H206" i="36"/>
  <c r="H252" i="36"/>
  <c r="H292" i="36"/>
  <c r="H184" i="36"/>
  <c r="H265" i="36"/>
  <c r="H80" i="36"/>
  <c r="H254" i="36"/>
  <c r="H278" i="36"/>
  <c r="H295" i="36"/>
  <c r="H310" i="36"/>
  <c r="H257" i="36"/>
  <c r="H160" i="36"/>
  <c r="H282" i="36"/>
  <c r="H224" i="36"/>
  <c r="H126" i="36"/>
  <c r="H9" i="36"/>
  <c r="H154" i="36"/>
  <c r="H62" i="36"/>
  <c r="H55" i="36"/>
  <c r="H49" i="36"/>
  <c r="H57" i="36"/>
  <c r="H63" i="36"/>
  <c r="H24" i="36"/>
  <c r="H266" i="36"/>
  <c r="H122" i="36"/>
  <c r="H128" i="36"/>
  <c r="H247" i="36"/>
  <c r="H209" i="36"/>
  <c r="H229" i="36"/>
  <c r="H214" i="36"/>
  <c r="H311" i="36"/>
  <c r="H238" i="36"/>
  <c r="H103" i="36"/>
  <c r="H294" i="36"/>
  <c r="H125" i="36"/>
  <c r="H249" i="36"/>
  <c r="H305" i="36"/>
  <c r="H159" i="36"/>
  <c r="H248" i="36"/>
  <c r="H314" i="36"/>
  <c r="H256" i="36"/>
  <c r="H232" i="36"/>
  <c r="H102" i="36"/>
  <c r="H81" i="36"/>
  <c r="H98" i="36"/>
  <c r="H260" i="36"/>
  <c r="H286" i="36"/>
  <c r="H198" i="36"/>
  <c r="H289" i="36"/>
  <c r="H251" i="36"/>
  <c r="H306" i="36"/>
  <c r="H312" i="36"/>
  <c r="H244" i="36"/>
  <c r="H170" i="36"/>
  <c r="H191" i="36"/>
  <c r="H216" i="36"/>
  <c r="H187" i="36"/>
  <c r="H94" i="36"/>
  <c r="H202" i="36"/>
  <c r="H131" i="36"/>
  <c r="H258" i="36"/>
  <c r="H182" i="36"/>
  <c r="H158" i="36"/>
  <c r="H114" i="36"/>
  <c r="H219" i="36"/>
  <c r="H40" i="36"/>
  <c r="H309" i="36"/>
  <c r="H307" i="36"/>
  <c r="H130" i="36"/>
  <c r="H169" i="36"/>
  <c r="H222" i="36"/>
  <c r="H78" i="36"/>
  <c r="H194" i="36"/>
  <c r="H48" i="36"/>
  <c r="H264" i="36"/>
  <c r="H288" i="36"/>
  <c r="H203" i="36"/>
  <c r="H227" i="36"/>
  <c r="H164" i="36"/>
  <c r="H274" i="36"/>
  <c r="H291" i="36"/>
  <c r="H207" i="36"/>
  <c r="H167" i="36"/>
  <c r="H195" i="36"/>
  <c r="H23" i="36"/>
  <c r="H64" i="36"/>
  <c r="H101" i="36"/>
  <c r="H32" i="36"/>
  <c r="H240" i="36"/>
  <c r="H290" i="36"/>
  <c r="H298" i="36"/>
  <c r="H168" i="36"/>
  <c r="H276" i="36"/>
  <c r="H218" i="36"/>
  <c r="H135" i="36"/>
  <c r="H112" i="36"/>
  <c r="H134" i="36"/>
  <c r="H56" i="36"/>
  <c r="H22" i="36"/>
  <c r="H308" i="36"/>
  <c r="H140" i="36"/>
  <c r="H16" i="36"/>
  <c r="H241" i="36"/>
  <c r="H304" i="36"/>
  <c r="H119" i="36"/>
  <c r="H221" i="36"/>
  <c r="H118" i="36"/>
  <c r="H141" i="36"/>
  <c r="H166" i="36"/>
  <c r="H271" i="36"/>
  <c r="H287" i="36"/>
  <c r="H296" i="36"/>
  <c r="H108" i="36"/>
  <c r="H38" i="36"/>
  <c r="H106" i="36"/>
  <c r="H211" i="36"/>
  <c r="H110" i="36"/>
  <c r="H201" i="36"/>
  <c r="H163" i="36"/>
  <c r="H178" i="36"/>
  <c r="H99" i="36"/>
  <c r="H54" i="36"/>
  <c r="H173" i="36"/>
  <c r="H144" i="36"/>
  <c r="H104" i="36"/>
  <c r="H26" i="36"/>
  <c r="H35" i="36"/>
  <c r="H45" i="36"/>
  <c r="H284" i="36"/>
  <c r="H253" i="36"/>
  <c r="H315" i="36"/>
  <c r="H123" i="36"/>
  <c r="H132" i="36"/>
  <c r="H272" i="36"/>
  <c r="H86" i="36"/>
  <c r="H142" i="36"/>
  <c r="H155" i="36"/>
  <c r="H72" i="36"/>
  <c r="H74" i="36"/>
  <c r="H50" i="36"/>
  <c r="H51" i="36"/>
  <c r="H69" i="36"/>
  <c r="H275" i="36"/>
  <c r="H273" i="36"/>
  <c r="H179" i="36"/>
  <c r="H231" i="36"/>
  <c r="H146" i="36"/>
  <c r="H223" i="36"/>
  <c r="H255" i="36"/>
  <c r="H41" i="36"/>
  <c r="H100" i="36"/>
  <c r="H73" i="36"/>
  <c r="H34" i="36"/>
  <c r="H12" i="36"/>
  <c r="H96" i="36"/>
  <c r="H53" i="36"/>
  <c r="H267" i="36"/>
  <c r="H176" i="36"/>
  <c r="H82" i="36"/>
  <c r="H66" i="36"/>
  <c r="H18" i="36"/>
  <c r="H20" i="36"/>
  <c r="H61" i="36"/>
  <c r="H124" i="36"/>
  <c r="H75" i="36"/>
  <c r="H280" i="36"/>
  <c r="H88" i="36"/>
  <c r="H27" i="36"/>
  <c r="H84" i="36"/>
  <c r="H58" i="36"/>
  <c r="H76" i="36"/>
  <c r="H37" i="36"/>
  <c r="H174" i="36"/>
  <c r="H90" i="36"/>
  <c r="H42" i="36"/>
  <c r="H67" i="36"/>
  <c r="H43" i="36"/>
  <c r="H52" i="36"/>
  <c r="H28" i="36"/>
  <c r="H204" i="36"/>
  <c r="H91" i="36"/>
  <c r="H19" i="36"/>
  <c r="H85" i="36"/>
  <c r="H137" i="36"/>
  <c r="H15" i="36"/>
  <c r="H150" i="36"/>
  <c r="H107" i="36"/>
  <c r="H11" i="36"/>
  <c r="H92" i="36"/>
  <c r="H68" i="36"/>
  <c r="H44" i="36"/>
  <c r="H29" i="36"/>
  <c r="H13" i="36"/>
  <c r="H83" i="36"/>
  <c r="H59" i="36"/>
  <c r="H60" i="36"/>
  <c r="H93" i="36"/>
  <c r="H77" i="36"/>
  <c r="H161" i="36"/>
  <c r="H242" i="36"/>
  <c r="H234" i="36"/>
  <c r="H36" i="36"/>
  <c r="H21" i="36"/>
  <c r="AN316" i="42"/>
  <c r="H12" i="32"/>
  <c r="D18" i="9" s="1"/>
  <c r="H24" i="32"/>
  <c r="D30" i="9" s="1"/>
  <c r="H26" i="32"/>
  <c r="D32" i="9" s="1"/>
  <c r="H28" i="32"/>
  <c r="D34" i="9" s="1"/>
  <c r="H30" i="32"/>
  <c r="D36" i="9" s="1"/>
  <c r="H32" i="32"/>
  <c r="D38" i="9" s="1"/>
  <c r="H34" i="32"/>
  <c r="D40" i="9" s="1"/>
  <c r="H36" i="32"/>
  <c r="D42" i="9" s="1"/>
  <c r="H38" i="32"/>
  <c r="D44" i="9" s="1"/>
  <c r="H40" i="32"/>
  <c r="D46" i="9" s="1"/>
  <c r="H42" i="32"/>
  <c r="D48" i="9" s="1"/>
  <c r="H44" i="32"/>
  <c r="D50" i="9" s="1"/>
  <c r="H46" i="32"/>
  <c r="D52" i="9" s="1"/>
  <c r="H48" i="32"/>
  <c r="D54" i="9" s="1"/>
  <c r="H50" i="32"/>
  <c r="D56" i="9" s="1"/>
  <c r="H52" i="32"/>
  <c r="D58" i="9" s="1"/>
  <c r="H54" i="32"/>
  <c r="D60" i="9" s="1"/>
  <c r="H65" i="32"/>
  <c r="D71" i="9" s="1"/>
  <c r="H67" i="32"/>
  <c r="D73" i="9" s="1"/>
  <c r="H69" i="32"/>
  <c r="D75" i="9" s="1"/>
  <c r="H71" i="32"/>
  <c r="D77" i="9" s="1"/>
  <c r="H73" i="32"/>
  <c r="D79" i="9" s="1"/>
  <c r="H75" i="32"/>
  <c r="D81" i="9" s="1"/>
  <c r="H77" i="32"/>
  <c r="D83" i="9" s="1"/>
  <c r="H79" i="32"/>
  <c r="D85" i="9" s="1"/>
  <c r="H7" i="32"/>
  <c r="D13" i="9" s="1"/>
  <c r="H9" i="32"/>
  <c r="D15" i="9" s="1"/>
  <c r="H11" i="32"/>
  <c r="D17" i="9" s="1"/>
  <c r="H15" i="32"/>
  <c r="D21" i="9" s="1"/>
  <c r="H17" i="32"/>
  <c r="D23" i="9" s="1"/>
  <c r="H19" i="32"/>
  <c r="D25" i="9" s="1"/>
  <c r="H21" i="32"/>
  <c r="D27" i="9" s="1"/>
  <c r="H57" i="32"/>
  <c r="D63" i="9" s="1"/>
  <c r="H60" i="32"/>
  <c r="D66" i="9" s="1"/>
  <c r="H62" i="32"/>
  <c r="D68" i="9" s="1"/>
  <c r="H64" i="32"/>
  <c r="D70" i="9" s="1"/>
  <c r="H81" i="32"/>
  <c r="D87" i="9" s="1"/>
  <c r="H83" i="32"/>
  <c r="D89" i="9" s="1"/>
  <c r="H85" i="32"/>
  <c r="D91" i="9" s="1"/>
  <c r="H87" i="32"/>
  <c r="D93" i="9" s="1"/>
  <c r="H89" i="32"/>
  <c r="D95" i="9" s="1"/>
  <c r="H91" i="32"/>
  <c r="D97" i="9" s="1"/>
  <c r="H93" i="32"/>
  <c r="D99" i="9" s="1"/>
  <c r="H95" i="32"/>
  <c r="D101" i="9" s="1"/>
  <c r="H310" i="32"/>
  <c r="D316" i="9" s="1"/>
  <c r="H302" i="32"/>
  <c r="D308" i="9" s="1"/>
  <c r="H294" i="32"/>
  <c r="D300" i="9" s="1"/>
  <c r="H286" i="32"/>
  <c r="D292" i="9" s="1"/>
  <c r="H278" i="32"/>
  <c r="D284" i="9" s="1"/>
  <c r="H270" i="32"/>
  <c r="D276" i="9" s="1"/>
  <c r="H262" i="32"/>
  <c r="D268" i="9" s="1"/>
  <c r="H254" i="32"/>
  <c r="D260" i="9" s="1"/>
  <c r="H246" i="32"/>
  <c r="D252" i="9" s="1"/>
  <c r="H238" i="32"/>
  <c r="D244" i="9" s="1"/>
  <c r="H230" i="32"/>
  <c r="D236" i="9" s="1"/>
  <c r="H222" i="32"/>
  <c r="D228" i="9" s="1"/>
  <c r="H214" i="32"/>
  <c r="D220" i="9" s="1"/>
  <c r="H206" i="32"/>
  <c r="D212" i="9" s="1"/>
  <c r="H198" i="32"/>
  <c r="D204" i="9" s="1"/>
  <c r="H190" i="32"/>
  <c r="D196" i="9" s="1"/>
  <c r="H182" i="32"/>
  <c r="D188" i="9" s="1"/>
  <c r="H174" i="32"/>
  <c r="D180" i="9" s="1"/>
  <c r="H166" i="32"/>
  <c r="D172" i="9" s="1"/>
  <c r="H158" i="32"/>
  <c r="D164" i="9" s="1"/>
  <c r="H150" i="32"/>
  <c r="D156" i="9" s="1"/>
  <c r="H141" i="32"/>
  <c r="D147" i="9" s="1"/>
  <c r="H133" i="32"/>
  <c r="D139" i="9" s="1"/>
  <c r="H124" i="32"/>
  <c r="D130" i="9" s="1"/>
  <c r="H116" i="32"/>
  <c r="D122" i="9" s="1"/>
  <c r="H108" i="32"/>
  <c r="D114" i="9" s="1"/>
  <c r="H100" i="32"/>
  <c r="D106" i="9" s="1"/>
  <c r="H311" i="32"/>
  <c r="D317" i="9" s="1"/>
  <c r="H303" i="32"/>
  <c r="D309" i="9" s="1"/>
  <c r="H295" i="32"/>
  <c r="D301" i="9" s="1"/>
  <c r="H287" i="32"/>
  <c r="D293" i="9" s="1"/>
  <c r="H279" i="32"/>
  <c r="D285" i="9" s="1"/>
  <c r="H271" i="32"/>
  <c r="D277" i="9" s="1"/>
  <c r="H263" i="32"/>
  <c r="D269" i="9" s="1"/>
  <c r="H255" i="32"/>
  <c r="D261" i="9" s="1"/>
  <c r="H247" i="32"/>
  <c r="D253" i="9" s="1"/>
  <c r="H239" i="32"/>
  <c r="D245" i="9" s="1"/>
  <c r="H231" i="32"/>
  <c r="D237" i="9" s="1"/>
  <c r="H223" i="32"/>
  <c r="D229" i="9" s="1"/>
  <c r="H215" i="32"/>
  <c r="D221" i="9" s="1"/>
  <c r="H207" i="32"/>
  <c r="D213" i="9" s="1"/>
  <c r="H199" i="32"/>
  <c r="D205" i="9" s="1"/>
  <c r="H191" i="32"/>
  <c r="D197" i="9" s="1"/>
  <c r="H183" i="32"/>
  <c r="D189" i="9" s="1"/>
  <c r="H175" i="32"/>
  <c r="D181" i="9" s="1"/>
  <c r="H167" i="32"/>
  <c r="D173" i="9" s="1"/>
  <c r="H159" i="32"/>
  <c r="D165" i="9" s="1"/>
  <c r="H151" i="32"/>
  <c r="D157" i="9" s="1"/>
  <c r="H142" i="32"/>
  <c r="D148" i="9" s="1"/>
  <c r="H134" i="32"/>
  <c r="D140" i="9" s="1"/>
  <c r="H125" i="32"/>
  <c r="D131" i="9" s="1"/>
  <c r="H117" i="32"/>
  <c r="D123" i="9" s="1"/>
  <c r="H109" i="32"/>
  <c r="D115" i="9" s="1"/>
  <c r="H101" i="32"/>
  <c r="D107" i="9" s="1"/>
  <c r="H149" i="32"/>
  <c r="D155" i="9" s="1"/>
  <c r="H308" i="32"/>
  <c r="D314" i="9" s="1"/>
  <c r="H300" i="32"/>
  <c r="D306" i="9" s="1"/>
  <c r="H292" i="32"/>
  <c r="D298" i="9" s="1"/>
  <c r="H284" i="32"/>
  <c r="D290" i="9" s="1"/>
  <c r="H276" i="32"/>
  <c r="D282" i="9" s="1"/>
  <c r="H268" i="32"/>
  <c r="D274" i="9" s="1"/>
  <c r="H260" i="32"/>
  <c r="D266" i="9" s="1"/>
  <c r="H252" i="32"/>
  <c r="D258" i="9" s="1"/>
  <c r="H244" i="32"/>
  <c r="D250" i="9" s="1"/>
  <c r="H236" i="32"/>
  <c r="D242" i="9" s="1"/>
  <c r="H228" i="32"/>
  <c r="D234" i="9" s="1"/>
  <c r="H220" i="32"/>
  <c r="D226" i="9" s="1"/>
  <c r="H212" i="32"/>
  <c r="D218" i="9" s="1"/>
  <c r="H204" i="32"/>
  <c r="D210" i="9" s="1"/>
  <c r="H196" i="32"/>
  <c r="D202" i="9" s="1"/>
  <c r="H188" i="32"/>
  <c r="D194" i="9" s="1"/>
  <c r="H180" i="32"/>
  <c r="D186" i="9" s="1"/>
  <c r="H172" i="32"/>
  <c r="D178" i="9" s="1"/>
  <c r="H164" i="32"/>
  <c r="D170" i="9" s="1"/>
  <c r="H156" i="32"/>
  <c r="D162" i="9" s="1"/>
  <c r="H147" i="32"/>
  <c r="D153" i="9" s="1"/>
  <c r="H139" i="32"/>
  <c r="D145" i="9" s="1"/>
  <c r="H131" i="32"/>
  <c r="D137" i="9" s="1"/>
  <c r="H122" i="32"/>
  <c r="D128" i="9" s="1"/>
  <c r="H114" i="32"/>
  <c r="D120" i="9" s="1"/>
  <c r="H106" i="32"/>
  <c r="D112" i="9" s="1"/>
  <c r="H98" i="32"/>
  <c r="D104" i="9" s="1"/>
  <c r="H309" i="32"/>
  <c r="D315" i="9" s="1"/>
  <c r="H301" i="32"/>
  <c r="D307" i="9" s="1"/>
  <c r="H293" i="32"/>
  <c r="D299" i="9" s="1"/>
  <c r="H285" i="32"/>
  <c r="D291" i="9" s="1"/>
  <c r="H277" i="32"/>
  <c r="D283" i="9" s="1"/>
  <c r="H269" i="32"/>
  <c r="D275" i="9" s="1"/>
  <c r="H261" i="32"/>
  <c r="D267" i="9" s="1"/>
  <c r="H253" i="32"/>
  <c r="D259" i="9" s="1"/>
  <c r="H245" i="32"/>
  <c r="D251" i="9" s="1"/>
  <c r="H237" i="32"/>
  <c r="D243" i="9" s="1"/>
  <c r="H229" i="32"/>
  <c r="D235" i="9" s="1"/>
  <c r="H221" i="32"/>
  <c r="D227" i="9" s="1"/>
  <c r="H213" i="32"/>
  <c r="D219" i="9" s="1"/>
  <c r="H205" i="32"/>
  <c r="D211" i="9" s="1"/>
  <c r="H197" i="32"/>
  <c r="D203" i="9" s="1"/>
  <c r="H189" i="32"/>
  <c r="D195" i="9" s="1"/>
  <c r="H181" i="32"/>
  <c r="D187" i="9" s="1"/>
  <c r="H173" i="32"/>
  <c r="D179" i="9" s="1"/>
  <c r="H165" i="32"/>
  <c r="D171" i="9" s="1"/>
  <c r="H157" i="32"/>
  <c r="D163" i="9" s="1"/>
  <c r="H148" i="32"/>
  <c r="D154" i="9" s="1"/>
  <c r="H140" i="32"/>
  <c r="D146" i="9" s="1"/>
  <c r="H132" i="32"/>
  <c r="D138" i="9" s="1"/>
  <c r="H123" i="32"/>
  <c r="D129" i="9" s="1"/>
  <c r="H115" i="32"/>
  <c r="D121" i="9" s="1"/>
  <c r="H107" i="32"/>
  <c r="D113" i="9" s="1"/>
  <c r="H96" i="32"/>
  <c r="D102" i="9" s="1"/>
  <c r="H23" i="32"/>
  <c r="D29" i="9" s="1"/>
  <c r="H25" i="32"/>
  <c r="D31" i="9" s="1"/>
  <c r="H27" i="32"/>
  <c r="D33" i="9" s="1"/>
  <c r="H29" i="32"/>
  <c r="D35" i="9" s="1"/>
  <c r="H31" i="32"/>
  <c r="D37" i="9" s="1"/>
  <c r="H33" i="32"/>
  <c r="D39" i="9" s="1"/>
  <c r="H35" i="32"/>
  <c r="D41" i="9" s="1"/>
  <c r="H37" i="32"/>
  <c r="D43" i="9" s="1"/>
  <c r="H39" i="32"/>
  <c r="D45" i="9" s="1"/>
  <c r="H41" i="32"/>
  <c r="D47" i="9" s="1"/>
  <c r="H43" i="32"/>
  <c r="D49" i="9" s="1"/>
  <c r="H45" i="32"/>
  <c r="D51" i="9" s="1"/>
  <c r="H47" i="32"/>
  <c r="D53" i="9" s="1"/>
  <c r="H49" i="32"/>
  <c r="D55" i="9" s="1"/>
  <c r="H51" i="32"/>
  <c r="D57" i="9" s="1"/>
  <c r="H53" i="32"/>
  <c r="D59" i="9" s="1"/>
  <c r="H55" i="32"/>
  <c r="D61" i="9" s="1"/>
  <c r="H66" i="32"/>
  <c r="D72" i="9" s="1"/>
  <c r="H68" i="32"/>
  <c r="D74" i="9" s="1"/>
  <c r="H70" i="32"/>
  <c r="D76" i="9" s="1"/>
  <c r="H72" i="32"/>
  <c r="D78" i="9" s="1"/>
  <c r="H74" i="32"/>
  <c r="D80" i="9" s="1"/>
  <c r="H76" i="32"/>
  <c r="D82" i="9" s="1"/>
  <c r="H78" i="32"/>
  <c r="D84" i="9" s="1"/>
  <c r="H6" i="32"/>
  <c r="D12" i="9" s="1"/>
  <c r="H8" i="32"/>
  <c r="D14" i="9" s="1"/>
  <c r="H10" i="32"/>
  <c r="D16" i="9" s="1"/>
  <c r="H14" i="32"/>
  <c r="D20" i="9" s="1"/>
  <c r="H16" i="32"/>
  <c r="D22" i="9" s="1"/>
  <c r="H18" i="32"/>
  <c r="D24" i="9" s="1"/>
  <c r="H20" i="32"/>
  <c r="D26" i="9" s="1"/>
  <c r="H56" i="32"/>
  <c r="D62" i="9" s="1"/>
  <c r="H58" i="32"/>
  <c r="D64" i="9" s="1"/>
  <c r="H61" i="32"/>
  <c r="D67" i="9" s="1"/>
  <c r="H63" i="32"/>
  <c r="D69" i="9" s="1"/>
  <c r="H80" i="32"/>
  <c r="D86" i="9" s="1"/>
  <c r="H82" i="32"/>
  <c r="D88" i="9" s="1"/>
  <c r="H84" i="32"/>
  <c r="D90" i="9" s="1"/>
  <c r="H86" i="32"/>
  <c r="D92" i="9" s="1"/>
  <c r="H88" i="32"/>
  <c r="D94" i="9" s="1"/>
  <c r="H90" i="32"/>
  <c r="D96" i="9" s="1"/>
  <c r="H92" i="32"/>
  <c r="D98" i="9" s="1"/>
  <c r="H94" i="32"/>
  <c r="D100" i="9" s="1"/>
  <c r="H13" i="32"/>
  <c r="D19" i="9" s="1"/>
  <c r="H306" i="32"/>
  <c r="D312" i="9" s="1"/>
  <c r="H298" i="32"/>
  <c r="D304" i="9" s="1"/>
  <c r="H290" i="32"/>
  <c r="D296" i="9" s="1"/>
  <c r="H282" i="32"/>
  <c r="D288" i="9" s="1"/>
  <c r="H274" i="32"/>
  <c r="D280" i="9" s="1"/>
  <c r="H266" i="32"/>
  <c r="D272" i="9" s="1"/>
  <c r="H258" i="32"/>
  <c r="D264" i="9" s="1"/>
  <c r="H250" i="32"/>
  <c r="D256" i="9" s="1"/>
  <c r="H242" i="32"/>
  <c r="D248" i="9" s="1"/>
  <c r="H234" i="32"/>
  <c r="D240" i="9" s="1"/>
  <c r="H226" i="32"/>
  <c r="D232" i="9" s="1"/>
  <c r="H218" i="32"/>
  <c r="D224" i="9" s="1"/>
  <c r="H210" i="32"/>
  <c r="D216" i="9" s="1"/>
  <c r="H202" i="32"/>
  <c r="D208" i="9" s="1"/>
  <c r="H194" i="32"/>
  <c r="D200" i="9" s="1"/>
  <c r="H186" i="32"/>
  <c r="D192" i="9" s="1"/>
  <c r="H178" i="32"/>
  <c r="D184" i="9" s="1"/>
  <c r="H170" i="32"/>
  <c r="D176" i="9" s="1"/>
  <c r="H162" i="32"/>
  <c r="D168" i="9" s="1"/>
  <c r="H154" i="32"/>
  <c r="D160" i="9" s="1"/>
  <c r="H145" i="32"/>
  <c r="D151" i="9" s="1"/>
  <c r="H137" i="32"/>
  <c r="D143" i="9" s="1"/>
  <c r="H128" i="32"/>
  <c r="D134" i="9" s="1"/>
  <c r="H120" i="32"/>
  <c r="D126" i="9" s="1"/>
  <c r="H112" i="32"/>
  <c r="D118" i="9" s="1"/>
  <c r="H104" i="32"/>
  <c r="D110" i="9" s="1"/>
  <c r="H22" i="32"/>
  <c r="D28" i="9" s="1"/>
  <c r="H307" i="32"/>
  <c r="D313" i="9" s="1"/>
  <c r="H299" i="32"/>
  <c r="D305" i="9" s="1"/>
  <c r="H291" i="32"/>
  <c r="D297" i="9" s="1"/>
  <c r="H283" i="32"/>
  <c r="D289" i="9" s="1"/>
  <c r="H275" i="32"/>
  <c r="D281" i="9" s="1"/>
  <c r="H267" i="32"/>
  <c r="D273" i="9" s="1"/>
  <c r="H259" i="32"/>
  <c r="D265" i="9" s="1"/>
  <c r="H251" i="32"/>
  <c r="D257" i="9" s="1"/>
  <c r="H243" i="32"/>
  <c r="D249" i="9" s="1"/>
  <c r="H235" i="32"/>
  <c r="D241" i="9" s="1"/>
  <c r="H227" i="32"/>
  <c r="D233" i="9" s="1"/>
  <c r="H219" i="32"/>
  <c r="D225" i="9" s="1"/>
  <c r="H211" i="32"/>
  <c r="D217" i="9" s="1"/>
  <c r="H203" i="32"/>
  <c r="D209" i="9" s="1"/>
  <c r="H195" i="32"/>
  <c r="D201" i="9" s="1"/>
  <c r="H187" i="32"/>
  <c r="D193" i="9" s="1"/>
  <c r="H179" i="32"/>
  <c r="D185" i="9" s="1"/>
  <c r="H171" i="32"/>
  <c r="D177" i="9" s="1"/>
  <c r="H163" i="32"/>
  <c r="D169" i="9" s="1"/>
  <c r="H155" i="32"/>
  <c r="D161" i="9" s="1"/>
  <c r="H146" i="32"/>
  <c r="D152" i="9" s="1"/>
  <c r="H138" i="32"/>
  <c r="D144" i="9" s="1"/>
  <c r="H129" i="32"/>
  <c r="D135" i="9" s="1"/>
  <c r="H121" i="32"/>
  <c r="D127" i="9" s="1"/>
  <c r="H113" i="32"/>
  <c r="D119" i="9" s="1"/>
  <c r="H105" i="32"/>
  <c r="D111" i="9" s="1"/>
  <c r="H97" i="32"/>
  <c r="D103" i="9" s="1"/>
  <c r="H312" i="32"/>
  <c r="D318" i="9" s="1"/>
  <c r="H304" i="32"/>
  <c r="D310" i="9" s="1"/>
  <c r="H296" i="32"/>
  <c r="D302" i="9" s="1"/>
  <c r="H288" i="32"/>
  <c r="D294" i="9" s="1"/>
  <c r="H280" i="32"/>
  <c r="D286" i="9" s="1"/>
  <c r="H272" i="32"/>
  <c r="D278" i="9" s="1"/>
  <c r="H264" i="32"/>
  <c r="D270" i="9" s="1"/>
  <c r="H256" i="32"/>
  <c r="D262" i="9" s="1"/>
  <c r="H248" i="32"/>
  <c r="D254" i="9" s="1"/>
  <c r="H240" i="32"/>
  <c r="D246" i="9" s="1"/>
  <c r="H232" i="32"/>
  <c r="D238" i="9" s="1"/>
  <c r="H224" i="32"/>
  <c r="D230" i="9" s="1"/>
  <c r="H216" i="32"/>
  <c r="D222" i="9" s="1"/>
  <c r="H208" i="32"/>
  <c r="D214" i="9" s="1"/>
  <c r="H200" i="32"/>
  <c r="D206" i="9" s="1"/>
  <c r="H192" i="32"/>
  <c r="D198" i="9" s="1"/>
  <c r="H184" i="32"/>
  <c r="D190" i="9" s="1"/>
  <c r="H176" i="32"/>
  <c r="D182" i="9" s="1"/>
  <c r="H168" i="32"/>
  <c r="D174" i="9" s="1"/>
  <c r="H160" i="32"/>
  <c r="D166" i="9" s="1"/>
  <c r="H152" i="32"/>
  <c r="D158" i="9" s="1"/>
  <c r="H143" i="32"/>
  <c r="D149" i="9" s="1"/>
  <c r="H135" i="32"/>
  <c r="D141" i="9" s="1"/>
  <c r="H126" i="32"/>
  <c r="D132" i="9" s="1"/>
  <c r="H118" i="32"/>
  <c r="D124" i="9" s="1"/>
  <c r="H110" i="32"/>
  <c r="D116" i="9" s="1"/>
  <c r="H102" i="32"/>
  <c r="D108" i="9" s="1"/>
  <c r="H313" i="32"/>
  <c r="D319" i="9" s="1"/>
  <c r="H305" i="32"/>
  <c r="D311" i="9" s="1"/>
  <c r="H297" i="32"/>
  <c r="D303" i="9" s="1"/>
  <c r="H289" i="32"/>
  <c r="D295" i="9" s="1"/>
  <c r="H281" i="32"/>
  <c r="D287" i="9" s="1"/>
  <c r="H273" i="32"/>
  <c r="D279" i="9" s="1"/>
  <c r="H265" i="32"/>
  <c r="D271" i="9" s="1"/>
  <c r="H257" i="32"/>
  <c r="D263" i="9" s="1"/>
  <c r="H249" i="32"/>
  <c r="D255" i="9" s="1"/>
  <c r="H241" i="32"/>
  <c r="D247" i="9" s="1"/>
  <c r="H233" i="32"/>
  <c r="D239" i="9" s="1"/>
  <c r="H225" i="32"/>
  <c r="D231" i="9" s="1"/>
  <c r="H217" i="32"/>
  <c r="D223" i="9" s="1"/>
  <c r="H209" i="32"/>
  <c r="D215" i="9" s="1"/>
  <c r="H201" i="32"/>
  <c r="D207" i="9" s="1"/>
  <c r="H193" i="32"/>
  <c r="D199" i="9" s="1"/>
  <c r="H185" i="32"/>
  <c r="D191" i="9" s="1"/>
  <c r="H177" i="32"/>
  <c r="D183" i="9" s="1"/>
  <c r="H169" i="32"/>
  <c r="D175" i="9" s="1"/>
  <c r="H161" i="32"/>
  <c r="D167" i="9" s="1"/>
  <c r="H153" i="32"/>
  <c r="D159" i="9" s="1"/>
  <c r="H144" i="32"/>
  <c r="D150" i="9" s="1"/>
  <c r="H136" i="32"/>
  <c r="D142" i="9" s="1"/>
  <c r="H127" i="32"/>
  <c r="D133" i="9" s="1"/>
  <c r="H119" i="32"/>
  <c r="D125" i="9" s="1"/>
  <c r="H111" i="32"/>
  <c r="D117" i="9" s="1"/>
  <c r="H103" i="32"/>
  <c r="D109" i="9" s="1"/>
  <c r="H130" i="32"/>
  <c r="D136" i="9" s="1"/>
  <c r="H59" i="32"/>
  <c r="D65" i="9" s="1"/>
  <c r="H99" i="32"/>
  <c r="D105" i="9" s="1"/>
  <c r="K7" i="13"/>
  <c r="K315" i="13"/>
  <c r="G314" i="11"/>
  <c r="E314" i="49"/>
  <c r="E307" i="49"/>
  <c r="E303" i="49"/>
  <c r="E292" i="49"/>
  <c r="E284" i="49"/>
  <c r="E268" i="49"/>
  <c r="E260" i="49"/>
  <c r="E252" i="49"/>
  <c r="E230" i="49"/>
  <c r="E226" i="49"/>
  <c r="E207" i="49"/>
  <c r="E187" i="49"/>
  <c r="E179" i="49"/>
  <c r="E160" i="49"/>
  <c r="E156" i="49"/>
  <c r="E148" i="49"/>
  <c r="E140" i="49"/>
  <c r="E124" i="49"/>
  <c r="E116" i="49"/>
  <c r="E112" i="49"/>
  <c r="E104" i="49"/>
  <c r="E100" i="49"/>
  <c r="E92" i="49"/>
  <c r="E84" i="49"/>
  <c r="E76" i="49"/>
  <c r="E68" i="49"/>
  <c r="E60" i="49"/>
  <c r="E52" i="49"/>
  <c r="E44" i="49"/>
  <c r="E36" i="49"/>
  <c r="E20" i="49"/>
  <c r="E16" i="49"/>
  <c r="E8" i="49"/>
  <c r="E306" i="49"/>
  <c r="E291" i="49"/>
  <c r="E283" i="49"/>
  <c r="E279" i="49"/>
  <c r="E271" i="49"/>
  <c r="E263" i="49"/>
  <c r="E255" i="49"/>
  <c r="E251" i="49"/>
  <c r="E236" i="49"/>
  <c r="E233" i="49"/>
  <c r="E214" i="49"/>
  <c r="E206" i="49"/>
  <c r="E198" i="49"/>
  <c r="E186" i="49"/>
  <c r="E178" i="49"/>
  <c r="E159" i="49"/>
  <c r="E151" i="49"/>
  <c r="E59" i="49"/>
  <c r="E51" i="49"/>
  <c r="E7" i="49"/>
  <c r="E309" i="49"/>
  <c r="E305" i="49"/>
  <c r="E294" i="49"/>
  <c r="E290" i="49"/>
  <c r="E286" i="49"/>
  <c r="E282" i="49"/>
  <c r="E278" i="49"/>
  <c r="E274" i="49"/>
  <c r="E266" i="49"/>
  <c r="E262" i="49"/>
  <c r="E258" i="49"/>
  <c r="E254" i="49"/>
  <c r="E250" i="49"/>
  <c r="E241" i="49"/>
  <c r="E235" i="49"/>
  <c r="E232" i="49"/>
  <c r="E228" i="49"/>
  <c r="E224" i="49"/>
  <c r="E217" i="49"/>
  <c r="E213" i="49"/>
  <c r="E209" i="49"/>
  <c r="E205" i="49"/>
  <c r="E201" i="49"/>
  <c r="E193" i="49"/>
  <c r="E189" i="49"/>
  <c r="E185" i="49"/>
  <c r="E181" i="49"/>
  <c r="E177" i="49"/>
  <c r="E174" i="49"/>
  <c r="E167" i="49"/>
  <c r="E165" i="49"/>
  <c r="E162" i="49"/>
  <c r="E158" i="49"/>
  <c r="E154" i="49"/>
  <c r="E150" i="49"/>
  <c r="E138" i="49"/>
  <c r="E130" i="49"/>
  <c r="E126" i="49"/>
  <c r="E122" i="49"/>
  <c r="E114" i="49"/>
  <c r="E110" i="49"/>
  <c r="E106" i="49"/>
  <c r="E102" i="49"/>
  <c r="E98" i="49"/>
  <c r="E94" i="49"/>
  <c r="E90" i="49"/>
  <c r="E82" i="49"/>
  <c r="E78" i="49"/>
  <c r="E74" i="49"/>
  <c r="E70" i="49"/>
  <c r="E66" i="49"/>
  <c r="E62" i="49"/>
  <c r="E58" i="49"/>
  <c r="E54" i="49"/>
  <c r="E50" i="49"/>
  <c r="E46" i="49"/>
  <c r="E42" i="49"/>
  <c r="E38" i="49"/>
  <c r="E34" i="49"/>
  <c r="E30" i="49"/>
  <c r="E26" i="49"/>
  <c r="E22" i="49"/>
  <c r="E18" i="49"/>
  <c r="E14" i="49"/>
  <c r="E10" i="49"/>
  <c r="C6" i="25"/>
  <c r="E6" i="49"/>
  <c r="E311" i="49"/>
  <c r="E299" i="49"/>
  <c r="E280" i="49"/>
  <c r="E272" i="49"/>
  <c r="E264" i="49"/>
  <c r="E248" i="49"/>
  <c r="E211" i="49"/>
  <c r="E203" i="49"/>
  <c r="E191" i="49"/>
  <c r="E175" i="49"/>
  <c r="E172" i="49"/>
  <c r="E144" i="49"/>
  <c r="E108" i="49"/>
  <c r="E88" i="49"/>
  <c r="E80" i="49"/>
  <c r="E72" i="49"/>
  <c r="E64" i="49"/>
  <c r="E56" i="49"/>
  <c r="E48" i="49"/>
  <c r="E40" i="49"/>
  <c r="E32" i="49"/>
  <c r="E12" i="49"/>
  <c r="E310" i="49"/>
  <c r="E302" i="49"/>
  <c r="E298" i="49"/>
  <c r="E295" i="49"/>
  <c r="E287" i="49"/>
  <c r="E275" i="49"/>
  <c r="E267" i="49"/>
  <c r="E259" i="49"/>
  <c r="E247" i="49"/>
  <c r="E238" i="49"/>
  <c r="E225" i="49"/>
  <c r="E218" i="49"/>
  <c r="E210" i="49"/>
  <c r="E202" i="49"/>
  <c r="E194" i="49"/>
  <c r="E190" i="49"/>
  <c r="E182" i="49"/>
  <c r="E163" i="49"/>
  <c r="E155" i="49"/>
  <c r="E147" i="49"/>
  <c r="E135" i="49"/>
  <c r="E47" i="49"/>
  <c r="D315" i="49"/>
  <c r="E308" i="49"/>
  <c r="E300" i="49"/>
  <c r="E285" i="49"/>
  <c r="E281" i="49"/>
  <c r="E277" i="49"/>
  <c r="E273" i="49"/>
  <c r="E265" i="49"/>
  <c r="E253" i="49"/>
  <c r="E249" i="49"/>
  <c r="E240" i="49"/>
  <c r="E237" i="49"/>
  <c r="E231" i="49"/>
  <c r="E223" i="49"/>
  <c r="E216" i="49"/>
  <c r="E212" i="49"/>
  <c r="E208" i="49"/>
  <c r="E204" i="49"/>
  <c r="E200" i="49"/>
  <c r="E192" i="49"/>
  <c r="E188" i="49"/>
  <c r="E184" i="49"/>
  <c r="E176" i="49"/>
  <c r="E169" i="49"/>
  <c r="E166" i="49"/>
  <c r="E164" i="49"/>
  <c r="E161" i="49"/>
  <c r="E157" i="49"/>
  <c r="E153" i="49"/>
  <c r="E145" i="49"/>
  <c r="E141" i="49"/>
  <c r="E137" i="49"/>
  <c r="E133" i="49"/>
  <c r="E129" i="49"/>
  <c r="E125" i="49"/>
  <c r="E117" i="49"/>
  <c r="E113" i="49"/>
  <c r="E109" i="49"/>
  <c r="E105" i="49"/>
  <c r="E101" i="49"/>
  <c r="E97" i="49"/>
  <c r="E93" i="49"/>
  <c r="E89" i="49"/>
  <c r="E85" i="49"/>
  <c r="E81" i="49"/>
  <c r="E77" i="49"/>
  <c r="E73" i="49"/>
  <c r="E69" i="49"/>
  <c r="E65" i="49"/>
  <c r="E61" i="49"/>
  <c r="E57" i="49"/>
  <c r="E53" i="49"/>
  <c r="E49" i="49"/>
  <c r="E45" i="49"/>
  <c r="E41" i="49"/>
  <c r="E37" i="49"/>
  <c r="E33" i="49"/>
  <c r="E29" i="49"/>
  <c r="E25" i="49"/>
  <c r="E21" i="49"/>
  <c r="E17" i="49"/>
  <c r="E13" i="49"/>
  <c r="E9" i="49"/>
  <c r="D6" i="25"/>
  <c r="D5"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1" i="13"/>
  <c r="M31" i="13" s="1"/>
  <c r="L27" i="13"/>
  <c r="M27" i="13" s="1"/>
  <c r="L23" i="13"/>
  <c r="M23" i="13" s="1"/>
  <c r="L19" i="13"/>
  <c r="M19" i="13" s="1"/>
  <c r="L118" i="13"/>
  <c r="M118" i="13" s="1"/>
  <c r="L86" i="13"/>
  <c r="M86" i="13" s="1"/>
  <c r="B314" i="11"/>
  <c r="L135" i="13"/>
  <c r="M135" i="13" s="1"/>
  <c r="L59" i="13"/>
  <c r="M59" i="13" s="1"/>
  <c r="L51" i="13"/>
  <c r="M51" i="13" s="1"/>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Y7" i="19"/>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8" i="13"/>
  <c r="M28" i="13" s="1"/>
  <c r="L16" i="13"/>
  <c r="M16"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4" i="13"/>
  <c r="M24"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3" i="13"/>
  <c r="M13" i="13" s="1"/>
  <c r="L20" i="13"/>
  <c r="M20" i="13" s="1"/>
  <c r="L72" i="13"/>
  <c r="M72" i="13" s="1"/>
  <c r="L64" i="13"/>
  <c r="M64" i="13" s="1"/>
  <c r="L52" i="13"/>
  <c r="M52" i="13" s="1"/>
  <c r="K316" i="19"/>
  <c r="E316" i="19"/>
  <c r="H195" i="49"/>
  <c r="I195" i="49" s="1"/>
  <c r="L12" i="13"/>
  <c r="M12" i="13" s="1"/>
  <c r="L40" i="13"/>
  <c r="M40" i="13" s="1"/>
  <c r="L32" i="13"/>
  <c r="M32" i="13" s="1"/>
  <c r="H165" i="49"/>
  <c r="H164" i="49"/>
  <c r="L38" i="13"/>
  <c r="M38" i="13" s="1"/>
  <c r="F316" i="19"/>
  <c r="M316" i="19"/>
  <c r="P316" i="19"/>
  <c r="V316" i="19"/>
  <c r="C316" i="19"/>
  <c r="L270" i="13"/>
  <c r="M270" i="13" s="1"/>
  <c r="J316" i="19"/>
  <c r="D5" i="32"/>
  <c r="D314" i="32" s="1"/>
  <c r="Z316"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H316" i="19"/>
  <c r="I316" i="19"/>
  <c r="L206" i="13"/>
  <c r="M206" i="13" s="1"/>
  <c r="L85" i="13"/>
  <c r="M85" i="13" s="1"/>
  <c r="AR316"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16" i="19"/>
  <c r="H150" i="49"/>
  <c r="H19" i="49"/>
  <c r="I19" i="49" s="1"/>
  <c r="L316" i="19"/>
  <c r="L201" i="13"/>
  <c r="M201" i="13" s="1"/>
  <c r="L213" i="13"/>
  <c r="M213" i="13" s="1"/>
  <c r="L93" i="13"/>
  <c r="M93" i="13" s="1"/>
  <c r="L141" i="13"/>
  <c r="M141" i="13" s="1"/>
  <c r="L77" i="13"/>
  <c r="M77" i="13" s="1"/>
  <c r="L74" i="13"/>
  <c r="M74" i="13" s="1"/>
  <c r="L14" i="13"/>
  <c r="M14" i="13" s="1"/>
  <c r="L306" i="13"/>
  <c r="M306" i="13" s="1"/>
  <c r="L295" i="13"/>
  <c r="M295" i="13" s="1"/>
  <c r="L279" i="13"/>
  <c r="M279" i="13" s="1"/>
  <c r="L251" i="13"/>
  <c r="M251" i="13" s="1"/>
  <c r="L236" i="13"/>
  <c r="M236" i="13" s="1"/>
  <c r="L214" i="13"/>
  <c r="M214" i="13" s="1"/>
  <c r="L210" i="13"/>
  <c r="M210" i="13" s="1"/>
  <c r="L190" i="13"/>
  <c r="M190" i="13" s="1"/>
  <c r="L117" i="13"/>
  <c r="M117" i="13" s="1"/>
  <c r="W316" i="19"/>
  <c r="X316" i="19"/>
  <c r="L313" i="13"/>
  <c r="M313" i="13" s="1"/>
  <c r="L305" i="13"/>
  <c r="M305" i="13" s="1"/>
  <c r="L297" i="13"/>
  <c r="M297" i="13" s="1"/>
  <c r="L290" i="13"/>
  <c r="M290" i="13" s="1"/>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59" i="13"/>
  <c r="M259" i="13" s="1"/>
  <c r="L167" i="13"/>
  <c r="M167" i="13" s="1"/>
  <c r="L80" i="13"/>
  <c r="M80" i="13" s="1"/>
  <c r="L17" i="13"/>
  <c r="M17" i="13" s="1"/>
  <c r="L140" i="13"/>
  <c r="M140" i="13" s="1"/>
  <c r="L159" i="13"/>
  <c r="M159" i="13" s="1"/>
  <c r="L174" i="13"/>
  <c r="M174" i="13" s="1"/>
  <c r="L147" i="13"/>
  <c r="M147" i="13" s="1"/>
  <c r="G7" i="19"/>
  <c r="R7" i="19" s="1"/>
  <c r="H107" i="49"/>
  <c r="I107" i="49" s="1"/>
  <c r="H55" i="49"/>
  <c r="I55" i="49" s="1"/>
  <c r="H8" i="49"/>
  <c r="H106" i="49"/>
  <c r="H130" i="49"/>
  <c r="H172" i="49"/>
  <c r="H39" i="49"/>
  <c r="I39" i="49" s="1"/>
  <c r="H288" i="49"/>
  <c r="I288" i="49" s="1"/>
  <c r="H207" i="49"/>
  <c r="H191" i="49"/>
  <c r="H143" i="49"/>
  <c r="I143" i="49" s="1"/>
  <c r="H59" i="49"/>
  <c r="H47" i="49"/>
  <c r="H296" i="49"/>
  <c r="I296" i="49" s="1"/>
  <c r="H231" i="49"/>
  <c r="H230" i="49"/>
  <c r="H226" i="49"/>
  <c r="H206" i="49"/>
  <c r="H163" i="49"/>
  <c r="H126" i="49"/>
  <c r="H114" i="49"/>
  <c r="H90" i="49"/>
  <c r="H87" i="49"/>
  <c r="I87" i="49" s="1"/>
  <c r="H80" i="49"/>
  <c r="H72" i="49"/>
  <c r="H68" i="49"/>
  <c r="H63" i="49"/>
  <c r="I63" i="49" s="1"/>
  <c r="H36" i="49"/>
  <c r="H28" i="49"/>
  <c r="I28" i="49" s="1"/>
  <c r="H13" i="49"/>
  <c r="H11" i="49"/>
  <c r="I11" i="49" s="1"/>
  <c r="H67" i="49"/>
  <c r="I67" i="49" s="1"/>
  <c r="H266" i="49"/>
  <c r="H240" i="49"/>
  <c r="H176" i="49"/>
  <c r="H175" i="49"/>
  <c r="H125" i="49"/>
  <c r="H95" i="49"/>
  <c r="I95" i="49" s="1"/>
  <c r="H85" i="49"/>
  <c r="H84" i="49"/>
  <c r="H83" i="49"/>
  <c r="I83" i="49" s="1"/>
  <c r="H79" i="49"/>
  <c r="I79" i="49" s="1"/>
  <c r="H75" i="49"/>
  <c r="I75" i="49" s="1"/>
  <c r="H71" i="49"/>
  <c r="I71" i="49" s="1"/>
  <c r="H56" i="49"/>
  <c r="H52" i="49"/>
  <c r="H51" i="49"/>
  <c r="H31" i="49"/>
  <c r="I31" i="49" s="1"/>
  <c r="H14" i="49"/>
  <c r="H303" i="49"/>
  <c r="H299" i="49"/>
  <c r="H289" i="49"/>
  <c r="I289" i="49" s="1"/>
  <c r="H273" i="49"/>
  <c r="H265" i="49"/>
  <c r="H248" i="49"/>
  <c r="H239" i="49"/>
  <c r="I239" i="49" s="1"/>
  <c r="H220" i="49"/>
  <c r="I220" i="49" s="1"/>
  <c r="H196" i="49"/>
  <c r="I196" i="49" s="1"/>
  <c r="H157" i="49"/>
  <c r="H139" i="49"/>
  <c r="I139" i="49" s="1"/>
  <c r="H135" i="49"/>
  <c r="H60" i="49"/>
  <c r="H48" i="49"/>
  <c r="H32" i="49"/>
  <c r="H15" i="49"/>
  <c r="I15" i="49" s="1"/>
  <c r="H280" i="49"/>
  <c r="H276" i="49"/>
  <c r="I276" i="49" s="1"/>
  <c r="H259" i="49"/>
  <c r="H235" i="49"/>
  <c r="H223" i="49"/>
  <c r="H183" i="49"/>
  <c r="I183" i="49" s="1"/>
  <c r="H127" i="49"/>
  <c r="I127" i="49" s="1"/>
  <c r="H123" i="49"/>
  <c r="I123" i="49" s="1"/>
  <c r="H119" i="49"/>
  <c r="I119" i="49" s="1"/>
  <c r="H115" i="49"/>
  <c r="I115" i="49" s="1"/>
  <c r="H103" i="49"/>
  <c r="I103" i="49" s="1"/>
  <c r="H91" i="49"/>
  <c r="I91" i="49" s="1"/>
  <c r="H77" i="49"/>
  <c r="H35" i="49"/>
  <c r="I35" i="49" s="1"/>
  <c r="H16" i="49"/>
  <c r="B315" i="25"/>
  <c r="L6" i="13"/>
  <c r="M6" i="13" s="1"/>
  <c r="D8" i="36"/>
  <c r="J8" i="36"/>
  <c r="M316" i="42"/>
  <c r="I8" i="36"/>
  <c r="F8" i="36"/>
  <c r="H8" i="36"/>
  <c r="E8" i="36"/>
  <c r="G8" i="36"/>
  <c r="M7" i="13" l="1"/>
  <c r="I60" i="49"/>
  <c r="I90" i="49"/>
  <c r="I266" i="49"/>
  <c r="I226" i="49"/>
  <c r="I303" i="49"/>
  <c r="I16" i="49"/>
  <c r="I32" i="49"/>
  <c r="I84" i="49"/>
  <c r="I206" i="49"/>
  <c r="K121" i="36"/>
  <c r="F129" i="34" s="1"/>
  <c r="K48" i="36"/>
  <c r="F56" i="34" s="1"/>
  <c r="I125" i="49"/>
  <c r="K35" i="36"/>
  <c r="F43" i="34" s="1"/>
  <c r="K105" i="36"/>
  <c r="F113" i="34" s="1"/>
  <c r="K52" i="36"/>
  <c r="F60" i="34" s="1"/>
  <c r="K32" i="36"/>
  <c r="F40" i="34" s="1"/>
  <c r="K101" i="36"/>
  <c r="F109" i="34" s="1"/>
  <c r="K85" i="36"/>
  <c r="F93" i="34" s="1"/>
  <c r="K69" i="36"/>
  <c r="F77" i="34" s="1"/>
  <c r="K81" i="36"/>
  <c r="F89" i="34" s="1"/>
  <c r="I130" i="49"/>
  <c r="K248" i="36"/>
  <c r="F256" i="34" s="1"/>
  <c r="K230" i="36"/>
  <c r="F238" i="34" s="1"/>
  <c r="K113" i="36"/>
  <c r="F121" i="34" s="1"/>
  <c r="K60" i="36"/>
  <c r="F68" i="34" s="1"/>
  <c r="K44" i="36"/>
  <c r="F52" i="34" s="1"/>
  <c r="K24" i="36"/>
  <c r="F32" i="34" s="1"/>
  <c r="K93" i="36"/>
  <c r="F101" i="34" s="1"/>
  <c r="K77" i="36"/>
  <c r="F85" i="34" s="1"/>
  <c r="I85" i="49"/>
  <c r="K269" i="36"/>
  <c r="F277" i="34" s="1"/>
  <c r="K116" i="36"/>
  <c r="F124" i="34" s="1"/>
  <c r="K28" i="36"/>
  <c r="F36" i="34" s="1"/>
  <c r="I36" i="49"/>
  <c r="K117" i="36"/>
  <c r="F125" i="34" s="1"/>
  <c r="K97" i="36"/>
  <c r="F105" i="34" s="1"/>
  <c r="I157" i="49"/>
  <c r="I8" i="49"/>
  <c r="K238" i="36"/>
  <c r="F246" i="34" s="1"/>
  <c r="K125" i="36"/>
  <c r="F133" i="34" s="1"/>
  <c r="K109" i="36"/>
  <c r="F117" i="34" s="1"/>
  <c r="K56" i="36"/>
  <c r="F64" i="34" s="1"/>
  <c r="K40" i="36"/>
  <c r="F48" i="34" s="1"/>
  <c r="K20" i="36"/>
  <c r="F28" i="34" s="1"/>
  <c r="K89" i="36"/>
  <c r="F97" i="34" s="1"/>
  <c r="K73" i="36"/>
  <c r="F81" i="34" s="1"/>
  <c r="K246" i="36"/>
  <c r="F254" i="34" s="1"/>
  <c r="K67" i="36"/>
  <c r="F75" i="34" s="1"/>
  <c r="K110" i="36"/>
  <c r="F118" i="34" s="1"/>
  <c r="K126" i="36"/>
  <c r="F134" i="34" s="1"/>
  <c r="K120" i="36"/>
  <c r="F128" i="34" s="1"/>
  <c r="K208" i="36"/>
  <c r="F216" i="34" s="1"/>
  <c r="K224" i="36"/>
  <c r="F232" i="34" s="1"/>
  <c r="K240" i="36"/>
  <c r="F248" i="34" s="1"/>
  <c r="K214" i="36"/>
  <c r="F222" i="34" s="1"/>
  <c r="K222" i="36"/>
  <c r="F230" i="34" s="1"/>
  <c r="K281" i="36"/>
  <c r="F289" i="34" s="1"/>
  <c r="K271" i="36"/>
  <c r="F279" i="34" s="1"/>
  <c r="K41" i="36"/>
  <c r="F49" i="34" s="1"/>
  <c r="K63" i="36"/>
  <c r="F71" i="34" s="1"/>
  <c r="K114" i="36"/>
  <c r="F122" i="34" s="1"/>
  <c r="K212" i="36"/>
  <c r="F220" i="34" s="1"/>
  <c r="K228" i="36"/>
  <c r="F236" i="34" s="1"/>
  <c r="K244" i="36"/>
  <c r="F252" i="34" s="1"/>
  <c r="K273" i="36"/>
  <c r="F281" i="34" s="1"/>
  <c r="K267" i="36"/>
  <c r="F275" i="34" s="1"/>
  <c r="K33" i="36"/>
  <c r="F41" i="34" s="1"/>
  <c r="K316" i="36"/>
  <c r="F324" i="34" s="1"/>
  <c r="K312" i="36"/>
  <c r="F320" i="34" s="1"/>
  <c r="K308" i="36"/>
  <c r="F316" i="34" s="1"/>
  <c r="K304" i="36"/>
  <c r="F312" i="34" s="1"/>
  <c r="K300" i="36"/>
  <c r="F308" i="34" s="1"/>
  <c r="K296" i="36"/>
  <c r="F304" i="34" s="1"/>
  <c r="K292" i="36"/>
  <c r="F300" i="34" s="1"/>
  <c r="K288" i="36"/>
  <c r="F296" i="34" s="1"/>
  <c r="K284" i="36"/>
  <c r="F292" i="34" s="1"/>
  <c r="K231" i="36"/>
  <c r="F239" i="34" s="1"/>
  <c r="K278" i="36"/>
  <c r="F286" i="34" s="1"/>
  <c r="K274" i="36"/>
  <c r="F282" i="34" s="1"/>
  <c r="K270" i="36"/>
  <c r="F278" i="34" s="1"/>
  <c r="K266" i="36"/>
  <c r="F274" i="34" s="1"/>
  <c r="K262" i="36"/>
  <c r="F270" i="34" s="1"/>
  <c r="K258" i="36"/>
  <c r="F266" i="34" s="1"/>
  <c r="K254" i="36"/>
  <c r="F262" i="34" s="1"/>
  <c r="K250" i="36"/>
  <c r="F258" i="34" s="1"/>
  <c r="K245" i="36"/>
  <c r="F253" i="34" s="1"/>
  <c r="K241" i="36"/>
  <c r="F249" i="34" s="1"/>
  <c r="K237" i="36"/>
  <c r="F245" i="34" s="1"/>
  <c r="K233" i="36"/>
  <c r="F241" i="34" s="1"/>
  <c r="K227" i="36"/>
  <c r="F235" i="34" s="1"/>
  <c r="K223" i="36"/>
  <c r="F231" i="34" s="1"/>
  <c r="K219" i="36"/>
  <c r="F227" i="34" s="1"/>
  <c r="K215" i="36"/>
  <c r="F223" i="34" s="1"/>
  <c r="K211" i="36"/>
  <c r="F219" i="34" s="1"/>
  <c r="K207" i="36"/>
  <c r="F215" i="34" s="1"/>
  <c r="K203" i="36"/>
  <c r="F211" i="34" s="1"/>
  <c r="K199" i="36"/>
  <c r="F207" i="34" s="1"/>
  <c r="K195" i="36"/>
  <c r="F203" i="34" s="1"/>
  <c r="K191" i="36"/>
  <c r="F199" i="34" s="1"/>
  <c r="K187" i="36"/>
  <c r="F195" i="34" s="1"/>
  <c r="K183" i="36"/>
  <c r="F191" i="34" s="1"/>
  <c r="K179" i="36"/>
  <c r="F187" i="34" s="1"/>
  <c r="K175" i="36"/>
  <c r="F183" i="34" s="1"/>
  <c r="K171" i="36"/>
  <c r="F179" i="34" s="1"/>
  <c r="K167" i="36"/>
  <c r="F175" i="34" s="1"/>
  <c r="K163" i="36"/>
  <c r="F171" i="34" s="1"/>
  <c r="K159" i="36"/>
  <c r="F167" i="34" s="1"/>
  <c r="K155" i="36"/>
  <c r="F163" i="34" s="1"/>
  <c r="K151" i="36"/>
  <c r="F159" i="34" s="1"/>
  <c r="K147" i="36"/>
  <c r="F155" i="34" s="1"/>
  <c r="K143" i="36"/>
  <c r="F151" i="34" s="1"/>
  <c r="K139" i="36"/>
  <c r="F147" i="34" s="1"/>
  <c r="K135" i="36"/>
  <c r="F143" i="34" s="1"/>
  <c r="K131" i="36"/>
  <c r="F139" i="34" s="1"/>
  <c r="K64" i="36"/>
  <c r="F72" i="34" s="1"/>
  <c r="K38" i="36"/>
  <c r="F46" i="34" s="1"/>
  <c r="K18" i="36"/>
  <c r="F26" i="34" s="1"/>
  <c r="K14" i="36"/>
  <c r="F22" i="34" s="1"/>
  <c r="K10" i="36"/>
  <c r="F18" i="34" s="1"/>
  <c r="K37" i="36"/>
  <c r="F45" i="34" s="1"/>
  <c r="K59" i="36"/>
  <c r="F67" i="34" s="1"/>
  <c r="K61" i="36"/>
  <c r="F69" i="34" s="1"/>
  <c r="K118" i="36"/>
  <c r="F126" i="34" s="1"/>
  <c r="K112" i="36"/>
  <c r="F120" i="34" s="1"/>
  <c r="K128" i="36"/>
  <c r="F136" i="34" s="1"/>
  <c r="K216" i="36"/>
  <c r="F224" i="34" s="1"/>
  <c r="K232" i="36"/>
  <c r="F240" i="34" s="1"/>
  <c r="K210" i="36"/>
  <c r="F218" i="34" s="1"/>
  <c r="K218" i="36"/>
  <c r="F226" i="34" s="1"/>
  <c r="K226" i="36"/>
  <c r="F234" i="34" s="1"/>
  <c r="K234" i="36"/>
  <c r="F242" i="34" s="1"/>
  <c r="K242" i="36"/>
  <c r="F250" i="34" s="1"/>
  <c r="K261" i="36"/>
  <c r="F269" i="34" s="1"/>
  <c r="K277" i="36"/>
  <c r="F285" i="34" s="1"/>
  <c r="K263" i="36"/>
  <c r="F271" i="34" s="1"/>
  <c r="K279" i="36"/>
  <c r="F287" i="34" s="1"/>
  <c r="K39" i="36"/>
  <c r="F47" i="34" s="1"/>
  <c r="K65" i="36"/>
  <c r="F73" i="34" s="1"/>
  <c r="K122" i="36"/>
  <c r="F130" i="34" s="1"/>
  <c r="K124" i="36"/>
  <c r="F132" i="34" s="1"/>
  <c r="K220" i="36"/>
  <c r="F228" i="34" s="1"/>
  <c r="K236" i="36"/>
  <c r="F244" i="34" s="1"/>
  <c r="K265" i="36"/>
  <c r="F273" i="34" s="1"/>
  <c r="K259" i="36"/>
  <c r="F267" i="34" s="1"/>
  <c r="K275" i="36"/>
  <c r="F283" i="34" s="1"/>
  <c r="K314" i="36"/>
  <c r="F322" i="34" s="1"/>
  <c r="K310" i="36"/>
  <c r="F318" i="34" s="1"/>
  <c r="K306" i="36"/>
  <c r="F314" i="34" s="1"/>
  <c r="K302" i="36"/>
  <c r="F310" i="34" s="1"/>
  <c r="K298" i="36"/>
  <c r="F306" i="34" s="1"/>
  <c r="K294" i="36"/>
  <c r="F302" i="34" s="1"/>
  <c r="K290" i="36"/>
  <c r="F298" i="34" s="1"/>
  <c r="K286" i="36"/>
  <c r="F294" i="34" s="1"/>
  <c r="K282" i="36"/>
  <c r="F290" i="34" s="1"/>
  <c r="K280" i="36"/>
  <c r="F288" i="34" s="1"/>
  <c r="K276" i="36"/>
  <c r="F284" i="34" s="1"/>
  <c r="K272" i="36"/>
  <c r="F280" i="34" s="1"/>
  <c r="K268" i="36"/>
  <c r="F276" i="34" s="1"/>
  <c r="K264" i="36"/>
  <c r="F272" i="34" s="1"/>
  <c r="K260" i="36"/>
  <c r="F268" i="34" s="1"/>
  <c r="K256" i="36"/>
  <c r="F264" i="34" s="1"/>
  <c r="K252" i="36"/>
  <c r="F260" i="34" s="1"/>
  <c r="K247" i="36"/>
  <c r="F255" i="34" s="1"/>
  <c r="K243" i="36"/>
  <c r="F251" i="34" s="1"/>
  <c r="K239" i="36"/>
  <c r="F247" i="34" s="1"/>
  <c r="K235" i="36"/>
  <c r="F243" i="34" s="1"/>
  <c r="K127" i="36"/>
  <c r="F135" i="34" s="1"/>
  <c r="K123" i="36"/>
  <c r="F131" i="34" s="1"/>
  <c r="K119" i="36"/>
  <c r="F127" i="34" s="1"/>
  <c r="K115" i="36"/>
  <c r="F123" i="34" s="1"/>
  <c r="K111" i="36"/>
  <c r="F119" i="34" s="1"/>
  <c r="K107" i="36"/>
  <c r="F115" i="34" s="1"/>
  <c r="K229" i="36"/>
  <c r="F237" i="34" s="1"/>
  <c r="K225" i="36"/>
  <c r="F233" i="34" s="1"/>
  <c r="K221" i="36"/>
  <c r="F229" i="34" s="1"/>
  <c r="K217" i="36"/>
  <c r="F225" i="34" s="1"/>
  <c r="K213" i="36"/>
  <c r="F221" i="34" s="1"/>
  <c r="K209" i="36"/>
  <c r="F217" i="34" s="1"/>
  <c r="K205" i="36"/>
  <c r="F213" i="34" s="1"/>
  <c r="K201" i="36"/>
  <c r="F209" i="34" s="1"/>
  <c r="K197" i="36"/>
  <c r="F205" i="34" s="1"/>
  <c r="K193" i="36"/>
  <c r="F201" i="34" s="1"/>
  <c r="K189" i="36"/>
  <c r="F197" i="34" s="1"/>
  <c r="K185" i="36"/>
  <c r="F193" i="34" s="1"/>
  <c r="K181" i="36"/>
  <c r="F189" i="34" s="1"/>
  <c r="K177" i="36"/>
  <c r="F185" i="34" s="1"/>
  <c r="K173" i="36"/>
  <c r="F181" i="34" s="1"/>
  <c r="K169" i="36"/>
  <c r="F177" i="34" s="1"/>
  <c r="K165" i="36"/>
  <c r="F173" i="34" s="1"/>
  <c r="K161" i="36"/>
  <c r="F169" i="34" s="1"/>
  <c r="K157" i="36"/>
  <c r="F165" i="34" s="1"/>
  <c r="K153" i="36"/>
  <c r="F161" i="34" s="1"/>
  <c r="K149" i="36"/>
  <c r="F157" i="34" s="1"/>
  <c r="K145" i="36"/>
  <c r="F153" i="34" s="1"/>
  <c r="K141" i="36"/>
  <c r="F149" i="34" s="1"/>
  <c r="K137" i="36"/>
  <c r="F145" i="34" s="1"/>
  <c r="K133" i="36"/>
  <c r="F141" i="34" s="1"/>
  <c r="K129" i="36"/>
  <c r="F137" i="34" s="1"/>
  <c r="K58" i="36"/>
  <c r="F66" i="34" s="1"/>
  <c r="K54" i="36"/>
  <c r="F62" i="34" s="1"/>
  <c r="K50" i="36"/>
  <c r="F58" i="34" s="1"/>
  <c r="K46" i="36"/>
  <c r="F54" i="34" s="1"/>
  <c r="K42" i="36"/>
  <c r="F50" i="34" s="1"/>
  <c r="K34" i="36"/>
  <c r="F42" i="34" s="1"/>
  <c r="K30" i="36"/>
  <c r="F38" i="34" s="1"/>
  <c r="K26" i="36"/>
  <c r="F34" i="34" s="1"/>
  <c r="K22" i="36"/>
  <c r="F30" i="34" s="1"/>
  <c r="K103" i="36"/>
  <c r="F111" i="34" s="1"/>
  <c r="K99" i="36"/>
  <c r="F107" i="34" s="1"/>
  <c r="K95" i="36"/>
  <c r="F103" i="34" s="1"/>
  <c r="K91" i="36"/>
  <c r="F99" i="34" s="1"/>
  <c r="K87" i="36"/>
  <c r="F95" i="34" s="1"/>
  <c r="K83" i="36"/>
  <c r="F91" i="34" s="1"/>
  <c r="K79" i="36"/>
  <c r="F87" i="34" s="1"/>
  <c r="K75" i="36"/>
  <c r="F83" i="34" s="1"/>
  <c r="K71" i="36"/>
  <c r="F79" i="34" s="1"/>
  <c r="K66" i="36"/>
  <c r="F74" i="34" s="1"/>
  <c r="K62" i="36"/>
  <c r="F70" i="34" s="1"/>
  <c r="K36" i="36"/>
  <c r="F44" i="34" s="1"/>
  <c r="K16" i="36"/>
  <c r="F24" i="34" s="1"/>
  <c r="K12" i="36"/>
  <c r="F20" i="34" s="1"/>
  <c r="K13" i="36"/>
  <c r="F21" i="34" s="1"/>
  <c r="K21" i="36"/>
  <c r="F29" i="34" s="1"/>
  <c r="K29" i="36"/>
  <c r="F37" i="34" s="1"/>
  <c r="K15" i="36"/>
  <c r="F23" i="34" s="1"/>
  <c r="K23" i="36"/>
  <c r="F31" i="34" s="1"/>
  <c r="K31" i="36"/>
  <c r="F39" i="34" s="1"/>
  <c r="K45" i="36"/>
  <c r="F53" i="34" s="1"/>
  <c r="K53" i="36"/>
  <c r="F61" i="34" s="1"/>
  <c r="K70" i="36"/>
  <c r="F78" i="34" s="1"/>
  <c r="K78" i="36"/>
  <c r="F86" i="34" s="1"/>
  <c r="K86" i="36"/>
  <c r="F94" i="34" s="1"/>
  <c r="K94" i="36"/>
  <c r="F102" i="34" s="1"/>
  <c r="K102" i="36"/>
  <c r="F110" i="34" s="1"/>
  <c r="K136" i="36"/>
  <c r="F144" i="34" s="1"/>
  <c r="K144" i="36"/>
  <c r="F152" i="34" s="1"/>
  <c r="K152" i="36"/>
  <c r="F160" i="34" s="1"/>
  <c r="K160" i="36"/>
  <c r="F168" i="34" s="1"/>
  <c r="K168" i="36"/>
  <c r="F176" i="34" s="1"/>
  <c r="K176" i="36"/>
  <c r="F184" i="34" s="1"/>
  <c r="K184" i="36"/>
  <c r="F192" i="34" s="1"/>
  <c r="K192" i="36"/>
  <c r="F200" i="34" s="1"/>
  <c r="K200" i="36"/>
  <c r="F208" i="34" s="1"/>
  <c r="K255" i="36"/>
  <c r="F263" i="34" s="1"/>
  <c r="K289" i="36"/>
  <c r="F297" i="34" s="1"/>
  <c r="K297" i="36"/>
  <c r="F305" i="34" s="1"/>
  <c r="K305" i="36"/>
  <c r="F313" i="34" s="1"/>
  <c r="K313" i="36"/>
  <c r="F321" i="34" s="1"/>
  <c r="K47" i="36"/>
  <c r="F55" i="34" s="1"/>
  <c r="K55" i="36"/>
  <c r="F63" i="34" s="1"/>
  <c r="K68" i="36"/>
  <c r="F76" i="34" s="1"/>
  <c r="K76" i="36"/>
  <c r="F84" i="34" s="1"/>
  <c r="K84" i="36"/>
  <c r="F92" i="34" s="1"/>
  <c r="K92" i="36"/>
  <c r="F100" i="34" s="1"/>
  <c r="K100" i="36"/>
  <c r="F108" i="34" s="1"/>
  <c r="K108" i="36"/>
  <c r="F116" i="34" s="1"/>
  <c r="K134" i="36"/>
  <c r="F142" i="34" s="1"/>
  <c r="K142" i="36"/>
  <c r="F150" i="34" s="1"/>
  <c r="K150" i="36"/>
  <c r="F158" i="34" s="1"/>
  <c r="K158" i="36"/>
  <c r="F166" i="34" s="1"/>
  <c r="K166" i="36"/>
  <c r="F174" i="34" s="1"/>
  <c r="K174" i="36"/>
  <c r="F182" i="34" s="1"/>
  <c r="K182" i="36"/>
  <c r="F190" i="34" s="1"/>
  <c r="K190" i="36"/>
  <c r="F198" i="34" s="1"/>
  <c r="K198" i="36"/>
  <c r="F206" i="34" s="1"/>
  <c r="K206" i="36"/>
  <c r="F214" i="34" s="1"/>
  <c r="K253" i="36"/>
  <c r="F261" i="34" s="1"/>
  <c r="K283" i="36"/>
  <c r="F291" i="34" s="1"/>
  <c r="K291" i="36"/>
  <c r="F299" i="34" s="1"/>
  <c r="K299" i="36"/>
  <c r="F307" i="34" s="1"/>
  <c r="K307" i="36"/>
  <c r="F315" i="34" s="1"/>
  <c r="K315" i="36"/>
  <c r="F323" i="34" s="1"/>
  <c r="K9" i="36"/>
  <c r="F17" i="34" s="1"/>
  <c r="K17" i="36"/>
  <c r="F25" i="34" s="1"/>
  <c r="K25" i="36"/>
  <c r="F33" i="34" s="1"/>
  <c r="K11" i="36"/>
  <c r="F19" i="34" s="1"/>
  <c r="K19" i="36"/>
  <c r="F27" i="34" s="1"/>
  <c r="K27" i="36"/>
  <c r="F35" i="34" s="1"/>
  <c r="K49" i="36"/>
  <c r="F57" i="34" s="1"/>
  <c r="K57" i="36"/>
  <c r="F65" i="34" s="1"/>
  <c r="K74" i="36"/>
  <c r="F82" i="34" s="1"/>
  <c r="K82" i="36"/>
  <c r="F90" i="34" s="1"/>
  <c r="K90" i="36"/>
  <c r="F98" i="34" s="1"/>
  <c r="K98" i="36"/>
  <c r="F106" i="34" s="1"/>
  <c r="K106" i="36"/>
  <c r="F114" i="34" s="1"/>
  <c r="K132" i="36"/>
  <c r="F140" i="34" s="1"/>
  <c r="K140" i="36"/>
  <c r="F148" i="34" s="1"/>
  <c r="K148" i="36"/>
  <c r="F156" i="34" s="1"/>
  <c r="K156" i="36"/>
  <c r="F164" i="34" s="1"/>
  <c r="K164" i="36"/>
  <c r="F172" i="34" s="1"/>
  <c r="K172" i="36"/>
  <c r="F180" i="34" s="1"/>
  <c r="K180" i="36"/>
  <c r="F188" i="34" s="1"/>
  <c r="K188" i="36"/>
  <c r="F196" i="34" s="1"/>
  <c r="K196" i="36"/>
  <c r="F204" i="34" s="1"/>
  <c r="K204" i="36"/>
  <c r="F212" i="34" s="1"/>
  <c r="K251" i="36"/>
  <c r="F259" i="34" s="1"/>
  <c r="K285" i="36"/>
  <c r="F293" i="34" s="1"/>
  <c r="K293" i="36"/>
  <c r="F301" i="34" s="1"/>
  <c r="K301" i="36"/>
  <c r="F309" i="34" s="1"/>
  <c r="K309" i="36"/>
  <c r="F317" i="34" s="1"/>
  <c r="K43" i="36"/>
  <c r="F51" i="34" s="1"/>
  <c r="K51" i="36"/>
  <c r="F59" i="34" s="1"/>
  <c r="K72" i="36"/>
  <c r="F80" i="34" s="1"/>
  <c r="K80" i="36"/>
  <c r="F88" i="34" s="1"/>
  <c r="K88" i="36"/>
  <c r="F96" i="34" s="1"/>
  <c r="K96" i="36"/>
  <c r="F104" i="34" s="1"/>
  <c r="K104" i="36"/>
  <c r="F112" i="34" s="1"/>
  <c r="K130" i="36"/>
  <c r="F138" i="34" s="1"/>
  <c r="K138" i="36"/>
  <c r="F146" i="34" s="1"/>
  <c r="K146" i="36"/>
  <c r="F154" i="34" s="1"/>
  <c r="K154" i="36"/>
  <c r="F162" i="34" s="1"/>
  <c r="K162" i="36"/>
  <c r="F170" i="34" s="1"/>
  <c r="K170" i="36"/>
  <c r="F178" i="34" s="1"/>
  <c r="K178" i="36"/>
  <c r="F186" i="34" s="1"/>
  <c r="K186" i="36"/>
  <c r="F194" i="34" s="1"/>
  <c r="K194" i="36"/>
  <c r="F202" i="34" s="1"/>
  <c r="K202" i="36"/>
  <c r="F210" i="34" s="1"/>
  <c r="K249" i="36"/>
  <c r="F257" i="34" s="1"/>
  <c r="K257" i="36"/>
  <c r="F265" i="34" s="1"/>
  <c r="K287" i="36"/>
  <c r="F295" i="34" s="1"/>
  <c r="K295" i="36"/>
  <c r="F303" i="34" s="1"/>
  <c r="K303" i="36"/>
  <c r="F311" i="34" s="1"/>
  <c r="K311" i="36"/>
  <c r="F319" i="34" s="1"/>
  <c r="I47" i="49"/>
  <c r="I80" i="49"/>
  <c r="I164" i="49"/>
  <c r="I48" i="49"/>
  <c r="I51" i="49"/>
  <c r="I163" i="49"/>
  <c r="I150" i="49"/>
  <c r="I280" i="49"/>
  <c r="I265" i="49"/>
  <c r="I52" i="49"/>
  <c r="I68" i="49"/>
  <c r="I191" i="49"/>
  <c r="I172" i="49"/>
  <c r="I165" i="49"/>
  <c r="I248" i="49"/>
  <c r="I299" i="49"/>
  <c r="I176" i="49"/>
  <c r="I231" i="49"/>
  <c r="I106" i="49"/>
  <c r="I240" i="49"/>
  <c r="I235" i="49"/>
  <c r="I135" i="49"/>
  <c r="I273" i="49"/>
  <c r="I14" i="49"/>
  <c r="I56" i="49"/>
  <c r="I72" i="49"/>
  <c r="I114" i="49"/>
  <c r="I207" i="49"/>
  <c r="I77" i="49"/>
  <c r="I223" i="49"/>
  <c r="I13" i="49"/>
  <c r="I259" i="49"/>
  <c r="I175" i="49"/>
  <c r="I126" i="49"/>
  <c r="I230" i="49"/>
  <c r="I59" i="49"/>
  <c r="X316" i="42"/>
  <c r="H21" i="49"/>
  <c r="I21" i="49" s="1"/>
  <c r="E15" i="48"/>
  <c r="H12" i="49"/>
  <c r="I12" i="49" s="1"/>
  <c r="H54" i="49"/>
  <c r="I54" i="49" s="1"/>
  <c r="H111" i="49"/>
  <c r="I111" i="49" s="1"/>
  <c r="H227" i="49"/>
  <c r="I227" i="49" s="1"/>
  <c r="H284" i="49"/>
  <c r="I284" i="49" s="1"/>
  <c r="H98" i="49"/>
  <c r="I98" i="49" s="1"/>
  <c r="H128" i="49"/>
  <c r="I128" i="49" s="1"/>
  <c r="H148" i="49"/>
  <c r="I148" i="49" s="1"/>
  <c r="H192" i="49"/>
  <c r="I192" i="49" s="1"/>
  <c r="H208" i="49"/>
  <c r="I208" i="49" s="1"/>
  <c r="H252" i="49"/>
  <c r="I252" i="49" s="1"/>
  <c r="H281" i="49"/>
  <c r="I281" i="49" s="1"/>
  <c r="H297" i="49"/>
  <c r="I297" i="49" s="1"/>
  <c r="H30" i="49"/>
  <c r="I30" i="49" s="1"/>
  <c r="H62" i="49"/>
  <c r="I62" i="49" s="1"/>
  <c r="H86" i="49"/>
  <c r="I86" i="49" s="1"/>
  <c r="H109" i="49"/>
  <c r="I109" i="49" s="1"/>
  <c r="H136" i="49"/>
  <c r="I136" i="49" s="1"/>
  <c r="H154" i="49"/>
  <c r="I154" i="49" s="1"/>
  <c r="H171" i="49"/>
  <c r="I171" i="49" s="1"/>
  <c r="H185" i="49"/>
  <c r="I185" i="49" s="1"/>
  <c r="H205" i="49"/>
  <c r="I205" i="49" s="1"/>
  <c r="H225" i="49"/>
  <c r="I225" i="49" s="1"/>
  <c r="H257" i="49"/>
  <c r="I257" i="49" s="1"/>
  <c r="H274" i="49"/>
  <c r="I274" i="49" s="1"/>
  <c r="H294" i="49"/>
  <c r="I294" i="49" s="1"/>
  <c r="H308" i="49"/>
  <c r="I308" i="49" s="1"/>
  <c r="H102" i="49"/>
  <c r="I102" i="49" s="1"/>
  <c r="H122" i="49"/>
  <c r="I122" i="49" s="1"/>
  <c r="H137" i="49"/>
  <c r="I137" i="49" s="1"/>
  <c r="H186" i="49"/>
  <c r="I186" i="49" s="1"/>
  <c r="H202" i="49"/>
  <c r="I202" i="49" s="1"/>
  <c r="H218" i="49"/>
  <c r="I218" i="49" s="1"/>
  <c r="H246" i="49"/>
  <c r="I246" i="49" s="1"/>
  <c r="H271" i="49"/>
  <c r="I271" i="49" s="1"/>
  <c r="H287" i="49"/>
  <c r="I287" i="49" s="1"/>
  <c r="H305" i="49"/>
  <c r="I305" i="49" s="1"/>
  <c r="H104" i="49"/>
  <c r="I104" i="49" s="1"/>
  <c r="H151" i="49"/>
  <c r="I151" i="49" s="1"/>
  <c r="H33" i="49"/>
  <c r="I33" i="49" s="1"/>
  <c r="H129" i="49"/>
  <c r="I129" i="49" s="1"/>
  <c r="H7" i="49"/>
  <c r="I7" i="49" s="1"/>
  <c r="H177" i="49"/>
  <c r="I177" i="49" s="1"/>
  <c r="H295" i="49"/>
  <c r="I295" i="49" s="1"/>
  <c r="H199" i="49"/>
  <c r="I199" i="49" s="1"/>
  <c r="H41" i="49"/>
  <c r="I41" i="49" s="1"/>
  <c r="H243" i="49"/>
  <c r="I243" i="49" s="1"/>
  <c r="H88" i="49"/>
  <c r="I88" i="49" s="1"/>
  <c r="H251" i="49"/>
  <c r="I251" i="49" s="1"/>
  <c r="H43" i="49"/>
  <c r="I43" i="49" s="1"/>
  <c r="H50" i="49"/>
  <c r="I50" i="49" s="1"/>
  <c r="H82" i="49"/>
  <c r="I82" i="49" s="1"/>
  <c r="H233" i="49"/>
  <c r="I233" i="49" s="1"/>
  <c r="H26" i="49"/>
  <c r="I26" i="49" s="1"/>
  <c r="H73" i="49"/>
  <c r="I73" i="49" s="1"/>
  <c r="H92" i="49"/>
  <c r="I92" i="49" s="1"/>
  <c r="H134" i="49"/>
  <c r="I134" i="49" s="1"/>
  <c r="H215" i="49"/>
  <c r="I215" i="49" s="1"/>
  <c r="H232" i="49"/>
  <c r="I232" i="49" s="1"/>
  <c r="H264" i="49"/>
  <c r="I264" i="49" s="1"/>
  <c r="H314" i="49"/>
  <c r="I314" i="49" s="1"/>
  <c r="H105" i="49"/>
  <c r="I105" i="49" s="1"/>
  <c r="H152" i="49"/>
  <c r="I152" i="49" s="1"/>
  <c r="H180" i="49"/>
  <c r="I180" i="49" s="1"/>
  <c r="H212" i="49"/>
  <c r="I212" i="49" s="1"/>
  <c r="H224" i="49"/>
  <c r="I224" i="49" s="1"/>
  <c r="H256" i="49"/>
  <c r="I256" i="49" s="1"/>
  <c r="H269" i="49"/>
  <c r="I269" i="49" s="1"/>
  <c r="H285" i="49"/>
  <c r="I285" i="49" s="1"/>
  <c r="H66" i="49"/>
  <c r="I66" i="49" s="1"/>
  <c r="H89" i="49"/>
  <c r="I89" i="49" s="1"/>
  <c r="H113" i="49"/>
  <c r="I113" i="49" s="1"/>
  <c r="H140" i="49"/>
  <c r="I140" i="49" s="1"/>
  <c r="H158" i="49"/>
  <c r="I158" i="49" s="1"/>
  <c r="H174" i="49"/>
  <c r="I174" i="49" s="1"/>
  <c r="H193" i="49"/>
  <c r="I193" i="49" s="1"/>
  <c r="H209" i="49"/>
  <c r="I209" i="49" s="1"/>
  <c r="H229" i="49"/>
  <c r="I229" i="49" s="1"/>
  <c r="H245" i="49"/>
  <c r="I245" i="49" s="1"/>
  <c r="H262" i="49"/>
  <c r="I262" i="49" s="1"/>
  <c r="H282" i="49"/>
  <c r="I282" i="49" s="1"/>
  <c r="H298" i="49"/>
  <c r="I298" i="49" s="1"/>
  <c r="H17" i="49"/>
  <c r="I17" i="49" s="1"/>
  <c r="H53" i="49"/>
  <c r="I53" i="49" s="1"/>
  <c r="H110" i="49"/>
  <c r="I110" i="49" s="1"/>
  <c r="H142" i="49"/>
  <c r="I142" i="49" s="1"/>
  <c r="H190" i="49"/>
  <c r="I190" i="49" s="1"/>
  <c r="H222" i="49"/>
  <c r="I222" i="49" s="1"/>
  <c r="H250" i="49"/>
  <c r="I250" i="49" s="1"/>
  <c r="H275" i="49"/>
  <c r="I275" i="49" s="1"/>
  <c r="H291" i="49"/>
  <c r="I291" i="49" s="1"/>
  <c r="H309" i="49"/>
  <c r="I309" i="49" s="1"/>
  <c r="H64" i="49"/>
  <c r="I64" i="49" s="1"/>
  <c r="H138" i="49"/>
  <c r="I138" i="49" s="1"/>
  <c r="H160" i="49"/>
  <c r="I160" i="49" s="1"/>
  <c r="H203" i="49"/>
  <c r="I203" i="49" s="1"/>
  <c r="H34" i="49"/>
  <c r="I34" i="49" s="1"/>
  <c r="H153" i="49"/>
  <c r="I153" i="49" s="1"/>
  <c r="H117" i="49"/>
  <c r="I117" i="49" s="1"/>
  <c r="H181" i="49"/>
  <c r="I181" i="49" s="1"/>
  <c r="H18" i="49"/>
  <c r="I18" i="49" s="1"/>
  <c r="H173" i="49"/>
  <c r="I173" i="49" s="1"/>
  <c r="H236" i="49"/>
  <c r="I236" i="49" s="1"/>
  <c r="H211" i="49"/>
  <c r="I211" i="49" s="1"/>
  <c r="H112" i="49"/>
  <c r="I112" i="49" s="1"/>
  <c r="H247" i="49"/>
  <c r="I247" i="49" s="1"/>
  <c r="H306" i="49"/>
  <c r="I306" i="49" s="1"/>
  <c r="H44" i="49"/>
  <c r="I44" i="49" s="1"/>
  <c r="H93" i="49"/>
  <c r="I93" i="49" s="1"/>
  <c r="H99" i="49"/>
  <c r="I99" i="49" s="1"/>
  <c r="H267" i="49"/>
  <c r="I267" i="49" s="1"/>
  <c r="H23" i="49"/>
  <c r="I23" i="49" s="1"/>
  <c r="H27" i="49"/>
  <c r="I27" i="49" s="1"/>
  <c r="H155" i="49"/>
  <c r="I155" i="49" s="1"/>
  <c r="H166" i="49"/>
  <c r="I166" i="49" s="1"/>
  <c r="H238" i="49"/>
  <c r="I238" i="49" s="1"/>
  <c r="H97" i="49"/>
  <c r="I97" i="49" s="1"/>
  <c r="H156" i="49"/>
  <c r="I156" i="49" s="1"/>
  <c r="H65" i="49"/>
  <c r="I65" i="49" s="1"/>
  <c r="H116" i="49"/>
  <c r="I116" i="49" s="1"/>
  <c r="H184" i="49"/>
  <c r="I184" i="49" s="1"/>
  <c r="H200" i="49"/>
  <c r="I200" i="49" s="1"/>
  <c r="H216" i="49"/>
  <c r="I216" i="49" s="1"/>
  <c r="H260" i="49"/>
  <c r="I260" i="49" s="1"/>
  <c r="H37" i="49"/>
  <c r="I37" i="49" s="1"/>
  <c r="H94" i="49"/>
  <c r="I94" i="49" s="1"/>
  <c r="H121" i="49"/>
  <c r="I121" i="49" s="1"/>
  <c r="H145" i="49"/>
  <c r="I145" i="49" s="1"/>
  <c r="H162" i="49"/>
  <c r="I162" i="49" s="1"/>
  <c r="H197" i="49"/>
  <c r="I197" i="49" s="1"/>
  <c r="H213" i="49"/>
  <c r="I213" i="49" s="1"/>
  <c r="H234" i="49"/>
  <c r="I234" i="49" s="1"/>
  <c r="H249" i="49"/>
  <c r="I249" i="49" s="1"/>
  <c r="H286" i="49"/>
  <c r="I286" i="49" s="1"/>
  <c r="H300" i="49"/>
  <c r="I300" i="49" s="1"/>
  <c r="H9" i="49"/>
  <c r="I9" i="49" s="1"/>
  <c r="H22" i="49"/>
  <c r="I22" i="49" s="1"/>
  <c r="H57" i="49"/>
  <c r="I57" i="49" s="1"/>
  <c r="H132" i="49"/>
  <c r="I132" i="49" s="1"/>
  <c r="H146" i="49"/>
  <c r="I146" i="49" s="1"/>
  <c r="H178" i="49"/>
  <c r="I178" i="49" s="1"/>
  <c r="H194" i="49"/>
  <c r="I194" i="49" s="1"/>
  <c r="H210" i="49"/>
  <c r="I210" i="49" s="1"/>
  <c r="H254" i="49"/>
  <c r="I254" i="49" s="1"/>
  <c r="H279" i="49"/>
  <c r="I279" i="49" s="1"/>
  <c r="H311" i="49"/>
  <c r="I311" i="49" s="1"/>
  <c r="H69" i="49"/>
  <c r="I69" i="49" s="1"/>
  <c r="H179" i="49"/>
  <c r="I179" i="49" s="1"/>
  <c r="H302" i="49"/>
  <c r="I302" i="49" s="1"/>
  <c r="H228" i="49"/>
  <c r="I228" i="49" s="1"/>
  <c r="H131" i="49"/>
  <c r="I131" i="49" s="1"/>
  <c r="H221" i="49"/>
  <c r="I221" i="49" s="1"/>
  <c r="H96" i="49"/>
  <c r="I96" i="49" s="1"/>
  <c r="H307" i="49"/>
  <c r="I307" i="49" s="1"/>
  <c r="H292" i="49"/>
  <c r="I292" i="49" s="1"/>
  <c r="H124" i="49"/>
  <c r="I124" i="49" s="1"/>
  <c r="H272" i="49"/>
  <c r="I272" i="49" s="1"/>
  <c r="H29" i="49"/>
  <c r="I29" i="49" s="1"/>
  <c r="H45" i="49"/>
  <c r="I45" i="49" s="1"/>
  <c r="H74" i="49"/>
  <c r="I74" i="49" s="1"/>
  <c r="H189" i="49"/>
  <c r="I189" i="49" s="1"/>
  <c r="H24" i="49"/>
  <c r="I24" i="49" s="1"/>
  <c r="H46" i="49"/>
  <c r="I46" i="49" s="1"/>
  <c r="H81" i="49"/>
  <c r="I81" i="49" s="1"/>
  <c r="H167" i="49"/>
  <c r="I167" i="49" s="1"/>
  <c r="H242" i="49"/>
  <c r="I242" i="49" s="1"/>
  <c r="H70" i="49"/>
  <c r="I70" i="49" s="1"/>
  <c r="H120" i="49"/>
  <c r="I120" i="49" s="1"/>
  <c r="H144" i="49"/>
  <c r="I144" i="49" s="1"/>
  <c r="H161" i="49"/>
  <c r="I161" i="49" s="1"/>
  <c r="H188" i="49"/>
  <c r="I188" i="49" s="1"/>
  <c r="H204" i="49"/>
  <c r="I204" i="49" s="1"/>
  <c r="H261" i="49"/>
  <c r="I261" i="49" s="1"/>
  <c r="H277" i="49"/>
  <c r="I277" i="49" s="1"/>
  <c r="H293" i="49"/>
  <c r="I293" i="49" s="1"/>
  <c r="H38" i="49"/>
  <c r="I38" i="49" s="1"/>
  <c r="H61" i="49"/>
  <c r="I61" i="49" s="1"/>
  <c r="H149" i="49"/>
  <c r="I149" i="49" s="1"/>
  <c r="H201" i="49"/>
  <c r="I201" i="49" s="1"/>
  <c r="H217" i="49"/>
  <c r="I217" i="49" s="1"/>
  <c r="H237" i="49"/>
  <c r="I237" i="49" s="1"/>
  <c r="H253" i="49"/>
  <c r="I253" i="49" s="1"/>
  <c r="H270" i="49"/>
  <c r="I270" i="49" s="1"/>
  <c r="H290" i="49"/>
  <c r="I290" i="49" s="1"/>
  <c r="H304" i="49"/>
  <c r="I304" i="49" s="1"/>
  <c r="H58" i="49"/>
  <c r="I58" i="49" s="1"/>
  <c r="H76" i="49"/>
  <c r="I76" i="49" s="1"/>
  <c r="H100" i="49"/>
  <c r="I100" i="49" s="1"/>
  <c r="H118" i="49"/>
  <c r="I118" i="49" s="1"/>
  <c r="H133" i="49"/>
  <c r="I133" i="49" s="1"/>
  <c r="H159" i="49"/>
  <c r="I159" i="49" s="1"/>
  <c r="H182" i="49"/>
  <c r="I182" i="49" s="1"/>
  <c r="H198" i="49"/>
  <c r="I198" i="49" s="1"/>
  <c r="H214" i="49"/>
  <c r="I214" i="49" s="1"/>
  <c r="H241" i="49"/>
  <c r="I241" i="49" s="1"/>
  <c r="H258" i="49"/>
  <c r="I258" i="49" s="1"/>
  <c r="H283" i="49"/>
  <c r="I283" i="49" s="1"/>
  <c r="H301" i="49"/>
  <c r="I301" i="49" s="1"/>
  <c r="H101" i="49"/>
  <c r="I101" i="49" s="1"/>
  <c r="H147" i="49"/>
  <c r="I147" i="49" s="1"/>
  <c r="H187" i="49"/>
  <c r="I187" i="49" s="1"/>
  <c r="H268" i="49"/>
  <c r="I268" i="49" s="1"/>
  <c r="H310" i="49"/>
  <c r="I310" i="49" s="1"/>
  <c r="H40" i="49"/>
  <c r="I40" i="49" s="1"/>
  <c r="H313" i="49"/>
  <c r="I313" i="49" s="1"/>
  <c r="H278" i="49"/>
  <c r="I278" i="49" s="1"/>
  <c r="H168" i="49"/>
  <c r="I168" i="49" s="1"/>
  <c r="H263" i="49"/>
  <c r="I263" i="49" s="1"/>
  <c r="H141" i="49"/>
  <c r="I141" i="49" s="1"/>
  <c r="H312" i="49"/>
  <c r="I312" i="49" s="1"/>
  <c r="H42" i="49"/>
  <c r="I42" i="49" s="1"/>
  <c r="H169" i="49"/>
  <c r="I169" i="49" s="1"/>
  <c r="H10" i="49"/>
  <c r="I10" i="49" s="1"/>
  <c r="H49" i="49"/>
  <c r="I49" i="49" s="1"/>
  <c r="H78" i="49"/>
  <c r="I78" i="49" s="1"/>
  <c r="H108" i="49"/>
  <c r="I108" i="49" s="1"/>
  <c r="T7" i="19"/>
  <c r="H6" i="49" s="1"/>
  <c r="I6" i="49" s="1"/>
  <c r="H20" i="49"/>
  <c r="I20" i="49" s="1"/>
  <c r="H25" i="49"/>
  <c r="I25" i="49" s="1"/>
  <c r="H255" i="49"/>
  <c r="I255" i="49" s="1"/>
  <c r="C5" i="32"/>
  <c r="C314" i="32" s="1"/>
  <c r="H314" i="32" s="1"/>
  <c r="Y316" i="19"/>
  <c r="F16" i="49"/>
  <c r="F60" i="49"/>
  <c r="F11" i="49"/>
  <c r="F191" i="49"/>
  <c r="F288" i="49"/>
  <c r="F235" i="49"/>
  <c r="F15" i="49"/>
  <c r="F196" i="49"/>
  <c r="F31" i="49"/>
  <c r="F13" i="49"/>
  <c r="F130" i="49"/>
  <c r="F91" i="49"/>
  <c r="F127" i="49"/>
  <c r="F183" i="49"/>
  <c r="F259" i="49"/>
  <c r="F48" i="49"/>
  <c r="F248" i="49"/>
  <c r="F14" i="49"/>
  <c r="F75" i="49"/>
  <c r="F85" i="49"/>
  <c r="F95" i="49"/>
  <c r="F125" i="49"/>
  <c r="F176" i="49"/>
  <c r="F72" i="49"/>
  <c r="F90" i="49"/>
  <c r="F114" i="49"/>
  <c r="F226" i="49"/>
  <c r="F296" i="49"/>
  <c r="F106" i="49"/>
  <c r="F19" i="49"/>
  <c r="F195" i="49"/>
  <c r="F51" i="49"/>
  <c r="F79" i="49"/>
  <c r="F240" i="49"/>
  <c r="F28" i="49"/>
  <c r="F230" i="49"/>
  <c r="F59" i="49"/>
  <c r="F164" i="49"/>
  <c r="F35" i="49"/>
  <c r="F77" i="49"/>
  <c r="F119" i="49"/>
  <c r="F276" i="49"/>
  <c r="F299" i="49"/>
  <c r="F52" i="49"/>
  <c r="F83" i="49"/>
  <c r="F80" i="49"/>
  <c r="F163" i="49"/>
  <c r="F231" i="49"/>
  <c r="F172" i="49"/>
  <c r="F165" i="49"/>
  <c r="F123" i="49"/>
  <c r="F223" i="49"/>
  <c r="F280" i="49"/>
  <c r="F32" i="49"/>
  <c r="F139" i="49"/>
  <c r="F157" i="49"/>
  <c r="F239" i="49"/>
  <c r="F289" i="49"/>
  <c r="F56" i="49"/>
  <c r="F84" i="49"/>
  <c r="F175" i="49"/>
  <c r="F266" i="49"/>
  <c r="F67" i="49"/>
  <c r="F68" i="49"/>
  <c r="F126" i="49"/>
  <c r="F206" i="49"/>
  <c r="F47" i="49"/>
  <c r="F143" i="49"/>
  <c r="F207" i="49"/>
  <c r="F39" i="49"/>
  <c r="F107" i="49"/>
  <c r="F150" i="49"/>
  <c r="O316" i="19"/>
  <c r="K8" i="36"/>
  <c r="I317" i="36"/>
  <c r="E317" i="36"/>
  <c r="J317" i="36"/>
  <c r="H317" i="36"/>
  <c r="F317" i="36"/>
  <c r="D317" i="36"/>
  <c r="G316" i="19"/>
  <c r="G317" i="36"/>
  <c r="K317" i="36" l="1"/>
  <c r="E5" i="32"/>
  <c r="E314" i="32" s="1"/>
  <c r="I315" i="49"/>
  <c r="E14" i="48"/>
  <c r="F15" i="48" s="1"/>
  <c r="H5" i="32"/>
  <c r="D11" i="9" s="1"/>
  <c r="D320" i="9" s="1"/>
  <c r="U7" i="19"/>
  <c r="G6" i="49" s="1"/>
  <c r="F6" i="49"/>
  <c r="F16" i="34"/>
  <c r="F28" i="48"/>
  <c r="F115" i="49"/>
  <c r="J233" i="13"/>
  <c r="F233" i="49"/>
  <c r="F251" i="49"/>
  <c r="F199" i="49"/>
  <c r="F129" i="49"/>
  <c r="F305" i="49"/>
  <c r="J218" i="13"/>
  <c r="F218" i="49"/>
  <c r="F122" i="49"/>
  <c r="F274" i="49"/>
  <c r="F154" i="49"/>
  <c r="F62" i="49"/>
  <c r="F297" i="49"/>
  <c r="F208" i="49"/>
  <c r="F128" i="49"/>
  <c r="F284" i="49"/>
  <c r="F12" i="49"/>
  <c r="F135" i="49"/>
  <c r="F63" i="49"/>
  <c r="F78" i="49"/>
  <c r="F168" i="49"/>
  <c r="F268" i="49"/>
  <c r="F301" i="49"/>
  <c r="F258" i="49"/>
  <c r="F182" i="49"/>
  <c r="F100" i="49"/>
  <c r="F58" i="49"/>
  <c r="F253" i="49"/>
  <c r="F261" i="49"/>
  <c r="F144" i="49"/>
  <c r="F70" i="49"/>
  <c r="F46" i="49"/>
  <c r="F74" i="49"/>
  <c r="F124" i="49"/>
  <c r="F96" i="49"/>
  <c r="F302" i="49"/>
  <c r="F279" i="49"/>
  <c r="J194" i="13"/>
  <c r="F194" i="49"/>
  <c r="F57" i="49"/>
  <c r="F286" i="49"/>
  <c r="J197" i="13"/>
  <c r="F197" i="49"/>
  <c r="F200" i="49"/>
  <c r="F97" i="49"/>
  <c r="J27" i="13"/>
  <c r="F27" i="49"/>
  <c r="F93" i="49"/>
  <c r="F112" i="49"/>
  <c r="F18" i="49"/>
  <c r="J34" i="13"/>
  <c r="F34" i="49"/>
  <c r="F138" i="49"/>
  <c r="F275" i="49"/>
  <c r="F142" i="49"/>
  <c r="J298" i="13"/>
  <c r="F298" i="49"/>
  <c r="F229" i="49"/>
  <c r="F158" i="49"/>
  <c r="F66" i="49"/>
  <c r="F224" i="49"/>
  <c r="J215" i="13"/>
  <c r="F215" i="49"/>
  <c r="J26" i="13"/>
  <c r="F26" i="49"/>
  <c r="F265" i="49"/>
  <c r="F88" i="49"/>
  <c r="F295" i="49"/>
  <c r="J7" i="13"/>
  <c r="F7" i="49"/>
  <c r="F33" i="49"/>
  <c r="F104" i="49"/>
  <c r="F287" i="49"/>
  <c r="J246" i="13"/>
  <c r="F246" i="49"/>
  <c r="F202" i="49"/>
  <c r="F137" i="49"/>
  <c r="F294" i="49"/>
  <c r="F257" i="49"/>
  <c r="F205" i="49"/>
  <c r="F171" i="49"/>
  <c r="F136" i="49"/>
  <c r="F30" i="49"/>
  <c r="F281" i="49"/>
  <c r="F192" i="49"/>
  <c r="F148" i="49"/>
  <c r="F98" i="49"/>
  <c r="F227" i="49"/>
  <c r="J54" i="13"/>
  <c r="F54" i="49"/>
  <c r="F8" i="49"/>
  <c r="F50" i="49"/>
  <c r="F243" i="49"/>
  <c r="F177" i="49"/>
  <c r="F151" i="49"/>
  <c r="J271" i="13"/>
  <c r="F271" i="49"/>
  <c r="F186" i="49"/>
  <c r="F308" i="49"/>
  <c r="F225" i="49"/>
  <c r="F185" i="49"/>
  <c r="F109" i="49"/>
  <c r="F252" i="49"/>
  <c r="J111" i="13"/>
  <c r="F111" i="49"/>
  <c r="F87" i="49"/>
  <c r="J303" i="13"/>
  <c r="F303" i="49"/>
  <c r="F220" i="49"/>
  <c r="F25" i="49"/>
  <c r="J10" i="13"/>
  <c r="F10" i="49"/>
  <c r="J141" i="13"/>
  <c r="F141" i="49"/>
  <c r="F40" i="49"/>
  <c r="F147" i="49"/>
  <c r="F214" i="49"/>
  <c r="F133" i="49"/>
  <c r="F290" i="49"/>
  <c r="J217" i="13"/>
  <c r="F217" i="49"/>
  <c r="F61" i="49"/>
  <c r="F293" i="49"/>
  <c r="F188" i="49"/>
  <c r="J167" i="13"/>
  <c r="F167" i="49"/>
  <c r="J24" i="13"/>
  <c r="F24" i="49"/>
  <c r="F307" i="49"/>
  <c r="J131" i="13"/>
  <c r="F131" i="49"/>
  <c r="F146" i="49"/>
  <c r="F9" i="49"/>
  <c r="F234" i="49"/>
  <c r="F145" i="49"/>
  <c r="F260" i="49"/>
  <c r="J116" i="13"/>
  <c r="F116" i="49"/>
  <c r="F166" i="49"/>
  <c r="F267" i="49"/>
  <c r="F306" i="49"/>
  <c r="J236" i="13"/>
  <c r="F236" i="49"/>
  <c r="F117" i="49"/>
  <c r="F203" i="49"/>
  <c r="F309" i="49"/>
  <c r="F190" i="49"/>
  <c r="J262" i="13"/>
  <c r="F262" i="49"/>
  <c r="F193" i="49"/>
  <c r="F113" i="49"/>
  <c r="F269" i="49"/>
  <c r="F180" i="49"/>
  <c r="F264" i="49"/>
  <c r="F92" i="49"/>
  <c r="F71" i="49"/>
  <c r="F273" i="49"/>
  <c r="F103" i="49"/>
  <c r="J255" i="13"/>
  <c r="F255" i="49"/>
  <c r="F20" i="49"/>
  <c r="F49" i="49"/>
  <c r="F169" i="49"/>
  <c r="F312" i="49"/>
  <c r="F263" i="49"/>
  <c r="F278" i="49"/>
  <c r="F313" i="49"/>
  <c r="F310" i="49"/>
  <c r="F187" i="49"/>
  <c r="F283" i="49"/>
  <c r="F241" i="49"/>
  <c r="F198" i="49"/>
  <c r="F159" i="49"/>
  <c r="F118" i="49"/>
  <c r="F304" i="49"/>
  <c r="F270" i="49"/>
  <c r="F237" i="49"/>
  <c r="F201" i="49"/>
  <c r="F149" i="49"/>
  <c r="F38" i="49"/>
  <c r="J277" i="13"/>
  <c r="F277" i="49"/>
  <c r="F204" i="49"/>
  <c r="F161" i="49"/>
  <c r="J120" i="13"/>
  <c r="F120" i="49"/>
  <c r="F242" i="49"/>
  <c r="F81" i="49"/>
  <c r="F189" i="49"/>
  <c r="J272" i="13"/>
  <c r="F272" i="49"/>
  <c r="F292" i="49"/>
  <c r="F221" i="49"/>
  <c r="F228" i="49"/>
  <c r="F179" i="49"/>
  <c r="F311" i="49"/>
  <c r="F254" i="49"/>
  <c r="J210" i="13"/>
  <c r="F210" i="49"/>
  <c r="F178" i="49"/>
  <c r="F132" i="49"/>
  <c r="F22" i="49"/>
  <c r="J300" i="13"/>
  <c r="F300" i="49"/>
  <c r="F249" i="49"/>
  <c r="F213" i="49"/>
  <c r="F162" i="49"/>
  <c r="J121" i="13"/>
  <c r="F121" i="49"/>
  <c r="F37" i="49"/>
  <c r="F216" i="49"/>
  <c r="F184" i="49"/>
  <c r="F65" i="49"/>
  <c r="F156" i="49"/>
  <c r="F238" i="49"/>
  <c r="F155" i="49"/>
  <c r="F99" i="49"/>
  <c r="F247" i="49"/>
  <c r="F211" i="49"/>
  <c r="J173" i="13"/>
  <c r="F173" i="49"/>
  <c r="F181" i="49"/>
  <c r="F153" i="49"/>
  <c r="F160" i="49"/>
  <c r="F64" i="49"/>
  <c r="F291" i="49"/>
  <c r="F250" i="49"/>
  <c r="F222" i="49"/>
  <c r="J110" i="13"/>
  <c r="F110" i="49"/>
  <c r="F17" i="49"/>
  <c r="F282" i="49"/>
  <c r="F245" i="49"/>
  <c r="F209" i="49"/>
  <c r="F174" i="49"/>
  <c r="F140" i="49"/>
  <c r="J285" i="13"/>
  <c r="F285" i="49"/>
  <c r="F256" i="49"/>
  <c r="F212" i="49"/>
  <c r="F152" i="49"/>
  <c r="F314" i="49"/>
  <c r="F232" i="49"/>
  <c r="F134" i="49"/>
  <c r="F73" i="49"/>
  <c r="F108" i="49"/>
  <c r="F105" i="49"/>
  <c r="F102" i="49"/>
  <c r="F101" i="49"/>
  <c r="F94" i="49"/>
  <c r="F89" i="49"/>
  <c r="F86" i="49"/>
  <c r="F82" i="49"/>
  <c r="F76" i="49"/>
  <c r="F69" i="49"/>
  <c r="F55" i="49"/>
  <c r="J53" i="13"/>
  <c r="F53" i="49"/>
  <c r="J45" i="13"/>
  <c r="F45" i="49"/>
  <c r="F44" i="49"/>
  <c r="F43" i="49"/>
  <c r="F42" i="49"/>
  <c r="F41" i="49"/>
  <c r="F36" i="49"/>
  <c r="F29" i="49"/>
  <c r="H315" i="49"/>
  <c r="F23" i="49"/>
  <c r="F21" i="49"/>
  <c r="T316" i="19"/>
  <c r="G206" i="49"/>
  <c r="G32" i="49"/>
  <c r="G172" i="49"/>
  <c r="G35" i="49"/>
  <c r="G59" i="49"/>
  <c r="G72" i="49"/>
  <c r="G85" i="49"/>
  <c r="G127" i="49"/>
  <c r="G207" i="49"/>
  <c r="G126" i="49"/>
  <c r="G56" i="49"/>
  <c r="G280" i="49"/>
  <c r="G231" i="49"/>
  <c r="G276" i="49"/>
  <c r="G230" i="49"/>
  <c r="G195" i="49"/>
  <c r="G176" i="49"/>
  <c r="G48" i="49"/>
  <c r="G235" i="49"/>
  <c r="G11" i="49"/>
  <c r="G143" i="49"/>
  <c r="G175" i="49"/>
  <c r="G157" i="49"/>
  <c r="G223" i="49"/>
  <c r="G165" i="49"/>
  <c r="G163" i="49"/>
  <c r="G52" i="49"/>
  <c r="G119" i="49"/>
  <c r="G164" i="49"/>
  <c r="G28" i="49"/>
  <c r="G51" i="49"/>
  <c r="G19" i="49"/>
  <c r="G114" i="49"/>
  <c r="G125" i="49"/>
  <c r="G14" i="49"/>
  <c r="G259" i="49"/>
  <c r="G31" i="49"/>
  <c r="G39" i="49"/>
  <c r="G67" i="49"/>
  <c r="G296" i="49"/>
  <c r="G15" i="49"/>
  <c r="G191" i="49"/>
  <c r="G150" i="49"/>
  <c r="G266" i="49"/>
  <c r="G239" i="49"/>
  <c r="G83" i="49"/>
  <c r="G79" i="49"/>
  <c r="G226" i="49"/>
  <c r="G75" i="49"/>
  <c r="G91" i="49"/>
  <c r="G13" i="49"/>
  <c r="G16" i="49"/>
  <c r="G107" i="49"/>
  <c r="G47" i="49"/>
  <c r="G68" i="49"/>
  <c r="G84" i="49"/>
  <c r="G289" i="49"/>
  <c r="G139" i="49"/>
  <c r="G123" i="49"/>
  <c r="G80" i="49"/>
  <c r="G299" i="49"/>
  <c r="G77" i="49"/>
  <c r="G240" i="49"/>
  <c r="G106" i="49"/>
  <c r="G90" i="49"/>
  <c r="G95" i="49"/>
  <c r="G248" i="49"/>
  <c r="G183" i="49"/>
  <c r="G130" i="49"/>
  <c r="G196" i="49"/>
  <c r="G288" i="49"/>
  <c r="G60" i="49"/>
  <c r="C5" i="9"/>
  <c r="D315" i="25"/>
  <c r="D314" i="33"/>
  <c r="R316" i="19"/>
  <c r="J170" i="49" l="1"/>
  <c r="K170" i="49" s="1"/>
  <c r="L170" i="49" s="1"/>
  <c r="J244" i="49"/>
  <c r="J6" i="49"/>
  <c r="L6" i="49" s="1"/>
  <c r="J219" i="49"/>
  <c r="F325" i="34"/>
  <c r="J128" i="13"/>
  <c r="J46" i="13"/>
  <c r="J199" i="13"/>
  <c r="J112" i="13"/>
  <c r="J124" i="13"/>
  <c r="J158" i="13"/>
  <c r="J275" i="13"/>
  <c r="J9" i="13"/>
  <c r="J65" i="13"/>
  <c r="J228" i="13"/>
  <c r="J208" i="13"/>
  <c r="J50" i="13"/>
  <c r="J145" i="13"/>
  <c r="J8" i="49"/>
  <c r="K8" i="49" s="1"/>
  <c r="J297" i="13"/>
  <c r="C5" i="39"/>
  <c r="G36" i="49"/>
  <c r="J36" i="13"/>
  <c r="G42" i="49"/>
  <c r="J42" i="13"/>
  <c r="G44" i="49"/>
  <c r="G53" i="49"/>
  <c r="G82" i="49"/>
  <c r="G89" i="49"/>
  <c r="J89" i="13"/>
  <c r="G101" i="49"/>
  <c r="G105" i="49"/>
  <c r="G73" i="49"/>
  <c r="J73" i="13"/>
  <c r="G232" i="49"/>
  <c r="G152" i="49"/>
  <c r="G256" i="49"/>
  <c r="G140" i="49"/>
  <c r="J140" i="13"/>
  <c r="G209" i="49"/>
  <c r="J209" i="13"/>
  <c r="G282" i="49"/>
  <c r="G110" i="49"/>
  <c r="G222" i="49"/>
  <c r="G291" i="49"/>
  <c r="J291" i="13"/>
  <c r="G160" i="49"/>
  <c r="J160" i="13"/>
  <c r="G153" i="49"/>
  <c r="J153" i="13"/>
  <c r="G173" i="49"/>
  <c r="G247" i="49"/>
  <c r="J247" i="13"/>
  <c r="G155" i="49"/>
  <c r="J155" i="13"/>
  <c r="G156" i="49"/>
  <c r="G184" i="49"/>
  <c r="J184" i="13"/>
  <c r="G37" i="49"/>
  <c r="G162" i="49"/>
  <c r="G249" i="49"/>
  <c r="G22" i="49"/>
  <c r="G178" i="49"/>
  <c r="G254" i="49"/>
  <c r="G179" i="49"/>
  <c r="G221" i="49"/>
  <c r="J221" i="13"/>
  <c r="G292" i="49"/>
  <c r="G189" i="49"/>
  <c r="G81" i="49"/>
  <c r="G120" i="49"/>
  <c r="G204" i="49"/>
  <c r="G38" i="49"/>
  <c r="G201" i="49"/>
  <c r="G270" i="49"/>
  <c r="G118" i="49"/>
  <c r="G198" i="49"/>
  <c r="J198" i="13"/>
  <c r="G283" i="49"/>
  <c r="G310" i="49"/>
  <c r="G278" i="49"/>
  <c r="J278" i="13"/>
  <c r="G312" i="49"/>
  <c r="J312" i="13"/>
  <c r="G49" i="49"/>
  <c r="J49" i="13"/>
  <c r="G255" i="49"/>
  <c r="G273" i="49"/>
  <c r="J273" i="13"/>
  <c r="G92" i="49"/>
  <c r="J92" i="13"/>
  <c r="G180" i="49"/>
  <c r="J180" i="13"/>
  <c r="G113" i="49"/>
  <c r="J113" i="13"/>
  <c r="G262" i="49"/>
  <c r="G203" i="49"/>
  <c r="J203" i="13"/>
  <c r="G236" i="49"/>
  <c r="G267" i="49"/>
  <c r="J267" i="13"/>
  <c r="G260" i="49"/>
  <c r="J260" i="13"/>
  <c r="G234" i="49"/>
  <c r="G146" i="49"/>
  <c r="J146" i="13"/>
  <c r="G131" i="49"/>
  <c r="G24" i="49"/>
  <c r="G188" i="49"/>
  <c r="J188" i="13"/>
  <c r="G61" i="49"/>
  <c r="J61" i="13"/>
  <c r="G290" i="49"/>
  <c r="J290" i="13"/>
  <c r="G214" i="49"/>
  <c r="J214" i="13"/>
  <c r="G40" i="49"/>
  <c r="G141" i="49"/>
  <c r="G25" i="49"/>
  <c r="J25" i="13"/>
  <c r="G303" i="49"/>
  <c r="G111" i="49"/>
  <c r="G252" i="49"/>
  <c r="J252" i="13"/>
  <c r="G185" i="49"/>
  <c r="J185" i="13"/>
  <c r="G308" i="49"/>
  <c r="J308" i="13"/>
  <c r="G271" i="49"/>
  <c r="G177" i="49"/>
  <c r="J177" i="13"/>
  <c r="G50" i="49"/>
  <c r="G54" i="49"/>
  <c r="G98" i="49"/>
  <c r="J98" i="13"/>
  <c r="G192" i="49"/>
  <c r="J192" i="13"/>
  <c r="G281" i="49"/>
  <c r="J281" i="13"/>
  <c r="G136" i="49"/>
  <c r="J136" i="13"/>
  <c r="G205" i="49"/>
  <c r="J205" i="13"/>
  <c r="G294" i="49"/>
  <c r="J294" i="13"/>
  <c r="G202" i="49"/>
  <c r="J202" i="13"/>
  <c r="G287" i="49"/>
  <c r="J287" i="13"/>
  <c r="G33" i="49"/>
  <c r="J33" i="13"/>
  <c r="G295" i="49"/>
  <c r="J295" i="13"/>
  <c r="G265" i="49"/>
  <c r="J265" i="13"/>
  <c r="G215" i="49"/>
  <c r="G66" i="49"/>
  <c r="J66" i="13"/>
  <c r="G229" i="49"/>
  <c r="J229" i="13"/>
  <c r="G142" i="49"/>
  <c r="J142" i="13"/>
  <c r="G138" i="49"/>
  <c r="J138" i="13"/>
  <c r="G18" i="49"/>
  <c r="J18" i="13"/>
  <c r="G93" i="49"/>
  <c r="J93" i="13"/>
  <c r="G97" i="49"/>
  <c r="J97" i="13"/>
  <c r="G197" i="49"/>
  <c r="G57" i="49"/>
  <c r="J57" i="13"/>
  <c r="G279" i="49"/>
  <c r="J279" i="13"/>
  <c r="G96" i="49"/>
  <c r="G74" i="49"/>
  <c r="J74" i="13"/>
  <c r="G70" i="49"/>
  <c r="G261" i="49"/>
  <c r="J261" i="13"/>
  <c r="G253" i="49"/>
  <c r="J253" i="13"/>
  <c r="G100" i="49"/>
  <c r="J100" i="13"/>
  <c r="G258" i="49"/>
  <c r="J258" i="13"/>
  <c r="G268" i="49"/>
  <c r="J268" i="13"/>
  <c r="G78" i="49"/>
  <c r="J78" i="13"/>
  <c r="G135" i="49"/>
  <c r="J135" i="13"/>
  <c r="G284" i="49"/>
  <c r="J284" i="13"/>
  <c r="G208" i="49"/>
  <c r="G62" i="49"/>
  <c r="G274" i="49"/>
  <c r="G218" i="49"/>
  <c r="G129" i="49"/>
  <c r="J129" i="13"/>
  <c r="G251" i="49"/>
  <c r="J251" i="13"/>
  <c r="G115" i="49"/>
  <c r="J115" i="13"/>
  <c r="J62" i="13"/>
  <c r="J274" i="13"/>
  <c r="J105" i="13"/>
  <c r="J234" i="13"/>
  <c r="J40" i="13"/>
  <c r="J152" i="13"/>
  <c r="J118" i="13"/>
  <c r="G69" i="49"/>
  <c r="J69" i="13"/>
  <c r="J96" i="13"/>
  <c r="J70" i="13"/>
  <c r="J282" i="13"/>
  <c r="J310" i="13"/>
  <c r="G21" i="49"/>
  <c r="J159" i="13"/>
  <c r="C5" i="12"/>
  <c r="F5" i="32"/>
  <c r="J6" i="13"/>
  <c r="J305" i="13"/>
  <c r="J302" i="13"/>
  <c r="C5" i="33"/>
  <c r="F9" i="48" s="1"/>
  <c r="J7" i="49"/>
  <c r="L7" i="49" s="1"/>
  <c r="J9" i="49"/>
  <c r="J13" i="49"/>
  <c r="J17" i="49"/>
  <c r="J21" i="49"/>
  <c r="J25" i="49"/>
  <c r="J29" i="49"/>
  <c r="J33" i="49"/>
  <c r="J37" i="49"/>
  <c r="J41" i="49"/>
  <c r="J45" i="49"/>
  <c r="J49" i="49"/>
  <c r="J53" i="49"/>
  <c r="J57" i="49"/>
  <c r="J61" i="49"/>
  <c r="J65" i="49"/>
  <c r="J69" i="49"/>
  <c r="J12" i="49"/>
  <c r="J18" i="49"/>
  <c r="J23" i="49"/>
  <c r="J28" i="49"/>
  <c r="J34" i="49"/>
  <c r="J39" i="49"/>
  <c r="J44" i="49"/>
  <c r="J50" i="49"/>
  <c r="J55" i="49"/>
  <c r="J60" i="49"/>
  <c r="J66" i="49"/>
  <c r="J71" i="49"/>
  <c r="J75" i="49"/>
  <c r="J79" i="49"/>
  <c r="J83" i="49"/>
  <c r="J87" i="49"/>
  <c r="J91" i="49"/>
  <c r="J95" i="49"/>
  <c r="J99" i="49"/>
  <c r="J103" i="49"/>
  <c r="J107" i="49"/>
  <c r="J111" i="49"/>
  <c r="J115" i="49"/>
  <c r="J119" i="49"/>
  <c r="L119" i="49" s="1"/>
  <c r="J123" i="49"/>
  <c r="J127" i="49"/>
  <c r="L127" i="49" s="1"/>
  <c r="J131" i="49"/>
  <c r="L131" i="49" s="1"/>
  <c r="J135" i="49"/>
  <c r="L135" i="49" s="1"/>
  <c r="J139" i="49"/>
  <c r="J143" i="49"/>
  <c r="J147" i="49"/>
  <c r="J151" i="49"/>
  <c r="L151" i="49" s="1"/>
  <c r="J155" i="49"/>
  <c r="L155" i="49" s="1"/>
  <c r="J159" i="49"/>
  <c r="J163" i="49"/>
  <c r="J171" i="49"/>
  <c r="J178" i="49"/>
  <c r="J182" i="49"/>
  <c r="J186" i="49"/>
  <c r="J190" i="49"/>
  <c r="J194" i="49"/>
  <c r="J198" i="49"/>
  <c r="J202" i="49"/>
  <c r="L202" i="49" s="1"/>
  <c r="J206" i="49"/>
  <c r="J210" i="49"/>
  <c r="J214" i="49"/>
  <c r="J218" i="49"/>
  <c r="J221" i="49"/>
  <c r="J225" i="49"/>
  <c r="L225" i="49" s="1"/>
  <c r="J229" i="49"/>
  <c r="J11" i="49"/>
  <c r="J19" i="49"/>
  <c r="J26" i="49"/>
  <c r="J32" i="49"/>
  <c r="J40" i="49"/>
  <c r="J47" i="49"/>
  <c r="J54" i="49"/>
  <c r="J62" i="49"/>
  <c r="J68" i="49"/>
  <c r="J74" i="49"/>
  <c r="J80" i="49"/>
  <c r="J85" i="49"/>
  <c r="J90" i="49"/>
  <c r="J96" i="49"/>
  <c r="J101" i="49"/>
  <c r="J106" i="49"/>
  <c r="J112" i="49"/>
  <c r="L112" i="49" s="1"/>
  <c r="J117" i="49"/>
  <c r="L117" i="49" s="1"/>
  <c r="J122" i="49"/>
  <c r="L122" i="49" s="1"/>
  <c r="J128" i="49"/>
  <c r="L128" i="49" s="1"/>
  <c r="J133" i="49"/>
  <c r="J138" i="49"/>
  <c r="J144" i="49"/>
  <c r="L144" i="49" s="1"/>
  <c r="J149" i="49"/>
  <c r="L149" i="49" s="1"/>
  <c r="J154" i="49"/>
  <c r="L154" i="49" s="1"/>
  <c r="J160" i="49"/>
  <c r="J164" i="49"/>
  <c r="J167" i="49"/>
  <c r="J172" i="49"/>
  <c r="J176" i="49"/>
  <c r="J181" i="49"/>
  <c r="J187" i="49"/>
  <c r="J192" i="49"/>
  <c r="J197" i="49"/>
  <c r="J203" i="49"/>
  <c r="L203" i="49" s="1"/>
  <c r="J208" i="49"/>
  <c r="J213" i="49"/>
  <c r="J223" i="49"/>
  <c r="J228" i="49"/>
  <c r="J233" i="49"/>
  <c r="J236" i="49"/>
  <c r="J238" i="49"/>
  <c r="J242" i="49"/>
  <c r="J247" i="49"/>
  <c r="J251" i="49"/>
  <c r="J255" i="49"/>
  <c r="J259" i="49"/>
  <c r="J263" i="49"/>
  <c r="J267" i="49"/>
  <c r="J271" i="49"/>
  <c r="J275" i="49"/>
  <c r="L275" i="49" s="1"/>
  <c r="J279" i="49"/>
  <c r="L279" i="49" s="1"/>
  <c r="J283" i="49"/>
  <c r="L283" i="49" s="1"/>
  <c r="J287" i="49"/>
  <c r="J291" i="49"/>
  <c r="J295" i="49"/>
  <c r="J298" i="49"/>
  <c r="J302" i="49"/>
  <c r="J306" i="49"/>
  <c r="J310" i="49"/>
  <c r="J314" i="49"/>
  <c r="J10" i="49"/>
  <c r="J20" i="49"/>
  <c r="J30" i="49"/>
  <c r="J38" i="49"/>
  <c r="J48" i="49"/>
  <c r="J58" i="49"/>
  <c r="J67" i="49"/>
  <c r="J76" i="49"/>
  <c r="J82" i="49"/>
  <c r="J89" i="49"/>
  <c r="J97" i="49"/>
  <c r="J104" i="49"/>
  <c r="J110" i="49"/>
  <c r="J118" i="49"/>
  <c r="J125" i="49"/>
  <c r="J132" i="49"/>
  <c r="J140" i="49"/>
  <c r="J146" i="49"/>
  <c r="J153" i="49"/>
  <c r="J161" i="49"/>
  <c r="J177" i="49"/>
  <c r="J184" i="49"/>
  <c r="J191" i="49"/>
  <c r="L191" i="49" s="1"/>
  <c r="J199" i="49"/>
  <c r="J205" i="49"/>
  <c r="J212" i="49"/>
  <c r="J220" i="49"/>
  <c r="J226" i="49"/>
  <c r="J232" i="49"/>
  <c r="J240" i="49"/>
  <c r="J246" i="49"/>
  <c r="J252" i="49"/>
  <c r="J257" i="49"/>
  <c r="J262" i="49"/>
  <c r="J268" i="49"/>
  <c r="J273" i="49"/>
  <c r="J278" i="49"/>
  <c r="L278" i="49" s="1"/>
  <c r="J284" i="49"/>
  <c r="L284" i="49" s="1"/>
  <c r="J289" i="49"/>
  <c r="J294" i="49"/>
  <c r="J299" i="49"/>
  <c r="J304" i="49"/>
  <c r="J309" i="49"/>
  <c r="J14" i="49"/>
  <c r="L14" i="49" s="1"/>
  <c r="J22" i="49"/>
  <c r="J31" i="49"/>
  <c r="J42" i="49"/>
  <c r="J51" i="49"/>
  <c r="J59" i="49"/>
  <c r="J70" i="49"/>
  <c r="J77" i="49"/>
  <c r="J84" i="49"/>
  <c r="J92" i="49"/>
  <c r="J98" i="49"/>
  <c r="J105" i="49"/>
  <c r="J113" i="49"/>
  <c r="J120" i="49"/>
  <c r="L120" i="49" s="1"/>
  <c r="J126" i="49"/>
  <c r="L126" i="49" s="1"/>
  <c r="J134" i="49"/>
  <c r="L134" i="49" s="1"/>
  <c r="J141" i="49"/>
  <c r="J148" i="49"/>
  <c r="J156" i="49"/>
  <c r="L156" i="49" s="1"/>
  <c r="J162" i="49"/>
  <c r="J166" i="49"/>
  <c r="J173" i="49"/>
  <c r="J179" i="49"/>
  <c r="J185" i="49"/>
  <c r="J193" i="49"/>
  <c r="J200" i="49"/>
  <c r="J207" i="49"/>
  <c r="J215" i="49"/>
  <c r="J227" i="49"/>
  <c r="J234" i="49"/>
  <c r="J237" i="49"/>
  <c r="J241" i="49"/>
  <c r="J248" i="49"/>
  <c r="J253" i="49"/>
  <c r="J258" i="49"/>
  <c r="J264" i="49"/>
  <c r="J269" i="49"/>
  <c r="J274" i="49"/>
  <c r="J280" i="49"/>
  <c r="L280" i="49" s="1"/>
  <c r="J285" i="49"/>
  <c r="J290" i="49"/>
  <c r="J296" i="49"/>
  <c r="L296" i="49" s="1"/>
  <c r="J300" i="49"/>
  <c r="J305" i="49"/>
  <c r="L305" i="49" s="1"/>
  <c r="J311" i="49"/>
  <c r="J15" i="49"/>
  <c r="J24" i="49"/>
  <c r="J35" i="49"/>
  <c r="J43" i="49"/>
  <c r="J52" i="49"/>
  <c r="J63" i="49"/>
  <c r="J72" i="49"/>
  <c r="J78" i="49"/>
  <c r="J86" i="49"/>
  <c r="J93" i="49"/>
  <c r="J100" i="49"/>
  <c r="J108" i="49"/>
  <c r="J114" i="49"/>
  <c r="L114" i="49" s="1"/>
  <c r="J121" i="49"/>
  <c r="L121" i="49" s="1"/>
  <c r="J129" i="49"/>
  <c r="L129" i="49" s="1"/>
  <c r="J136" i="49"/>
  <c r="J142" i="49"/>
  <c r="J150" i="49"/>
  <c r="L150" i="49" s="1"/>
  <c r="J157" i="49"/>
  <c r="J168" i="49"/>
  <c r="J174" i="49"/>
  <c r="J180" i="49"/>
  <c r="J188" i="49"/>
  <c r="J195" i="49"/>
  <c r="J201" i="49"/>
  <c r="J209" i="49"/>
  <c r="J216" i="49"/>
  <c r="J222" i="49"/>
  <c r="J230" i="49"/>
  <c r="J243" i="49"/>
  <c r="J249" i="49"/>
  <c r="J254" i="49"/>
  <c r="J260" i="49"/>
  <c r="J265" i="49"/>
  <c r="J270" i="49"/>
  <c r="J276" i="49"/>
  <c r="L276" i="49" s="1"/>
  <c r="J281" i="49"/>
  <c r="L281" i="49" s="1"/>
  <c r="J286" i="49"/>
  <c r="J292" i="49"/>
  <c r="J301" i="49"/>
  <c r="J307" i="49"/>
  <c r="J312" i="49"/>
  <c r="J46" i="49"/>
  <c r="J81" i="49"/>
  <c r="J109" i="49"/>
  <c r="J137" i="49"/>
  <c r="L137" i="49" s="1"/>
  <c r="J165" i="49"/>
  <c r="J189" i="49"/>
  <c r="J217" i="49"/>
  <c r="J239" i="49"/>
  <c r="J261" i="49"/>
  <c r="J282" i="49"/>
  <c r="L282" i="49" s="1"/>
  <c r="J303" i="49"/>
  <c r="J64" i="49"/>
  <c r="J175" i="49"/>
  <c r="J250" i="49"/>
  <c r="J293" i="49"/>
  <c r="J36" i="49"/>
  <c r="J73" i="49"/>
  <c r="J102" i="49"/>
  <c r="J130" i="49"/>
  <c r="L130" i="49" s="1"/>
  <c r="J158" i="49"/>
  <c r="L158" i="49" s="1"/>
  <c r="J183" i="49"/>
  <c r="J211" i="49"/>
  <c r="J235" i="49"/>
  <c r="J256" i="49"/>
  <c r="J277" i="49"/>
  <c r="L277" i="49" s="1"/>
  <c r="J297" i="49"/>
  <c r="J16" i="49"/>
  <c r="J56" i="49"/>
  <c r="J88" i="49"/>
  <c r="J116" i="49"/>
  <c r="J145" i="49"/>
  <c r="J169" i="49"/>
  <c r="J196" i="49"/>
  <c r="J224" i="49"/>
  <c r="L224" i="49" s="1"/>
  <c r="J245" i="49"/>
  <c r="J266" i="49"/>
  <c r="J288" i="49"/>
  <c r="J308" i="49"/>
  <c r="J27" i="49"/>
  <c r="J94" i="49"/>
  <c r="J124" i="49"/>
  <c r="L124" i="49" s="1"/>
  <c r="J152" i="49"/>
  <c r="J204" i="49"/>
  <c r="J231" i="49"/>
  <c r="J272" i="49"/>
  <c r="J313" i="49"/>
  <c r="L313" i="49" s="1"/>
  <c r="J254" i="13"/>
  <c r="J222" i="13"/>
  <c r="J94" i="13"/>
  <c r="J44" i="13"/>
  <c r="J29" i="13"/>
  <c r="G23" i="49"/>
  <c r="G29" i="49"/>
  <c r="G41" i="49"/>
  <c r="J41" i="13"/>
  <c r="G43" i="49"/>
  <c r="G45" i="49"/>
  <c r="G55" i="49"/>
  <c r="G76" i="49"/>
  <c r="J76" i="13"/>
  <c r="G86" i="49"/>
  <c r="J86" i="13"/>
  <c r="G94" i="49"/>
  <c r="G102" i="49"/>
  <c r="J102" i="13"/>
  <c r="G108" i="49"/>
  <c r="J108" i="13"/>
  <c r="G134" i="49"/>
  <c r="J134" i="13"/>
  <c r="G314" i="49"/>
  <c r="G212" i="49"/>
  <c r="J212" i="13"/>
  <c r="G285" i="49"/>
  <c r="G174" i="49"/>
  <c r="J174" i="13"/>
  <c r="G245" i="49"/>
  <c r="J245" i="13"/>
  <c r="G17" i="49"/>
  <c r="J17" i="13"/>
  <c r="G250" i="49"/>
  <c r="J250" i="13"/>
  <c r="G64" i="49"/>
  <c r="J64" i="13"/>
  <c r="G181" i="49"/>
  <c r="J181" i="13"/>
  <c r="G211" i="49"/>
  <c r="J211" i="13"/>
  <c r="G99" i="49"/>
  <c r="J99" i="13"/>
  <c r="G238" i="49"/>
  <c r="J238" i="13"/>
  <c r="G65" i="49"/>
  <c r="G216" i="49"/>
  <c r="J216" i="13"/>
  <c r="G121" i="49"/>
  <c r="G213" i="49"/>
  <c r="J213" i="13"/>
  <c r="G300" i="49"/>
  <c r="G132" i="49"/>
  <c r="J132" i="13"/>
  <c r="G210" i="49"/>
  <c r="G311" i="49"/>
  <c r="J311" i="13"/>
  <c r="G228" i="49"/>
  <c r="G272" i="49"/>
  <c r="G242" i="49"/>
  <c r="G161" i="49"/>
  <c r="J161" i="13"/>
  <c r="G277" i="49"/>
  <c r="G149" i="49"/>
  <c r="J149" i="13"/>
  <c r="G237" i="49"/>
  <c r="G304" i="49"/>
  <c r="J304" i="13"/>
  <c r="G159" i="49"/>
  <c r="G241" i="49"/>
  <c r="J241" i="13"/>
  <c r="G187" i="49"/>
  <c r="J187" i="13"/>
  <c r="G313" i="49"/>
  <c r="J313" i="13"/>
  <c r="G263" i="49"/>
  <c r="J263" i="13"/>
  <c r="G169" i="49"/>
  <c r="J169" i="13"/>
  <c r="G20" i="49"/>
  <c r="J20" i="13"/>
  <c r="G103" i="49"/>
  <c r="J103" i="13"/>
  <c r="G71" i="49"/>
  <c r="J71" i="13"/>
  <c r="G264" i="49"/>
  <c r="G269" i="49"/>
  <c r="G193" i="49"/>
  <c r="J193" i="13"/>
  <c r="G190" i="49"/>
  <c r="J190" i="13"/>
  <c r="G309" i="49"/>
  <c r="J309" i="13"/>
  <c r="G117" i="49"/>
  <c r="J117" i="13"/>
  <c r="G306" i="49"/>
  <c r="J306" i="13"/>
  <c r="G166" i="49"/>
  <c r="J166" i="13"/>
  <c r="G116" i="49"/>
  <c r="G145" i="49"/>
  <c r="G9" i="49"/>
  <c r="G307" i="49"/>
  <c r="J307" i="13"/>
  <c r="G167" i="49"/>
  <c r="G293" i="49"/>
  <c r="J293" i="13"/>
  <c r="G217" i="49"/>
  <c r="G133" i="49"/>
  <c r="J133" i="13"/>
  <c r="G147" i="49"/>
  <c r="J147" i="13"/>
  <c r="G10" i="49"/>
  <c r="G220" i="49"/>
  <c r="J220" i="13"/>
  <c r="G87" i="49"/>
  <c r="J87" i="13"/>
  <c r="G109" i="49"/>
  <c r="J109" i="13"/>
  <c r="G225" i="49"/>
  <c r="J225" i="13"/>
  <c r="G186" i="49"/>
  <c r="J186" i="13"/>
  <c r="G151" i="49"/>
  <c r="J151" i="13"/>
  <c r="G243" i="49"/>
  <c r="J243" i="13"/>
  <c r="G8" i="49"/>
  <c r="J8" i="13"/>
  <c r="G227" i="49"/>
  <c r="G148" i="49"/>
  <c r="J148" i="13"/>
  <c r="G30" i="49"/>
  <c r="J30" i="13"/>
  <c r="G171" i="49"/>
  <c r="J171" i="13"/>
  <c r="G257" i="49"/>
  <c r="J257" i="13"/>
  <c r="G137" i="49"/>
  <c r="J137" i="13"/>
  <c r="G246" i="49"/>
  <c r="G104" i="49"/>
  <c r="J104" i="13"/>
  <c r="G7" i="49"/>
  <c r="G88" i="49"/>
  <c r="J88" i="13"/>
  <c r="G26" i="49"/>
  <c r="G224" i="49"/>
  <c r="J224" i="13"/>
  <c r="G158" i="49"/>
  <c r="G298" i="49"/>
  <c r="G275" i="49"/>
  <c r="G34" i="49"/>
  <c r="G112" i="49"/>
  <c r="G27" i="49"/>
  <c r="G200" i="49"/>
  <c r="J200" i="13"/>
  <c r="G286" i="49"/>
  <c r="J286" i="13"/>
  <c r="G194" i="49"/>
  <c r="G302" i="49"/>
  <c r="G124" i="49"/>
  <c r="G46" i="49"/>
  <c r="G144" i="49"/>
  <c r="J144" i="13"/>
  <c r="G58" i="49"/>
  <c r="G182" i="49"/>
  <c r="J182" i="13"/>
  <c r="G301" i="49"/>
  <c r="G168" i="49"/>
  <c r="J168" i="13"/>
  <c r="G63" i="49"/>
  <c r="J63" i="13"/>
  <c r="G12" i="49"/>
  <c r="J12" i="13"/>
  <c r="G128" i="49"/>
  <c r="G297" i="49"/>
  <c r="G154" i="49"/>
  <c r="G122" i="49"/>
  <c r="G305" i="49"/>
  <c r="G199" i="49"/>
  <c r="G233" i="49"/>
  <c r="J154" i="13"/>
  <c r="J122" i="13"/>
  <c r="J264" i="13"/>
  <c r="J269" i="13"/>
  <c r="J58" i="13"/>
  <c r="J301" i="13"/>
  <c r="J227" i="13"/>
  <c r="J314" i="13"/>
  <c r="J242" i="13"/>
  <c r="J237" i="13"/>
  <c r="J82" i="13"/>
  <c r="J21" i="13"/>
  <c r="J232" i="13"/>
  <c r="J256" i="13"/>
  <c r="J156" i="13"/>
  <c r="J37" i="13"/>
  <c r="J162" i="13"/>
  <c r="J249" i="13"/>
  <c r="J22" i="13"/>
  <c r="J178" i="13"/>
  <c r="J179" i="13"/>
  <c r="J292" i="13"/>
  <c r="J189" i="13"/>
  <c r="J81" i="13"/>
  <c r="J204" i="13"/>
  <c r="J38" i="13"/>
  <c r="J201" i="13"/>
  <c r="J270" i="13"/>
  <c r="J283" i="13"/>
  <c r="J101" i="13"/>
  <c r="J55" i="13"/>
  <c r="J43" i="13"/>
  <c r="J23" i="13"/>
  <c r="F315" i="49"/>
  <c r="J196" i="13"/>
  <c r="J289" i="13"/>
  <c r="J16" i="13"/>
  <c r="J239" i="13"/>
  <c r="J67" i="13"/>
  <c r="J51" i="13"/>
  <c r="J143" i="13"/>
  <c r="J230" i="13"/>
  <c r="J207" i="13"/>
  <c r="J32" i="13"/>
  <c r="J90" i="13"/>
  <c r="J13" i="13"/>
  <c r="J266" i="13"/>
  <c r="J125" i="13"/>
  <c r="J52" i="13"/>
  <c r="U316" i="19"/>
  <c r="J11" i="13"/>
  <c r="J56" i="13"/>
  <c r="J35" i="13"/>
  <c r="J60" i="13"/>
  <c r="J183" i="13"/>
  <c r="J106" i="13"/>
  <c r="J299" i="13"/>
  <c r="J123" i="13"/>
  <c r="J84" i="13"/>
  <c r="J91" i="13"/>
  <c r="J79" i="13"/>
  <c r="J150" i="13"/>
  <c r="J15" i="13"/>
  <c r="J31" i="13"/>
  <c r="J114" i="13"/>
  <c r="J28" i="13"/>
  <c r="J163" i="13"/>
  <c r="J157" i="13"/>
  <c r="J176" i="13"/>
  <c r="J276" i="13"/>
  <c r="J126" i="13"/>
  <c r="J85" i="13"/>
  <c r="J95" i="13"/>
  <c r="J68" i="13"/>
  <c r="J75" i="13"/>
  <c r="J191" i="13"/>
  <c r="J14" i="13"/>
  <c r="J119" i="13"/>
  <c r="J223" i="13"/>
  <c r="J48" i="13"/>
  <c r="J280" i="13"/>
  <c r="J59" i="13"/>
  <c r="J130" i="13"/>
  <c r="J77" i="13"/>
  <c r="J47" i="13"/>
  <c r="J226" i="13"/>
  <c r="J39" i="13"/>
  <c r="J127" i="13"/>
  <c r="J206" i="13"/>
  <c r="J288" i="13"/>
  <c r="J248" i="13"/>
  <c r="J240" i="13"/>
  <c r="J80" i="13"/>
  <c r="J139" i="13"/>
  <c r="J107" i="13"/>
  <c r="J83" i="13"/>
  <c r="J296" i="13"/>
  <c r="J259" i="13"/>
  <c r="J19" i="13"/>
  <c r="J164" i="13"/>
  <c r="J165" i="13"/>
  <c r="J175" i="13"/>
  <c r="J235" i="13"/>
  <c r="J195" i="13"/>
  <c r="J231" i="13"/>
  <c r="J72" i="13"/>
  <c r="J172" i="13"/>
  <c r="B60" i="40" l="1"/>
  <c r="B62" i="40" s="1"/>
  <c r="C314" i="39"/>
  <c r="K219" i="49"/>
  <c r="L219" i="49" s="1"/>
  <c r="K244" i="49"/>
  <c r="L244" i="49" s="1"/>
  <c r="J315" i="13"/>
  <c r="E5" i="33"/>
  <c r="G5" i="32"/>
  <c r="F314" i="32"/>
  <c r="S316" i="19"/>
  <c r="K231" i="49"/>
  <c r="L231" i="49" s="1"/>
  <c r="K266" i="49"/>
  <c r="L266" i="49" s="1"/>
  <c r="K56" i="49"/>
  <c r="L56" i="49" s="1"/>
  <c r="K64" i="49"/>
  <c r="L64" i="49" s="1"/>
  <c r="K254" i="49"/>
  <c r="L254" i="49" s="1"/>
  <c r="K180" i="49"/>
  <c r="L180" i="49" s="1"/>
  <c r="K72" i="49"/>
  <c r="L72" i="49" s="1"/>
  <c r="K35" i="49"/>
  <c r="L35" i="49" s="1"/>
  <c r="K285" i="49"/>
  <c r="L285" i="49" s="1"/>
  <c r="K241" i="49"/>
  <c r="L241" i="49" s="1"/>
  <c r="K193" i="49"/>
  <c r="L193" i="49" s="1"/>
  <c r="K141" i="49"/>
  <c r="L141" i="49" s="1"/>
  <c r="K84" i="49"/>
  <c r="L84" i="49" s="1"/>
  <c r="K51" i="49"/>
  <c r="L51" i="49" s="1"/>
  <c r="K294" i="49"/>
  <c r="L294" i="49" s="1"/>
  <c r="K252" i="49"/>
  <c r="L252" i="49" s="1"/>
  <c r="K232" i="49"/>
  <c r="L232" i="49" s="1"/>
  <c r="K177" i="49"/>
  <c r="L177" i="49" s="1"/>
  <c r="K125" i="49"/>
  <c r="L125" i="49" s="1"/>
  <c r="K67" i="49"/>
  <c r="L67" i="49" s="1"/>
  <c r="K310" i="49"/>
  <c r="L310" i="49" s="1"/>
  <c r="K295" i="49"/>
  <c r="L295" i="49" s="1"/>
  <c r="K263" i="49"/>
  <c r="L263" i="49" s="1"/>
  <c r="K233" i="49"/>
  <c r="L233" i="49" s="1"/>
  <c r="K192" i="49"/>
  <c r="L192" i="49" s="1"/>
  <c r="K172" i="49"/>
  <c r="L172" i="49" s="1"/>
  <c r="K133" i="49"/>
  <c r="L133" i="49" s="1"/>
  <c r="K90" i="49"/>
  <c r="L90" i="49" s="1"/>
  <c r="K40" i="49"/>
  <c r="L40" i="49" s="1"/>
  <c r="K171" i="49"/>
  <c r="L171" i="49" s="1"/>
  <c r="K95" i="49"/>
  <c r="L95" i="49" s="1"/>
  <c r="K79" i="49"/>
  <c r="L79" i="49" s="1"/>
  <c r="K18" i="49"/>
  <c r="L18" i="49" s="1"/>
  <c r="K45" i="49"/>
  <c r="L45" i="49" s="1"/>
  <c r="K13" i="49"/>
  <c r="L13" i="49" s="1"/>
  <c r="K204" i="49"/>
  <c r="L204" i="49" s="1"/>
  <c r="K245" i="49"/>
  <c r="L245" i="49" s="1"/>
  <c r="K16" i="49"/>
  <c r="L16" i="49" s="1"/>
  <c r="K235" i="49"/>
  <c r="L235" i="49" s="1"/>
  <c r="K293" i="49"/>
  <c r="L293" i="49" s="1"/>
  <c r="K217" i="49"/>
  <c r="L217" i="49" s="1"/>
  <c r="K312" i="49"/>
  <c r="L312" i="49" s="1"/>
  <c r="K270" i="49"/>
  <c r="L270" i="49" s="1"/>
  <c r="K249" i="49"/>
  <c r="L249" i="49" s="1"/>
  <c r="K201" i="49"/>
  <c r="L201" i="49" s="1"/>
  <c r="K174" i="49"/>
  <c r="L174" i="49" s="1"/>
  <c r="K63" i="49"/>
  <c r="L63" i="49" s="1"/>
  <c r="K237" i="49"/>
  <c r="L237" i="49" s="1"/>
  <c r="K185" i="49"/>
  <c r="L185" i="49" s="1"/>
  <c r="K77" i="49"/>
  <c r="L77" i="49" s="1"/>
  <c r="K309" i="49"/>
  <c r="L309" i="49" s="1"/>
  <c r="K268" i="49"/>
  <c r="L268" i="49" s="1"/>
  <c r="K226" i="49"/>
  <c r="L226" i="49" s="1"/>
  <c r="K118" i="49"/>
  <c r="L118" i="49" s="1"/>
  <c r="K58" i="49"/>
  <c r="L58" i="49" s="1"/>
  <c r="K306" i="49"/>
  <c r="K242" i="49"/>
  <c r="L242" i="49" s="1"/>
  <c r="K187" i="49"/>
  <c r="L187" i="49" s="1"/>
  <c r="K106" i="49"/>
  <c r="L106" i="49" s="1"/>
  <c r="K62" i="49"/>
  <c r="L62" i="49" s="1"/>
  <c r="K229" i="49"/>
  <c r="L229" i="49" s="1"/>
  <c r="K198" i="49"/>
  <c r="L198" i="49" s="1"/>
  <c r="K182" i="49"/>
  <c r="L182" i="49" s="1"/>
  <c r="K139" i="49"/>
  <c r="L139" i="49" s="1"/>
  <c r="K123" i="49"/>
  <c r="L123" i="49" s="1"/>
  <c r="K107" i="49"/>
  <c r="L107" i="49" s="1"/>
  <c r="K91" i="49"/>
  <c r="L91" i="49" s="1"/>
  <c r="K75" i="49"/>
  <c r="L75" i="49" s="1"/>
  <c r="K55" i="49"/>
  <c r="L55" i="49" s="1"/>
  <c r="K34" i="49"/>
  <c r="L34" i="49" s="1"/>
  <c r="K12" i="49"/>
  <c r="L12" i="49" s="1"/>
  <c r="K57" i="49"/>
  <c r="L57" i="49" s="1"/>
  <c r="K41" i="49"/>
  <c r="L41" i="49" s="1"/>
  <c r="K9" i="49"/>
  <c r="L9" i="49" s="1"/>
  <c r="K272" i="49"/>
  <c r="L272" i="49" s="1"/>
  <c r="K288" i="49"/>
  <c r="L288" i="49" s="1"/>
  <c r="K196" i="49"/>
  <c r="L196" i="49" s="1"/>
  <c r="K88" i="49"/>
  <c r="L88" i="49" s="1"/>
  <c r="K183" i="49"/>
  <c r="L183" i="49" s="1"/>
  <c r="K73" i="49"/>
  <c r="L73" i="49" s="1"/>
  <c r="K175" i="49"/>
  <c r="L175" i="49" s="1"/>
  <c r="K261" i="49"/>
  <c r="L261" i="49" s="1"/>
  <c r="K165" i="49"/>
  <c r="L165" i="49" s="1"/>
  <c r="K46" i="49"/>
  <c r="L46" i="49" s="1"/>
  <c r="K301" i="49"/>
  <c r="L301" i="49" s="1"/>
  <c r="K260" i="49"/>
  <c r="L260" i="49" s="1"/>
  <c r="K216" i="49"/>
  <c r="L216" i="49" s="1"/>
  <c r="K188" i="49"/>
  <c r="L188" i="49" s="1"/>
  <c r="K136" i="49"/>
  <c r="L136" i="49" s="1"/>
  <c r="K108" i="49"/>
  <c r="L108" i="49" s="1"/>
  <c r="K78" i="49"/>
  <c r="L78" i="49" s="1"/>
  <c r="K43" i="49"/>
  <c r="L43" i="49" s="1"/>
  <c r="K311" i="49"/>
  <c r="L311" i="49" s="1"/>
  <c r="K290" i="49"/>
  <c r="L290" i="49" s="1"/>
  <c r="K269" i="49"/>
  <c r="L269" i="49" s="1"/>
  <c r="K248" i="49"/>
  <c r="L248" i="49" s="1"/>
  <c r="K227" i="49"/>
  <c r="L227" i="49" s="1"/>
  <c r="K200" i="49"/>
  <c r="L200" i="49" s="1"/>
  <c r="K173" i="49"/>
  <c r="L173" i="49" s="1"/>
  <c r="K148" i="49"/>
  <c r="L148" i="49" s="1"/>
  <c r="K92" i="49"/>
  <c r="L92" i="49" s="1"/>
  <c r="K59" i="49"/>
  <c r="L59" i="49" s="1"/>
  <c r="K22" i="49"/>
  <c r="L22" i="49" s="1"/>
  <c r="K299" i="49"/>
  <c r="L299" i="49" s="1"/>
  <c r="K257" i="49"/>
  <c r="L257" i="49" s="1"/>
  <c r="K212" i="49"/>
  <c r="L212" i="49" s="1"/>
  <c r="K184" i="49"/>
  <c r="L184" i="49" s="1"/>
  <c r="K161" i="49"/>
  <c r="L161" i="49" s="1"/>
  <c r="K132" i="49"/>
  <c r="L132" i="49" s="1"/>
  <c r="K104" i="49"/>
  <c r="L104" i="49" s="1"/>
  <c r="K76" i="49"/>
  <c r="L76" i="49" s="1"/>
  <c r="K38" i="49"/>
  <c r="L38" i="49" s="1"/>
  <c r="K314" i="49"/>
  <c r="L314" i="49" s="1"/>
  <c r="K298" i="49"/>
  <c r="L298" i="49" s="1"/>
  <c r="K267" i="49"/>
  <c r="L267" i="49" s="1"/>
  <c r="K251" i="49"/>
  <c r="L251" i="49" s="1"/>
  <c r="K236" i="49"/>
  <c r="L236" i="49" s="1"/>
  <c r="K197" i="49"/>
  <c r="L197" i="49" s="1"/>
  <c r="K176" i="49"/>
  <c r="L176" i="49" s="1"/>
  <c r="K160" i="49"/>
  <c r="L160" i="49" s="1"/>
  <c r="K138" i="49"/>
  <c r="L138" i="49" s="1"/>
  <c r="K96" i="49"/>
  <c r="L96" i="49" s="1"/>
  <c r="K74" i="49"/>
  <c r="L74" i="49" s="1"/>
  <c r="K47" i="49"/>
  <c r="L47" i="49" s="1"/>
  <c r="K19" i="49"/>
  <c r="L19" i="49" s="1"/>
  <c r="K221" i="49"/>
  <c r="L221" i="49" s="1"/>
  <c r="K206" i="49"/>
  <c r="L206" i="49" s="1"/>
  <c r="K190" i="49"/>
  <c r="L190" i="49" s="1"/>
  <c r="K163" i="49"/>
  <c r="L163" i="49" s="1"/>
  <c r="K147" i="49"/>
  <c r="L147" i="49" s="1"/>
  <c r="K115" i="49"/>
  <c r="L115" i="49" s="1"/>
  <c r="K99" i="49"/>
  <c r="L99" i="49" s="1"/>
  <c r="K83" i="49"/>
  <c r="L83" i="49" s="1"/>
  <c r="K66" i="49"/>
  <c r="L66" i="49" s="1"/>
  <c r="K44" i="49"/>
  <c r="L44" i="49" s="1"/>
  <c r="K23" i="49"/>
  <c r="L23" i="49" s="1"/>
  <c r="K65" i="49"/>
  <c r="L65" i="49" s="1"/>
  <c r="K49" i="49"/>
  <c r="L49" i="49" s="1"/>
  <c r="K33" i="49"/>
  <c r="L33" i="49" s="1"/>
  <c r="K17" i="49"/>
  <c r="L17" i="49" s="1"/>
  <c r="K94" i="49"/>
  <c r="L94" i="49" s="1"/>
  <c r="K169" i="49"/>
  <c r="L169" i="49" s="1"/>
  <c r="K256" i="49"/>
  <c r="L256" i="49" s="1"/>
  <c r="K36" i="49"/>
  <c r="L36" i="49" s="1"/>
  <c r="K239" i="49"/>
  <c r="L239" i="49" s="1"/>
  <c r="K209" i="49"/>
  <c r="L209" i="49" s="1"/>
  <c r="K157" i="49"/>
  <c r="L157" i="49" s="1"/>
  <c r="K100" i="49"/>
  <c r="L100" i="49" s="1"/>
  <c r="K264" i="49"/>
  <c r="L264" i="49" s="1"/>
  <c r="K166" i="49"/>
  <c r="L166" i="49" s="1"/>
  <c r="K113" i="49"/>
  <c r="L113" i="49" s="1"/>
  <c r="K273" i="49"/>
  <c r="L273" i="49" s="1"/>
  <c r="K205" i="49"/>
  <c r="L205" i="49" s="1"/>
  <c r="K153" i="49"/>
  <c r="L153" i="49" s="1"/>
  <c r="K97" i="49"/>
  <c r="L97" i="49" s="1"/>
  <c r="K30" i="49"/>
  <c r="L30" i="49" s="1"/>
  <c r="K247" i="49"/>
  <c r="L247" i="49" s="1"/>
  <c r="K213" i="49"/>
  <c r="L213" i="49" s="1"/>
  <c r="K68" i="49"/>
  <c r="L68" i="49" s="1"/>
  <c r="K11" i="49"/>
  <c r="L11" i="49" s="1"/>
  <c r="K218" i="49"/>
  <c r="L218" i="49" s="1"/>
  <c r="K186" i="49"/>
  <c r="L186" i="49" s="1"/>
  <c r="K159" i="49"/>
  <c r="L159" i="49" s="1"/>
  <c r="K143" i="49"/>
  <c r="L143" i="49" s="1"/>
  <c r="K111" i="49"/>
  <c r="L111" i="49" s="1"/>
  <c r="K60" i="49"/>
  <c r="L60" i="49" s="1"/>
  <c r="K39" i="49"/>
  <c r="L39" i="49" s="1"/>
  <c r="K61" i="49"/>
  <c r="L61" i="49" s="1"/>
  <c r="K29" i="49"/>
  <c r="L29" i="49" s="1"/>
  <c r="K27" i="49"/>
  <c r="L27" i="49" s="1"/>
  <c r="K145" i="49"/>
  <c r="L145" i="49" s="1"/>
  <c r="L303" i="49"/>
  <c r="K109" i="49"/>
  <c r="L109" i="49" s="1"/>
  <c r="K292" i="49"/>
  <c r="L292" i="49" s="1"/>
  <c r="K230" i="49"/>
  <c r="L230" i="49" s="1"/>
  <c r="K93" i="49"/>
  <c r="L93" i="49" s="1"/>
  <c r="K24" i="49"/>
  <c r="L24" i="49" s="1"/>
  <c r="K300" i="49"/>
  <c r="L300" i="49" s="1"/>
  <c r="K258" i="49"/>
  <c r="L258" i="49" s="1"/>
  <c r="K215" i="49"/>
  <c r="L215" i="49" s="1"/>
  <c r="K162" i="49"/>
  <c r="L162" i="49" s="1"/>
  <c r="K105" i="49"/>
  <c r="L105" i="49" s="1"/>
  <c r="K42" i="49"/>
  <c r="L42" i="49" s="1"/>
  <c r="K289" i="49"/>
  <c r="L289" i="49" s="1"/>
  <c r="K246" i="49"/>
  <c r="L246" i="49" s="1"/>
  <c r="K199" i="49"/>
  <c r="L199" i="49" s="1"/>
  <c r="K146" i="49"/>
  <c r="L146" i="49" s="1"/>
  <c r="K89" i="49"/>
  <c r="L89" i="49" s="1"/>
  <c r="K20" i="49"/>
  <c r="L20" i="49" s="1"/>
  <c r="K291" i="49"/>
  <c r="K259" i="49"/>
  <c r="L259" i="49" s="1"/>
  <c r="K228" i="49"/>
  <c r="L228" i="49" s="1"/>
  <c r="K208" i="49"/>
  <c r="L208" i="49" s="1"/>
  <c r="K167" i="49"/>
  <c r="L167" i="49" s="1"/>
  <c r="K85" i="49"/>
  <c r="L85" i="49" s="1"/>
  <c r="K32" i="49"/>
  <c r="L32" i="49" s="1"/>
  <c r="K214" i="49"/>
  <c r="L214" i="49" s="1"/>
  <c r="K25" i="49"/>
  <c r="L25" i="49" s="1"/>
  <c r="K152" i="49"/>
  <c r="L152" i="49" s="1"/>
  <c r="K308" i="49"/>
  <c r="L308" i="49" s="1"/>
  <c r="K116" i="49"/>
  <c r="L116" i="49" s="1"/>
  <c r="K297" i="49"/>
  <c r="K211" i="49"/>
  <c r="L211" i="49" s="1"/>
  <c r="K102" i="49"/>
  <c r="L102" i="49" s="1"/>
  <c r="K250" i="49"/>
  <c r="L250" i="49" s="1"/>
  <c r="K189" i="49"/>
  <c r="L189" i="49" s="1"/>
  <c r="K81" i="49"/>
  <c r="L81" i="49" s="1"/>
  <c r="K307" i="49"/>
  <c r="K286" i="49"/>
  <c r="L286" i="49" s="1"/>
  <c r="K265" i="49"/>
  <c r="L265" i="49" s="1"/>
  <c r="K243" i="49"/>
  <c r="L243" i="49" s="1"/>
  <c r="K222" i="49"/>
  <c r="L222" i="49" s="1"/>
  <c r="K195" i="49"/>
  <c r="L195" i="49" s="1"/>
  <c r="K168" i="49"/>
  <c r="L168" i="49" s="1"/>
  <c r="K142" i="49"/>
  <c r="L142" i="49" s="1"/>
  <c r="K86" i="49"/>
  <c r="L86" i="49" s="1"/>
  <c r="K52" i="49"/>
  <c r="L52" i="49" s="1"/>
  <c r="K15" i="49"/>
  <c r="L15" i="49" s="1"/>
  <c r="K274" i="49"/>
  <c r="L274" i="49" s="1"/>
  <c r="K253" i="49"/>
  <c r="L253" i="49" s="1"/>
  <c r="K234" i="49"/>
  <c r="L234" i="49" s="1"/>
  <c r="K207" i="49"/>
  <c r="L207" i="49" s="1"/>
  <c r="K179" i="49"/>
  <c r="L179" i="49" s="1"/>
  <c r="K98" i="49"/>
  <c r="L98" i="49" s="1"/>
  <c r="K70" i="49"/>
  <c r="L70" i="49" s="1"/>
  <c r="K31" i="49"/>
  <c r="L31" i="49" s="1"/>
  <c r="K304" i="49"/>
  <c r="L304" i="49" s="1"/>
  <c r="K262" i="49"/>
  <c r="L262" i="49" s="1"/>
  <c r="K240" i="49"/>
  <c r="L240" i="49" s="1"/>
  <c r="K220" i="49"/>
  <c r="L220" i="49" s="1"/>
  <c r="K140" i="49"/>
  <c r="L140" i="49" s="1"/>
  <c r="K110" i="49"/>
  <c r="L110" i="49" s="1"/>
  <c r="K82" i="49"/>
  <c r="L82" i="49" s="1"/>
  <c r="K48" i="49"/>
  <c r="L48" i="49" s="1"/>
  <c r="K10" i="49"/>
  <c r="L10" i="49" s="1"/>
  <c r="K302" i="49"/>
  <c r="L302" i="49" s="1"/>
  <c r="K287" i="49"/>
  <c r="K271" i="49"/>
  <c r="L271" i="49" s="1"/>
  <c r="K255" i="49"/>
  <c r="L255" i="49" s="1"/>
  <c r="K238" i="49"/>
  <c r="L238" i="49" s="1"/>
  <c r="K223" i="49"/>
  <c r="L223" i="49" s="1"/>
  <c r="K181" i="49"/>
  <c r="L181" i="49" s="1"/>
  <c r="K164" i="49"/>
  <c r="L164" i="49" s="1"/>
  <c r="K101" i="49"/>
  <c r="L101" i="49" s="1"/>
  <c r="K80" i="49"/>
  <c r="L80" i="49" s="1"/>
  <c r="K54" i="49"/>
  <c r="L54" i="49" s="1"/>
  <c r="K26" i="49"/>
  <c r="L26" i="49" s="1"/>
  <c r="K210" i="49"/>
  <c r="L210" i="49" s="1"/>
  <c r="K194" i="49"/>
  <c r="L194" i="49" s="1"/>
  <c r="K178" i="49"/>
  <c r="L178" i="49" s="1"/>
  <c r="K103" i="49"/>
  <c r="L103" i="49" s="1"/>
  <c r="K87" i="49"/>
  <c r="L87" i="49" s="1"/>
  <c r="K71" i="49"/>
  <c r="L71" i="49" s="1"/>
  <c r="K50" i="49"/>
  <c r="L50" i="49" s="1"/>
  <c r="K28" i="49"/>
  <c r="L28" i="49" s="1"/>
  <c r="K69" i="49"/>
  <c r="L69" i="49" s="1"/>
  <c r="K53" i="49"/>
  <c r="L53" i="49" s="1"/>
  <c r="K37" i="49"/>
  <c r="L37" i="49" s="1"/>
  <c r="K21" i="49"/>
  <c r="L21" i="49" s="1"/>
  <c r="J315" i="49"/>
  <c r="G315" i="49"/>
  <c r="C314" i="12"/>
  <c r="L315" i="13" l="1"/>
  <c r="L291" i="49"/>
  <c r="L287" i="49"/>
  <c r="L297" i="49"/>
  <c r="L307" i="49"/>
  <c r="L306" i="49"/>
  <c r="E47" i="48"/>
  <c r="L8" i="49"/>
  <c r="K315" i="49"/>
  <c r="N315" i="49" s="1"/>
  <c r="G314" i="37"/>
  <c r="G314" i="32"/>
  <c r="C314" i="33"/>
  <c r="E314" i="33" s="1"/>
  <c r="B63" i="40"/>
  <c r="B50" i="40" l="1"/>
  <c r="B47" i="40"/>
  <c r="L315" i="49"/>
  <c r="H9" i="37"/>
  <c r="H21" i="37"/>
  <c r="H24" i="37"/>
  <c r="H30" i="37"/>
  <c r="H53" i="37"/>
  <c r="H56" i="37"/>
  <c r="H62" i="37"/>
  <c r="H6" i="37"/>
  <c r="H27" i="37"/>
  <c r="H35" i="37"/>
  <c r="H59" i="37"/>
  <c r="H67" i="37"/>
  <c r="H17" i="37"/>
  <c r="H38" i="37"/>
  <c r="H41" i="37"/>
  <c r="H49" i="37"/>
  <c r="H70" i="37"/>
  <c r="H16" i="37"/>
  <c r="H19" i="37"/>
  <c r="H43" i="37"/>
  <c r="H51" i="37"/>
  <c r="H75" i="37"/>
  <c r="H8" i="37"/>
  <c r="H46" i="37"/>
  <c r="H117" i="37"/>
  <c r="H129" i="37"/>
  <c r="H132" i="37"/>
  <c r="H151" i="37"/>
  <c r="H163" i="37"/>
  <c r="H180" i="37"/>
  <c r="H215" i="37"/>
  <c r="H218" i="37"/>
  <c r="H232" i="37"/>
  <c r="H239" i="37"/>
  <c r="H246" i="37"/>
  <c r="H69" i="37"/>
  <c r="H85" i="37"/>
  <c r="H88" i="37"/>
  <c r="H137" i="37"/>
  <c r="H150" i="37"/>
  <c r="H153" i="37"/>
  <c r="H156" i="37"/>
  <c r="H169" i="37"/>
  <c r="H193" i="37"/>
  <c r="H204" i="37"/>
  <c r="H211" i="37"/>
  <c r="H221" i="37"/>
  <c r="H235" i="37"/>
  <c r="H242" i="37"/>
  <c r="H25" i="37"/>
  <c r="H116" i="37"/>
  <c r="H119" i="37"/>
  <c r="H128" i="37"/>
  <c r="H143" i="37"/>
  <c r="H172" i="37"/>
  <c r="H179" i="37"/>
  <c r="H183" i="37"/>
  <c r="H203" i="37"/>
  <c r="H207" i="37"/>
  <c r="H214" i="37"/>
  <c r="H231" i="37"/>
  <c r="H14" i="37"/>
  <c r="H33" i="37"/>
  <c r="H54" i="37"/>
  <c r="H78" i="37"/>
  <c r="H124" i="37"/>
  <c r="H127" i="37"/>
  <c r="H158" i="37"/>
  <c r="H161" i="37"/>
  <c r="H174" i="37"/>
  <c r="H209" i="37"/>
  <c r="H223" i="37"/>
  <c r="H226" i="37"/>
  <c r="H40" i="37"/>
  <c r="H57" i="37"/>
  <c r="H72" i="37"/>
  <c r="H86" i="37"/>
  <c r="H139" i="37"/>
  <c r="H190" i="37"/>
  <c r="H201" i="37"/>
  <c r="H206" i="37"/>
  <c r="H213" i="37"/>
  <c r="H248" i="37"/>
  <c r="H251" i="37"/>
  <c r="H254" i="37"/>
  <c r="H278" i="37"/>
  <c r="H294" i="37"/>
  <c r="H307" i="37"/>
  <c r="H141" i="37"/>
  <c r="H195" i="37"/>
  <c r="H264" i="37"/>
  <c r="H274" i="37"/>
  <c r="H290" i="37"/>
  <c r="H310" i="37"/>
  <c r="H65" i="37"/>
  <c r="H83" i="37"/>
  <c r="H175" i="37"/>
  <c r="H185" i="37"/>
  <c r="H247" i="37"/>
  <c r="H250" i="37"/>
  <c r="H253" i="37"/>
  <c r="H267" i="37"/>
  <c r="H277" i="37"/>
  <c r="H293" i="37"/>
  <c r="H306" i="37"/>
  <c r="H73" i="37"/>
  <c r="H123" i="37"/>
  <c r="H133" i="37"/>
  <c r="H147" i="37"/>
  <c r="H167" i="37"/>
  <c r="H199" i="37"/>
  <c r="H243" i="37"/>
  <c r="H262" i="37"/>
  <c r="H269" i="37"/>
  <c r="H282" i="37"/>
  <c r="H298" i="37"/>
  <c r="H171" i="37"/>
  <c r="H196" i="37"/>
  <c r="H230" i="37"/>
  <c r="H272" i="37"/>
  <c r="H312" i="37"/>
  <c r="H148" i="37"/>
  <c r="H159" i="37"/>
  <c r="H164" i="37"/>
  <c r="H182" i="37"/>
  <c r="H237" i="37"/>
  <c r="H240" i="37"/>
  <c r="H259" i="37"/>
  <c r="H299" i="37"/>
  <c r="H302" i="37"/>
  <c r="H135" i="37"/>
  <c r="H191" i="37"/>
  <c r="H227" i="37"/>
  <c r="H234" i="37"/>
  <c r="H256" i="37"/>
  <c r="H261" i="37"/>
  <c r="H266" i="37"/>
  <c r="H304" i="37"/>
  <c r="H309" i="37"/>
  <c r="H22" i="37"/>
  <c r="H121" i="37"/>
  <c r="H219" i="37"/>
  <c r="H255" i="37"/>
  <c r="H270" i="37"/>
  <c r="H288" i="37"/>
  <c r="H89" i="37"/>
  <c r="H224" i="37"/>
  <c r="H301" i="37"/>
  <c r="H283" i="37"/>
  <c r="H188" i="37"/>
  <c r="H263" i="37"/>
  <c r="H285" i="37"/>
  <c r="H296" i="37"/>
  <c r="H125" i="37"/>
  <c r="H238" i="37"/>
  <c r="H275" i="37"/>
  <c r="H286" i="37"/>
  <c r="H216" i="37"/>
  <c r="H11" i="37"/>
  <c r="H145" i="37"/>
  <c r="H258" i="37"/>
  <c r="H222" i="37"/>
  <c r="H245" i="37"/>
  <c r="H229" i="37"/>
  <c r="H37" i="37"/>
  <c r="H81" i="37"/>
  <c r="H291" i="37"/>
  <c r="H280" i="37"/>
  <c r="H177" i="37"/>
  <c r="H273" i="37"/>
  <c r="H268" i="37"/>
  <c r="H66" i="37"/>
  <c r="H90" i="37"/>
  <c r="H205" i="37"/>
  <c r="H107" i="37"/>
  <c r="H168" i="37"/>
  <c r="H287" i="37"/>
  <c r="H271" i="37"/>
  <c r="H131" i="37"/>
  <c r="H186" i="37"/>
  <c r="H249" i="37"/>
  <c r="H99" i="37"/>
  <c r="H98" i="37"/>
  <c r="H115" i="37"/>
  <c r="H181" i="37"/>
  <c r="H140" i="37"/>
  <c r="H77" i="37"/>
  <c r="H311" i="37"/>
  <c r="H112" i="37"/>
  <c r="H194" i="37"/>
  <c r="H289" i="37"/>
  <c r="H157" i="37"/>
  <c r="H105" i="37"/>
  <c r="H165" i="37"/>
  <c r="H260" i="37"/>
  <c r="H29" i="37"/>
  <c r="H257" i="37"/>
  <c r="H233" i="37"/>
  <c r="H61" i="37"/>
  <c r="H113" i="37"/>
  <c r="H176" i="37"/>
  <c r="H74" i="37"/>
  <c r="H228" i="37"/>
  <c r="H94" i="37"/>
  <c r="H48" i="37"/>
  <c r="H241" i="37"/>
  <c r="H225" i="37"/>
  <c r="H197" i="37"/>
  <c r="H52" i="37"/>
  <c r="H39" i="37"/>
  <c r="H192" i="37"/>
  <c r="H265" i="37"/>
  <c r="H84" i="37"/>
  <c r="H120" i="37"/>
  <c r="H103" i="37"/>
  <c r="H244" i="37"/>
  <c r="H160" i="37"/>
  <c r="H208" i="37"/>
  <c r="H18" i="37"/>
  <c r="H236" i="37"/>
  <c r="H198" i="37"/>
  <c r="H42" i="37"/>
  <c r="H111" i="37"/>
  <c r="H146" i="37"/>
  <c r="H71" i="37"/>
  <c r="H200" i="37"/>
  <c r="H82" i="37"/>
  <c r="H31" i="37"/>
  <c r="H55" i="37"/>
  <c r="H297" i="37"/>
  <c r="H144" i="37"/>
  <c r="H308" i="37"/>
  <c r="H155" i="37"/>
  <c r="H178" i="37"/>
  <c r="H101" i="37"/>
  <c r="H60" i="37"/>
  <c r="H13" i="37"/>
  <c r="H118" i="37"/>
  <c r="H138" i="37"/>
  <c r="H93" i="37"/>
  <c r="H87" i="37"/>
  <c r="H154" i="37"/>
  <c r="H279" i="37"/>
  <c r="H28" i="37"/>
  <c r="H210" i="37"/>
  <c r="H97" i="37"/>
  <c r="H149" i="37"/>
  <c r="H110" i="37"/>
  <c r="H217" i="37"/>
  <c r="H36" i="37"/>
  <c r="H106" i="37"/>
  <c r="H126" i="37"/>
  <c r="H7" i="37"/>
  <c r="H23" i="37"/>
  <c r="H47" i="37"/>
  <c r="H12" i="37"/>
  <c r="H114" i="37"/>
  <c r="H136" i="37"/>
  <c r="H305" i="37"/>
  <c r="H152" i="37"/>
  <c r="H202" i="37"/>
  <c r="H26" i="37"/>
  <c r="H187" i="37"/>
  <c r="H313" i="37"/>
  <c r="H300" i="37"/>
  <c r="H102" i="37"/>
  <c r="H100" i="37"/>
  <c r="H162" i="37"/>
  <c r="H252" i="37"/>
  <c r="H96" i="37"/>
  <c r="H34" i="37"/>
  <c r="H109" i="37"/>
  <c r="H63" i="37"/>
  <c r="H20" i="37"/>
  <c r="H32" i="37"/>
  <c r="H68" i="37"/>
  <c r="H276" i="37"/>
  <c r="H281" i="37"/>
  <c r="H295" i="37"/>
  <c r="H108" i="37"/>
  <c r="H166" i="37"/>
  <c r="H64" i="37"/>
  <c r="H220" i="37"/>
  <c r="H122" i="37"/>
  <c r="H92" i="37"/>
  <c r="H184" i="37"/>
  <c r="H76" i="37"/>
  <c r="H134" i="37"/>
  <c r="H104" i="37"/>
  <c r="H45" i="37"/>
  <c r="H79" i="37"/>
  <c r="H58" i="37"/>
  <c r="H15" i="37"/>
  <c r="H284" i="37"/>
  <c r="H170" i="37"/>
  <c r="H91" i="37"/>
  <c r="H80" i="37"/>
  <c r="H130" i="37"/>
  <c r="H50" i="37"/>
  <c r="H44" i="37"/>
  <c r="H212" i="37"/>
  <c r="H292" i="37"/>
  <c r="H303" i="37"/>
  <c r="H95" i="37"/>
  <c r="H142" i="37"/>
  <c r="H189" i="37"/>
  <c r="H173" i="37"/>
  <c r="H10" i="37"/>
  <c r="F25" i="33"/>
  <c r="F45" i="33"/>
  <c r="F67" i="33"/>
  <c r="F17" i="33"/>
  <c r="F107" i="33"/>
  <c r="F44" i="33"/>
  <c r="F78" i="33"/>
  <c r="F84" i="33"/>
  <c r="F21" i="33"/>
  <c r="F98" i="33"/>
  <c r="F109" i="33"/>
  <c r="F60" i="33"/>
  <c r="F174" i="33"/>
  <c r="F49" i="33"/>
  <c r="F81" i="33"/>
  <c r="F122" i="33"/>
  <c r="F128" i="33"/>
  <c r="F178" i="33"/>
  <c r="F137" i="33"/>
  <c r="F220" i="33"/>
  <c r="F230" i="33"/>
  <c r="F71" i="33"/>
  <c r="F142" i="33"/>
  <c r="F247" i="33"/>
  <c r="F150" i="33"/>
  <c r="F190" i="33"/>
  <c r="F285" i="33"/>
  <c r="F151" i="33"/>
  <c r="F182" i="33"/>
  <c r="F274" i="33"/>
  <c r="F308" i="33"/>
  <c r="F89" i="33"/>
  <c r="F196" i="33"/>
  <c r="F208" i="33"/>
  <c r="F144" i="33"/>
  <c r="F166" i="33"/>
  <c r="F259" i="33"/>
  <c r="F301" i="33"/>
  <c r="F118" i="33"/>
  <c r="F199" i="33"/>
  <c r="F265" i="33"/>
  <c r="F262" i="33"/>
  <c r="F280" i="33"/>
  <c r="F214" i="33"/>
  <c r="F140" i="33"/>
  <c r="F211" i="33"/>
  <c r="F281" i="33"/>
  <c r="F12" i="33"/>
  <c r="F269" i="33"/>
  <c r="F273" i="33"/>
  <c r="F252" i="33"/>
  <c r="F276" i="33"/>
  <c r="F290" i="33"/>
  <c r="F162" i="33"/>
  <c r="F149" i="33"/>
  <c r="F68" i="33"/>
  <c r="F70" i="33"/>
  <c r="F197" i="33"/>
  <c r="F284" i="33"/>
  <c r="F246" i="33"/>
  <c r="F200" i="33"/>
  <c r="F131" i="33"/>
  <c r="F176" i="33"/>
  <c r="F110" i="33"/>
  <c r="F59" i="33"/>
  <c r="F133" i="33"/>
  <c r="F33" i="33"/>
  <c r="F52" i="33"/>
  <c r="F31" i="33"/>
  <c r="F56" i="33"/>
  <c r="F291" i="33"/>
  <c r="F312" i="33"/>
  <c r="F282" i="33"/>
  <c r="F179" i="33"/>
  <c r="F239" i="33"/>
  <c r="F173" i="33"/>
  <c r="F41" i="33"/>
  <c r="F181" i="33"/>
  <c r="F250" i="33"/>
  <c r="F234" i="33"/>
  <c r="F115" i="33"/>
  <c r="F272" i="33"/>
  <c r="F160" i="33"/>
  <c r="F126" i="33"/>
  <c r="F74" i="33"/>
  <c r="F241" i="33"/>
  <c r="F268" i="33"/>
  <c r="F309" i="33"/>
  <c r="F266" i="33"/>
  <c r="F184" i="33"/>
  <c r="F164" i="33"/>
  <c r="F218" i="33"/>
  <c r="F93" i="33"/>
  <c r="F224" i="33"/>
  <c r="F227" i="33"/>
  <c r="F61" i="33"/>
  <c r="F97" i="33"/>
  <c r="F127" i="33"/>
  <c r="F112" i="33"/>
  <c r="F57" i="33"/>
  <c r="F11" i="33"/>
  <c r="F82" i="33"/>
  <c r="F58" i="33"/>
  <c r="F64" i="33"/>
  <c r="F38" i="33"/>
  <c r="F302" i="33"/>
  <c r="F229" i="33"/>
  <c r="F165" i="33"/>
  <c r="F101" i="33"/>
  <c r="F203" i="33"/>
  <c r="F245" i="33"/>
  <c r="F157" i="33"/>
  <c r="F104" i="33"/>
  <c r="F62" i="33"/>
  <c r="F307" i="33"/>
  <c r="F156" i="33"/>
  <c r="F87" i="33"/>
  <c r="F287" i="33"/>
  <c r="F216" i="33"/>
  <c r="F155" i="33"/>
  <c r="F242" i="33"/>
  <c r="F226" i="33"/>
  <c r="F202" i="33"/>
  <c r="F169" i="33"/>
  <c r="F86" i="33"/>
  <c r="F298" i="33"/>
  <c r="F240" i="33"/>
  <c r="F236" i="33"/>
  <c r="F193" i="33"/>
  <c r="F167" i="33"/>
  <c r="F222" i="33"/>
  <c r="F183" i="33"/>
  <c r="F124" i="33"/>
  <c r="F121" i="33"/>
  <c r="F132" i="33"/>
  <c r="F53" i="33"/>
  <c r="F23" i="33"/>
  <c r="F30" i="33"/>
  <c r="F77" i="33"/>
  <c r="F100" i="33"/>
  <c r="F50" i="33"/>
  <c r="F36" i="33"/>
  <c r="F48" i="33"/>
  <c r="F99" i="33"/>
  <c r="F15" i="33"/>
  <c r="F303" i="33"/>
  <c r="F170" i="33"/>
  <c r="F154" i="33"/>
  <c r="F106" i="33"/>
  <c r="F297" i="33"/>
  <c r="F278" i="33"/>
  <c r="F171" i="33"/>
  <c r="F92" i="33"/>
  <c r="F257" i="33"/>
  <c r="F148" i="33"/>
  <c r="F205" i="33"/>
  <c r="F277" i="33"/>
  <c r="F28" i="33"/>
  <c r="F195" i="33"/>
  <c r="F73" i="33"/>
  <c r="F79" i="33"/>
  <c r="F103" i="33"/>
  <c r="F47" i="33"/>
  <c r="F16" i="33"/>
  <c r="F188" i="33"/>
  <c r="F80" i="33"/>
  <c r="F24" i="33"/>
  <c r="F9" i="33"/>
  <c r="F22" i="33"/>
  <c r="F108" i="33"/>
  <c r="F32" i="33"/>
  <c r="F39" i="33"/>
  <c r="F311" i="33"/>
  <c r="F90" i="33"/>
  <c r="F228" i="33"/>
  <c r="F213" i="33"/>
  <c r="F163" i="33"/>
  <c r="F95" i="33"/>
  <c r="F231" i="33"/>
  <c r="F119" i="33"/>
  <c r="F258" i="33"/>
  <c r="F238" i="33"/>
  <c r="F114" i="33"/>
  <c r="F209" i="33"/>
  <c r="F153" i="33"/>
  <c r="F135" i="33"/>
  <c r="F141" i="33"/>
  <c r="F233" i="33"/>
  <c r="F130" i="33"/>
  <c r="F54" i="33"/>
  <c r="F175" i="33"/>
  <c r="F237" i="33"/>
  <c r="F161" i="33"/>
  <c r="F143" i="33"/>
  <c r="F159" i="33"/>
  <c r="F20" i="33"/>
  <c r="F147" i="33"/>
  <c r="F46" i="33"/>
  <c r="F37" i="33"/>
  <c r="F65" i="33"/>
  <c r="F13" i="33"/>
  <c r="F313" i="33"/>
  <c r="F304" i="33"/>
  <c r="F225" i="33"/>
  <c r="F206" i="33"/>
  <c r="F139" i="33"/>
  <c r="F117" i="33"/>
  <c r="F177" i="33"/>
  <c r="F88" i="33"/>
  <c r="F293" i="33"/>
  <c r="F180" i="33"/>
  <c r="F158" i="33"/>
  <c r="F123" i="33"/>
  <c r="F235" i="33"/>
  <c r="F253" i="33"/>
  <c r="F288" i="33"/>
  <c r="F299" i="33"/>
  <c r="F198" i="33"/>
  <c r="F289" i="33"/>
  <c r="F72" i="33"/>
  <c r="F134" i="33"/>
  <c r="F76" i="33"/>
  <c r="F7" i="33"/>
  <c r="F14" i="33"/>
  <c r="F305" i="33"/>
  <c r="F63" i="33"/>
  <c r="F296" i="33"/>
  <c r="F286" i="33"/>
  <c r="F243" i="33"/>
  <c r="F219" i="33"/>
  <c r="F283" i="33"/>
  <c r="F40" i="33"/>
  <c r="F187" i="33"/>
  <c r="F223" i="33"/>
  <c r="F310" i="33"/>
  <c r="F248" i="33"/>
  <c r="F261" i="33"/>
  <c r="F186" i="33"/>
  <c r="F204" i="33"/>
  <c r="F201" i="33"/>
  <c r="F138" i="33"/>
  <c r="F55" i="33"/>
  <c r="F270" i="33"/>
  <c r="F217" i="33"/>
  <c r="F275" i="33"/>
  <c r="F6" i="33"/>
  <c r="F96" i="33"/>
  <c r="F189" i="33"/>
  <c r="F102" i="33"/>
  <c r="F215" i="33"/>
  <c r="F267" i="33"/>
  <c r="F244" i="33"/>
  <c r="F113" i="33"/>
  <c r="F125" i="33"/>
  <c r="F94" i="33"/>
  <c r="F85" i="33"/>
  <c r="F18" i="33"/>
  <c r="F8" i="33"/>
  <c r="F251" i="33"/>
  <c r="F207" i="33"/>
  <c r="F29" i="33"/>
  <c r="F254" i="33"/>
  <c r="F42" i="33"/>
  <c r="F194" i="33"/>
  <c r="F111" i="33"/>
  <c r="F249" i="33"/>
  <c r="F232" i="33"/>
  <c r="F212" i="33"/>
  <c r="F66" i="33"/>
  <c r="F256" i="33"/>
  <c r="F271" i="33"/>
  <c r="F19" i="33"/>
  <c r="F295" i="33"/>
  <c r="F292" i="33"/>
  <c r="F152" i="33"/>
  <c r="F136" i="33"/>
  <c r="F43" i="33"/>
  <c r="F168" i="33"/>
  <c r="F10" i="33"/>
  <c r="F145" i="33"/>
  <c r="F264" i="33"/>
  <c r="F172" i="33"/>
  <c r="F210" i="33"/>
  <c r="F221" i="33"/>
  <c r="F192" i="33"/>
  <c r="F91" i="33"/>
  <c r="F75" i="33"/>
  <c r="F120" i="33"/>
  <c r="F51" i="33"/>
  <c r="F116" i="33"/>
  <c r="F185" i="33"/>
  <c r="F279" i="33"/>
  <c r="F83" i="33"/>
  <c r="F300" i="33"/>
  <c r="F129" i="33"/>
  <c r="F260" i="33"/>
  <c r="F306" i="33"/>
  <c r="F263" i="33"/>
  <c r="F191" i="33"/>
  <c r="F34" i="33"/>
  <c r="F105" i="33"/>
  <c r="F255" i="33"/>
  <c r="F69" i="33"/>
  <c r="F26" i="33"/>
  <c r="F294" i="33"/>
  <c r="F146" i="33"/>
  <c r="F35" i="33"/>
  <c r="F27" i="33"/>
  <c r="H2" i="33"/>
  <c r="G2" i="33"/>
  <c r="P5" i="13"/>
  <c r="H314" i="37"/>
  <c r="J2" i="33"/>
  <c r="H5" i="37"/>
  <c r="F5" i="33"/>
  <c r="I2" i="33"/>
  <c r="J21" i="33" l="1"/>
  <c r="J56" i="33"/>
  <c r="J15" i="33"/>
  <c r="J80" i="33"/>
  <c r="J8" i="33"/>
  <c r="J67" i="33"/>
  <c r="J81" i="33"/>
  <c r="J17" i="33"/>
  <c r="J7" i="33"/>
  <c r="J31" i="33"/>
  <c r="J32" i="33"/>
  <c r="J39" i="33"/>
  <c r="J13" i="33"/>
  <c r="J49" i="33"/>
  <c r="J63" i="33"/>
  <c r="J99" i="33"/>
  <c r="J110" i="33"/>
  <c r="J117" i="33"/>
  <c r="J85" i="33"/>
  <c r="J107" i="33"/>
  <c r="J142" i="33"/>
  <c r="J109" i="33"/>
  <c r="J106" i="33"/>
  <c r="J133" i="33"/>
  <c r="J134" i="33"/>
  <c r="J148" i="33"/>
  <c r="J190" i="33"/>
  <c r="J196" i="33"/>
  <c r="J147" i="33"/>
  <c r="J188" i="33"/>
  <c r="J132" i="33"/>
  <c r="J176" i="33"/>
  <c r="J214" i="33"/>
  <c r="J220" i="33"/>
  <c r="J151" i="33"/>
  <c r="J131" i="33"/>
  <c r="J257" i="33"/>
  <c r="J150" i="33"/>
  <c r="J154" i="33"/>
  <c r="J224" i="33"/>
  <c r="J135" i="33"/>
  <c r="J236" i="33"/>
  <c r="J283" i="33"/>
  <c r="J130" i="33"/>
  <c r="J218" i="33"/>
  <c r="J237" i="33"/>
  <c r="J266" i="33"/>
  <c r="J284" i="33"/>
  <c r="J285" i="33"/>
  <c r="J277" i="33"/>
  <c r="J93" i="33"/>
  <c r="J235" i="33"/>
  <c r="J174" i="33"/>
  <c r="J243" i="33"/>
  <c r="J301" i="33"/>
  <c r="J303" i="33"/>
  <c r="J234" i="33"/>
  <c r="J313" i="33"/>
  <c r="J311" i="33"/>
  <c r="J165" i="33"/>
  <c r="J267" i="33"/>
  <c r="J90" i="33"/>
  <c r="J170" i="33"/>
  <c r="J155" i="33"/>
  <c r="J115" i="33"/>
  <c r="J272" i="33"/>
  <c r="J241" i="33"/>
  <c r="J179" i="33"/>
  <c r="J101" i="33"/>
  <c r="J274" i="33"/>
  <c r="J206" i="33"/>
  <c r="J193" i="33"/>
  <c r="J312" i="33"/>
  <c r="J184" i="33"/>
  <c r="J164" i="33"/>
  <c r="J143" i="33"/>
  <c r="J55" i="33"/>
  <c r="J227" i="33"/>
  <c r="J61" i="33"/>
  <c r="J47" i="33"/>
  <c r="J88" i="33"/>
  <c r="J82" i="33"/>
  <c r="J24" i="33"/>
  <c r="J65" i="33"/>
  <c r="J38" i="33"/>
  <c r="J100" i="33"/>
  <c r="J57" i="33"/>
  <c r="J280" i="33"/>
  <c r="J281" i="33"/>
  <c r="J265" i="33"/>
  <c r="J278" i="33"/>
  <c r="J28" i="33"/>
  <c r="J247" i="33"/>
  <c r="J94" i="33"/>
  <c r="J307" i="33"/>
  <c r="J156" i="33"/>
  <c r="J252" i="33"/>
  <c r="J269" i="33"/>
  <c r="J228" i="33"/>
  <c r="J287" i="33"/>
  <c r="J216" i="33"/>
  <c r="J198" i="33"/>
  <c r="J242" i="33"/>
  <c r="J205" i="33"/>
  <c r="J222" i="33"/>
  <c r="J149" i="33"/>
  <c r="J273" i="33"/>
  <c r="J253" i="33"/>
  <c r="J203" i="33"/>
  <c r="J141" i="33"/>
  <c r="J246" i="33"/>
  <c r="J73" i="33"/>
  <c r="J183" i="33"/>
  <c r="J113" i="33"/>
  <c r="J207" i="33"/>
  <c r="J104" i="33"/>
  <c r="J53" i="33"/>
  <c r="J16" i="33"/>
  <c r="J33" i="33"/>
  <c r="J37" i="33"/>
  <c r="J77" i="33"/>
  <c r="J71" i="33"/>
  <c r="J59" i="33"/>
  <c r="J36" i="33"/>
  <c r="J12" i="33"/>
  <c r="J217" i="33"/>
  <c r="J276" i="33"/>
  <c r="J245" i="33"/>
  <c r="J162" i="33"/>
  <c r="J86" i="33"/>
  <c r="J167" i="33"/>
  <c r="J123" i="33"/>
  <c r="J305" i="33"/>
  <c r="J310" i="33"/>
  <c r="J181" i="33"/>
  <c r="J308" i="33"/>
  <c r="J250" i="33"/>
  <c r="J225" i="33"/>
  <c r="J213" i="33"/>
  <c r="J126" i="33"/>
  <c r="J74" i="33"/>
  <c r="J239" i="33"/>
  <c r="J290" i="33"/>
  <c r="J259" i="33"/>
  <c r="J72" i="33"/>
  <c r="J158" i="33"/>
  <c r="J102" i="33"/>
  <c r="J118" i="33"/>
  <c r="J62" i="33"/>
  <c r="J208" i="33"/>
  <c r="J128" i="33"/>
  <c r="J41" i="33"/>
  <c r="J70" i="33"/>
  <c r="J30" i="33"/>
  <c r="J84" i="33"/>
  <c r="J309" i="33"/>
  <c r="J270" i="33"/>
  <c r="J293" i="33"/>
  <c r="J96" i="33"/>
  <c r="J202" i="33"/>
  <c r="J219" i="33"/>
  <c r="J296" i="33"/>
  <c r="J304" i="33"/>
  <c r="J138" i="33"/>
  <c r="J58" i="33"/>
  <c r="J289" i="33"/>
  <c r="J299" i="33"/>
  <c r="J248" i="33"/>
  <c r="J262" i="33"/>
  <c r="J87" i="33"/>
  <c r="J95" i="33"/>
  <c r="J231" i="33"/>
  <c r="J258" i="33"/>
  <c r="J238" i="33"/>
  <c r="J114" i="33"/>
  <c r="J261" i="33"/>
  <c r="J201" i="33"/>
  <c r="J189" i="33"/>
  <c r="J54" i="33"/>
  <c r="J157" i="33"/>
  <c r="J230" i="33"/>
  <c r="J159" i="33"/>
  <c r="J20" i="33"/>
  <c r="J178" i="33"/>
  <c r="J68" i="33"/>
  <c r="J98" i="33"/>
  <c r="J268" i="33"/>
  <c r="J288" i="33"/>
  <c r="J215" i="33"/>
  <c r="J297" i="33"/>
  <c r="J64" i="33"/>
  <c r="J211" i="33"/>
  <c r="J275" i="33"/>
  <c r="J180" i="33"/>
  <c r="J6" i="33"/>
  <c r="J186" i="33"/>
  <c r="J298" i="33"/>
  <c r="J251" i="33"/>
  <c r="J223" i="33"/>
  <c r="J240" i="33"/>
  <c r="J175" i="33"/>
  <c r="J139" i="33"/>
  <c r="J244" i="33"/>
  <c r="J124" i="33"/>
  <c r="J137" i="33"/>
  <c r="J125" i="33"/>
  <c r="J103" i="33"/>
  <c r="J177" i="33"/>
  <c r="J23" i="33"/>
  <c r="J122" i="33"/>
  <c r="J52" i="33"/>
  <c r="J108" i="33"/>
  <c r="J18" i="33"/>
  <c r="J14" i="33"/>
  <c r="J291" i="33"/>
  <c r="J92" i="33"/>
  <c r="J48" i="33"/>
  <c r="J229" i="33"/>
  <c r="J282" i="33"/>
  <c r="J89" i="33"/>
  <c r="J140" i="33"/>
  <c r="J76" i="33"/>
  <c r="J22" i="33"/>
  <c r="J97" i="33"/>
  <c r="J195" i="33"/>
  <c r="J163" i="33"/>
  <c r="J187" i="33"/>
  <c r="J204" i="33"/>
  <c r="J112" i="33"/>
  <c r="J226" i="33"/>
  <c r="J153" i="33"/>
  <c r="J119" i="33"/>
  <c r="J199" i="33"/>
  <c r="J79" i="33"/>
  <c r="J46" i="33"/>
  <c r="J209" i="33"/>
  <c r="J40" i="33"/>
  <c r="J197" i="33"/>
  <c r="J233" i="33"/>
  <c r="J161" i="33"/>
  <c r="J127" i="33"/>
  <c r="J29" i="33"/>
  <c r="J78" i="33"/>
  <c r="J286" i="33"/>
  <c r="J182" i="33"/>
  <c r="J11" i="33"/>
  <c r="J171" i="33"/>
  <c r="J173" i="33"/>
  <c r="J45" i="33"/>
  <c r="J60" i="33"/>
  <c r="J50" i="33"/>
  <c r="J25" i="33"/>
  <c r="J169" i="33"/>
  <c r="J160" i="33"/>
  <c r="J200" i="33"/>
  <c r="J121" i="33"/>
  <c r="J144" i="33"/>
  <c r="J9" i="33"/>
  <c r="J166" i="33"/>
  <c r="J302" i="33"/>
  <c r="J44" i="33"/>
  <c r="J116" i="33"/>
  <c r="J27" i="33"/>
  <c r="J168" i="33"/>
  <c r="J91" i="33"/>
  <c r="J152" i="33"/>
  <c r="J111" i="33"/>
  <c r="J192" i="33"/>
  <c r="J295" i="33"/>
  <c r="J69" i="33"/>
  <c r="J43" i="33"/>
  <c r="J221" i="33"/>
  <c r="J51" i="33"/>
  <c r="J10" i="33"/>
  <c r="J255" i="33"/>
  <c r="J300" i="33"/>
  <c r="J120" i="33"/>
  <c r="J194" i="33"/>
  <c r="J185" i="33"/>
  <c r="J306" i="33"/>
  <c r="J35" i="33"/>
  <c r="J232" i="33"/>
  <c r="J136" i="33"/>
  <c r="J42" i="33"/>
  <c r="J210" i="33"/>
  <c r="J66" i="33"/>
  <c r="J129" i="33"/>
  <c r="J292" i="33"/>
  <c r="J294" i="33"/>
  <c r="J146" i="33"/>
  <c r="J263" i="33"/>
  <c r="J83" i="33"/>
  <c r="J212" i="33"/>
  <c r="J105" i="33"/>
  <c r="J254" i="33"/>
  <c r="J75" i="33"/>
  <c r="J26" i="33"/>
  <c r="J256" i="33"/>
  <c r="J249" i="33"/>
  <c r="J19" i="33"/>
  <c r="J271" i="33"/>
  <c r="J279" i="33"/>
  <c r="J145" i="33"/>
  <c r="J191" i="33"/>
  <c r="J264" i="33"/>
  <c r="J260" i="33"/>
  <c r="J34" i="33"/>
  <c r="J172" i="33"/>
  <c r="H15" i="33"/>
  <c r="H39" i="33"/>
  <c r="H45" i="33"/>
  <c r="H67" i="33"/>
  <c r="H14" i="33"/>
  <c r="H40" i="33"/>
  <c r="H22" i="33"/>
  <c r="H97" i="33"/>
  <c r="H100" i="33"/>
  <c r="H108" i="33"/>
  <c r="H38" i="33"/>
  <c r="H109" i="33"/>
  <c r="H144" i="33"/>
  <c r="H30" i="33"/>
  <c r="H133" i="33"/>
  <c r="H147" i="33"/>
  <c r="H13" i="33"/>
  <c r="H29" i="33"/>
  <c r="H64" i="33"/>
  <c r="H77" i="33"/>
  <c r="H188" i="33"/>
  <c r="H56" i="33"/>
  <c r="H117" i="33"/>
  <c r="H128" i="33"/>
  <c r="H138" i="33"/>
  <c r="H177" i="33"/>
  <c r="H178" i="33"/>
  <c r="H99" i="33"/>
  <c r="H227" i="33"/>
  <c r="H65" i="33"/>
  <c r="H112" i="33"/>
  <c r="H150" i="33"/>
  <c r="H47" i="33"/>
  <c r="H125" i="33"/>
  <c r="H163" i="33"/>
  <c r="H216" i="33"/>
  <c r="H287" i="33"/>
  <c r="H281" i="33"/>
  <c r="H104" i="33"/>
  <c r="H127" i="33"/>
  <c r="H237" i="33"/>
  <c r="H284" i="33"/>
  <c r="H303" i="33"/>
  <c r="H275" i="33"/>
  <c r="H304" i="33"/>
  <c r="H63" i="33"/>
  <c r="H153" i="33"/>
  <c r="H189" i="33"/>
  <c r="H196" i="33"/>
  <c r="H209" i="33"/>
  <c r="H230" i="33"/>
  <c r="H277" i="33"/>
  <c r="H290" i="33"/>
  <c r="H103" i="33"/>
  <c r="H259" i="33"/>
  <c r="H250" i="33"/>
  <c r="H55" i="33"/>
  <c r="H174" i="33"/>
  <c r="H243" i="33"/>
  <c r="H244" i="33"/>
  <c r="H48" i="33"/>
  <c r="H242" i="33"/>
  <c r="H134" i="33"/>
  <c r="H270" i="33"/>
  <c r="H156" i="33"/>
  <c r="H305" i="33"/>
  <c r="H310" i="33"/>
  <c r="H248" i="33"/>
  <c r="H213" i="33"/>
  <c r="H92" i="33"/>
  <c r="H234" i="33"/>
  <c r="H160" i="33"/>
  <c r="H74" i="33"/>
  <c r="H114" i="33"/>
  <c r="H239" i="33"/>
  <c r="H208" i="33"/>
  <c r="H157" i="33"/>
  <c r="H167" i="33"/>
  <c r="H233" i="33"/>
  <c r="H183" i="33"/>
  <c r="H158" i="33"/>
  <c r="H93" i="33"/>
  <c r="H224" i="33"/>
  <c r="H151" i="33"/>
  <c r="H102" i="33"/>
  <c r="H41" i="33"/>
  <c r="H71" i="33"/>
  <c r="H85" i="33"/>
  <c r="H107" i="33"/>
  <c r="H36" i="33"/>
  <c r="H21" i="33"/>
  <c r="H12" i="33"/>
  <c r="H8" i="33"/>
  <c r="H241" i="33"/>
  <c r="H169" i="33"/>
  <c r="H139" i="33"/>
  <c r="H190" i="33"/>
  <c r="H72" i="33"/>
  <c r="H121" i="33"/>
  <c r="H311" i="33"/>
  <c r="H288" i="33"/>
  <c r="H299" i="33"/>
  <c r="H171" i="33"/>
  <c r="H6" i="33"/>
  <c r="H265" i="33"/>
  <c r="H276" i="33"/>
  <c r="H96" i="33"/>
  <c r="H162" i="33"/>
  <c r="H101" i="33"/>
  <c r="H302" i="33"/>
  <c r="H118" i="33"/>
  <c r="H17" i="33"/>
  <c r="H25" i="33"/>
  <c r="H286" i="33"/>
  <c r="H231" i="33"/>
  <c r="H207" i="33"/>
  <c r="H291" i="33"/>
  <c r="H195" i="33"/>
  <c r="H269" i="33"/>
  <c r="H198" i="33"/>
  <c r="H115" i="33"/>
  <c r="H179" i="33"/>
  <c r="H312" i="33"/>
  <c r="H214" i="33"/>
  <c r="H28" i="33"/>
  <c r="H268" i="33"/>
  <c r="H289" i="33"/>
  <c r="H272" i="33"/>
  <c r="H308" i="33"/>
  <c r="H280" i="33"/>
  <c r="H200" i="33"/>
  <c r="H164" i="33"/>
  <c r="H218" i="33"/>
  <c r="H154" i="33"/>
  <c r="H176" i="33"/>
  <c r="H61" i="33"/>
  <c r="H148" i="33"/>
  <c r="H94" i="33"/>
  <c r="H88" i="33"/>
  <c r="H11" i="33"/>
  <c r="H58" i="33"/>
  <c r="H9" i="33"/>
  <c r="H59" i="33"/>
  <c r="H7" i="33"/>
  <c r="H44" i="33"/>
  <c r="H297" i="33"/>
  <c r="H278" i="33"/>
  <c r="H87" i="33"/>
  <c r="H226" i="33"/>
  <c r="H149" i="33"/>
  <c r="H124" i="33"/>
  <c r="H235" i="33"/>
  <c r="H53" i="33"/>
  <c r="H203" i="33"/>
  <c r="H266" i="33"/>
  <c r="H215" i="33"/>
  <c r="H274" i="33"/>
  <c r="H225" i="33"/>
  <c r="H182" i="33"/>
  <c r="H217" i="33"/>
  <c r="H229" i="33"/>
  <c r="H180" i="33"/>
  <c r="H186" i="33"/>
  <c r="H282" i="33"/>
  <c r="H251" i="33"/>
  <c r="H223" i="33"/>
  <c r="H173" i="33"/>
  <c r="H86" i="33"/>
  <c r="H296" i="33"/>
  <c r="H240" i="33"/>
  <c r="H181" i="33"/>
  <c r="H197" i="33"/>
  <c r="H140" i="33"/>
  <c r="H161" i="33"/>
  <c r="H143" i="33"/>
  <c r="H142" i="33"/>
  <c r="H62" i="33"/>
  <c r="H106" i="33"/>
  <c r="H23" i="33"/>
  <c r="H122" i="33"/>
  <c r="H33" i="33"/>
  <c r="H76" i="33"/>
  <c r="H52" i="33"/>
  <c r="H57" i="33"/>
  <c r="H18" i="33"/>
  <c r="H313" i="33"/>
  <c r="H205" i="33"/>
  <c r="H187" i="33"/>
  <c r="H301" i="33"/>
  <c r="H166" i="33"/>
  <c r="H89" i="33"/>
  <c r="H309" i="33"/>
  <c r="H206" i="33"/>
  <c r="H285" i="33"/>
  <c r="H204" i="33"/>
  <c r="H184" i="33"/>
  <c r="H201" i="33"/>
  <c r="H131" i="33"/>
  <c r="H113" i="33"/>
  <c r="H79" i="33"/>
  <c r="H110" i="33"/>
  <c r="H16" i="33"/>
  <c r="H130" i="33"/>
  <c r="H123" i="33"/>
  <c r="H24" i="33"/>
  <c r="H60" i="33"/>
  <c r="H78" i="33"/>
  <c r="H236" i="33"/>
  <c r="H90" i="33"/>
  <c r="H211" i="33"/>
  <c r="H298" i="33"/>
  <c r="H199" i="33"/>
  <c r="H82" i="33"/>
  <c r="H84" i="33"/>
  <c r="H135" i="33"/>
  <c r="H262" i="33"/>
  <c r="H70" i="33"/>
  <c r="H293" i="33"/>
  <c r="H246" i="33"/>
  <c r="H73" i="33"/>
  <c r="H20" i="33"/>
  <c r="H68" i="33"/>
  <c r="H37" i="33"/>
  <c r="H222" i="33"/>
  <c r="H175" i="33"/>
  <c r="H159" i="33"/>
  <c r="H46" i="33"/>
  <c r="H54" i="33"/>
  <c r="H307" i="33"/>
  <c r="H267" i="33"/>
  <c r="H50" i="33"/>
  <c r="H283" i="33"/>
  <c r="H155" i="33"/>
  <c r="H165" i="33"/>
  <c r="H202" i="33"/>
  <c r="H253" i="33"/>
  <c r="H170" i="33"/>
  <c r="H273" i="33"/>
  <c r="H98" i="33"/>
  <c r="H32" i="33"/>
  <c r="H49" i="33"/>
  <c r="H258" i="33"/>
  <c r="H247" i="33"/>
  <c r="H245" i="33"/>
  <c r="H220" i="33"/>
  <c r="H137" i="33"/>
  <c r="H81" i="33"/>
  <c r="H31" i="33"/>
  <c r="H228" i="33"/>
  <c r="H95" i="33"/>
  <c r="H238" i="33"/>
  <c r="H141" i="33"/>
  <c r="H261" i="33"/>
  <c r="H132" i="33"/>
  <c r="H80" i="33"/>
  <c r="H119" i="33"/>
  <c r="H219" i="33"/>
  <c r="H252" i="33"/>
  <c r="H257" i="33"/>
  <c r="H126" i="33"/>
  <c r="H193" i="33"/>
  <c r="H300" i="33"/>
  <c r="H75" i="33"/>
  <c r="H69" i="33"/>
  <c r="H292" i="33"/>
  <c r="H43" i="33"/>
  <c r="H152" i="33"/>
  <c r="H255" i="33"/>
  <c r="H42" i="33"/>
  <c r="H129" i="33"/>
  <c r="H294" i="33"/>
  <c r="H306" i="33"/>
  <c r="H232" i="33"/>
  <c r="H254" i="33"/>
  <c r="H66" i="33"/>
  <c r="H116" i="33"/>
  <c r="H172" i="33"/>
  <c r="H260" i="33"/>
  <c r="H19" i="33"/>
  <c r="H279" i="33"/>
  <c r="H26" i="33"/>
  <c r="H83" i="33"/>
  <c r="H136" i="33"/>
  <c r="H51" i="33"/>
  <c r="H191" i="33"/>
  <c r="H210" i="33"/>
  <c r="H221" i="33"/>
  <c r="H249" i="33"/>
  <c r="H192" i="33"/>
  <c r="H271" i="33"/>
  <c r="H91" i="33"/>
  <c r="H35" i="33"/>
  <c r="H264" i="33"/>
  <c r="H194" i="33"/>
  <c r="H105" i="33"/>
  <c r="H34" i="33"/>
  <c r="H120" i="33"/>
  <c r="H27" i="33"/>
  <c r="H212" i="33"/>
  <c r="H256" i="33"/>
  <c r="H111" i="33"/>
  <c r="H168" i="33"/>
  <c r="H10" i="33"/>
  <c r="H263" i="33"/>
  <c r="H145" i="33"/>
  <c r="H295" i="33"/>
  <c r="H185" i="33"/>
  <c r="H146" i="33"/>
  <c r="I56" i="33"/>
  <c r="I29" i="33"/>
  <c r="I58" i="33"/>
  <c r="I81" i="33"/>
  <c r="I45" i="33"/>
  <c r="I40" i="33"/>
  <c r="I44" i="33"/>
  <c r="I142" i="33"/>
  <c r="I98" i="33"/>
  <c r="I108" i="33"/>
  <c r="I144" i="33"/>
  <c r="I118" i="33"/>
  <c r="I125" i="33"/>
  <c r="I147" i="33"/>
  <c r="I201" i="33"/>
  <c r="I207" i="33"/>
  <c r="I208" i="33"/>
  <c r="I214" i="33"/>
  <c r="I128" i="33"/>
  <c r="I177" i="33"/>
  <c r="I235" i="33"/>
  <c r="I104" i="33"/>
  <c r="I312" i="33"/>
  <c r="I130" i="33"/>
  <c r="I190" i="33"/>
  <c r="I246" i="33"/>
  <c r="I247" i="33"/>
  <c r="I285" i="33"/>
  <c r="I166" i="33"/>
  <c r="I195" i="33"/>
  <c r="I80" i="33"/>
  <c r="I127" i="33"/>
  <c r="I149" i="33"/>
  <c r="I175" i="33"/>
  <c r="I202" i="33"/>
  <c r="I245" i="33"/>
  <c r="I290" i="33"/>
  <c r="I242" i="33"/>
  <c r="I110" i="33"/>
  <c r="I258" i="33"/>
  <c r="I291" i="33"/>
  <c r="I299" i="33"/>
  <c r="I273" i="33"/>
  <c r="I261" i="33"/>
  <c r="I287" i="33"/>
  <c r="I216" i="33"/>
  <c r="I198" i="33"/>
  <c r="I304" i="33"/>
  <c r="I205" i="33"/>
  <c r="I126" i="33"/>
  <c r="I222" i="33"/>
  <c r="I259" i="33"/>
  <c r="I302" i="33"/>
  <c r="I253" i="33"/>
  <c r="I141" i="33"/>
  <c r="I266" i="33"/>
  <c r="I73" i="33"/>
  <c r="I196" i="33"/>
  <c r="I161" i="33"/>
  <c r="I113" i="33"/>
  <c r="I159" i="33"/>
  <c r="I137" i="33"/>
  <c r="I99" i="33"/>
  <c r="I53" i="33"/>
  <c r="I16" i="33"/>
  <c r="I112" i="33"/>
  <c r="I67" i="33"/>
  <c r="I37" i="33"/>
  <c r="I60" i="33"/>
  <c r="I49" i="33"/>
  <c r="I252" i="33"/>
  <c r="I171" i="33"/>
  <c r="I95" i="33"/>
  <c r="I283" i="33"/>
  <c r="I262" i="33"/>
  <c r="I200" i="33"/>
  <c r="I183" i="33"/>
  <c r="I134" i="33"/>
  <c r="I11" i="33"/>
  <c r="I270" i="33"/>
  <c r="I215" i="33"/>
  <c r="I248" i="33"/>
  <c r="I213" i="33"/>
  <c r="I87" i="33"/>
  <c r="I155" i="33"/>
  <c r="I226" i="33"/>
  <c r="I203" i="33"/>
  <c r="I114" i="33"/>
  <c r="I223" i="33"/>
  <c r="I169" i="33"/>
  <c r="I197" i="33"/>
  <c r="I86" i="33"/>
  <c r="I289" i="33"/>
  <c r="I236" i="33"/>
  <c r="I193" i="33"/>
  <c r="I167" i="33"/>
  <c r="I284" i="33"/>
  <c r="I225" i="33"/>
  <c r="I72" i="33"/>
  <c r="I158" i="33"/>
  <c r="I132" i="33"/>
  <c r="I76" i="33"/>
  <c r="I12" i="33"/>
  <c r="I148" i="33"/>
  <c r="I102" i="33"/>
  <c r="I133" i="33"/>
  <c r="I41" i="33"/>
  <c r="I18" i="33"/>
  <c r="I30" i="33"/>
  <c r="I7" i="33"/>
  <c r="I100" i="33"/>
  <c r="I85" i="33"/>
  <c r="I8" i="33"/>
  <c r="I307" i="33"/>
  <c r="I186" i="33"/>
  <c r="I187" i="33"/>
  <c r="I268" i="33"/>
  <c r="I274" i="33"/>
  <c r="I204" i="33"/>
  <c r="I224" i="33"/>
  <c r="I79" i="33"/>
  <c r="I88" i="33"/>
  <c r="I313" i="33"/>
  <c r="I311" i="33"/>
  <c r="I288" i="33"/>
  <c r="I303" i="33"/>
  <c r="I234" i="33"/>
  <c r="I180" i="33"/>
  <c r="I265" i="33"/>
  <c r="I276" i="33"/>
  <c r="I96" i="33"/>
  <c r="I162" i="33"/>
  <c r="I101" i="33"/>
  <c r="I241" i="33"/>
  <c r="I93" i="33"/>
  <c r="I220" i="33"/>
  <c r="I123" i="33"/>
  <c r="I82" i="33"/>
  <c r="I64" i="33"/>
  <c r="I31" i="33"/>
  <c r="I17" i="33"/>
  <c r="I25" i="33"/>
  <c r="I305" i="33"/>
  <c r="I269" i="33"/>
  <c r="I160" i="33"/>
  <c r="I240" i="33"/>
  <c r="I140" i="33"/>
  <c r="I218" i="33"/>
  <c r="I63" i="33"/>
  <c r="I46" i="33"/>
  <c r="I301" i="33"/>
  <c r="I90" i="33"/>
  <c r="I228" i="33"/>
  <c r="I211" i="33"/>
  <c r="I163" i="33"/>
  <c r="I275" i="33"/>
  <c r="I6" i="33"/>
  <c r="I165" i="33"/>
  <c r="I309" i="33"/>
  <c r="I181" i="33"/>
  <c r="I153" i="33"/>
  <c r="I219" i="33"/>
  <c r="I154" i="33"/>
  <c r="I139" i="33"/>
  <c r="I233" i="33"/>
  <c r="I244" i="33"/>
  <c r="I124" i="33"/>
  <c r="I243" i="33"/>
  <c r="I138" i="33"/>
  <c r="I77" i="33"/>
  <c r="I117" i="33"/>
  <c r="I174" i="33"/>
  <c r="I65" i="33"/>
  <c r="I13" i="33"/>
  <c r="I14" i="33"/>
  <c r="I298" i="33"/>
  <c r="I156" i="33"/>
  <c r="I286" i="33"/>
  <c r="I310" i="33"/>
  <c r="I267" i="33"/>
  <c r="I182" i="33"/>
  <c r="I92" i="33"/>
  <c r="I257" i="33"/>
  <c r="I217" i="33"/>
  <c r="I115" i="33"/>
  <c r="I229" i="33"/>
  <c r="I293" i="33"/>
  <c r="I282" i="33"/>
  <c r="I178" i="33"/>
  <c r="I173" i="33"/>
  <c r="I280" i="33"/>
  <c r="I250" i="33"/>
  <c r="I189" i="33"/>
  <c r="I199" i="33"/>
  <c r="I230" i="33"/>
  <c r="I62" i="33"/>
  <c r="I94" i="33"/>
  <c r="I33" i="33"/>
  <c r="I55" i="33"/>
  <c r="I57" i="33"/>
  <c r="I50" i="33"/>
  <c r="I296" i="33"/>
  <c r="I150" i="33"/>
  <c r="I176" i="33"/>
  <c r="I61" i="33"/>
  <c r="I52" i="33"/>
  <c r="I15" i="33"/>
  <c r="I109" i="33"/>
  <c r="I39" i="33"/>
  <c r="I231" i="33"/>
  <c r="I238" i="33"/>
  <c r="I251" i="33"/>
  <c r="I277" i="33"/>
  <c r="I89" i="33"/>
  <c r="I206" i="33"/>
  <c r="I237" i="33"/>
  <c r="I84" i="33"/>
  <c r="I97" i="33"/>
  <c r="I70" i="33"/>
  <c r="I119" i="33"/>
  <c r="I135" i="33"/>
  <c r="I157" i="33"/>
  <c r="I24" i="33"/>
  <c r="I297" i="33"/>
  <c r="I272" i="33"/>
  <c r="I54" i="33"/>
  <c r="I20" i="33"/>
  <c r="I103" i="33"/>
  <c r="I68" i="33"/>
  <c r="I71" i="33"/>
  <c r="I107" i="33"/>
  <c r="I21" i="33"/>
  <c r="I278" i="33"/>
  <c r="I23" i="33"/>
  <c r="I78" i="33"/>
  <c r="I281" i="33"/>
  <c r="I121" i="33"/>
  <c r="I179" i="33"/>
  <c r="I28" i="33"/>
  <c r="I131" i="33"/>
  <c r="I143" i="33"/>
  <c r="I227" i="33"/>
  <c r="I47" i="33"/>
  <c r="I9" i="33"/>
  <c r="I170" i="33"/>
  <c r="I106" i="33"/>
  <c r="I59" i="33"/>
  <c r="I38" i="33"/>
  <c r="I48" i="33"/>
  <c r="I74" i="33"/>
  <c r="I32" i="33"/>
  <c r="I308" i="33"/>
  <c r="I184" i="33"/>
  <c r="I164" i="33"/>
  <c r="I188" i="33"/>
  <c r="I122" i="33"/>
  <c r="I22" i="33"/>
  <c r="I36" i="33"/>
  <c r="I239" i="33"/>
  <c r="I209" i="33"/>
  <c r="I151" i="33"/>
  <c r="I152" i="33"/>
  <c r="I51" i="33"/>
  <c r="I256" i="33"/>
  <c r="I260" i="33"/>
  <c r="I264" i="33"/>
  <c r="I83" i="33"/>
  <c r="I300" i="33"/>
  <c r="I27" i="33"/>
  <c r="I172" i="33"/>
  <c r="I194" i="33"/>
  <c r="I111" i="33"/>
  <c r="I279" i="33"/>
  <c r="I191" i="33"/>
  <c r="I145" i="33"/>
  <c r="I69" i="33"/>
  <c r="I212" i="33"/>
  <c r="I146" i="33"/>
  <c r="I34" i="33"/>
  <c r="I294" i="33"/>
  <c r="I75" i="33"/>
  <c r="I120" i="33"/>
  <c r="I185" i="33"/>
  <c r="I249" i="33"/>
  <c r="I35" i="33"/>
  <c r="I105" i="33"/>
  <c r="I295" i="33"/>
  <c r="I136" i="33"/>
  <c r="I254" i="33"/>
  <c r="I26" i="33"/>
  <c r="I129" i="33"/>
  <c r="I292" i="33"/>
  <c r="I306" i="33"/>
  <c r="I10" i="33"/>
  <c r="I263" i="33"/>
  <c r="I255" i="33"/>
  <c r="I116" i="33"/>
  <c r="I210" i="33"/>
  <c r="I271" i="33"/>
  <c r="I91" i="33"/>
  <c r="I232" i="33"/>
  <c r="I221" i="33"/>
  <c r="I42" i="33"/>
  <c r="I43" i="33"/>
  <c r="I192" i="33"/>
  <c r="I19" i="33"/>
  <c r="I66" i="33"/>
  <c r="I168" i="33"/>
  <c r="G8" i="33"/>
  <c r="G14" i="33"/>
  <c r="G40" i="33"/>
  <c r="G99" i="33"/>
  <c r="G25" i="33"/>
  <c r="G56" i="33"/>
  <c r="G65" i="33"/>
  <c r="G48" i="33"/>
  <c r="G107" i="33"/>
  <c r="G144" i="33"/>
  <c r="G82" i="33"/>
  <c r="G133" i="33"/>
  <c r="G147" i="33"/>
  <c r="G174" i="33"/>
  <c r="G70" i="33"/>
  <c r="G59" i="33"/>
  <c r="G100" i="33"/>
  <c r="G117" i="33"/>
  <c r="G140" i="33"/>
  <c r="G214" i="33"/>
  <c r="G18" i="33"/>
  <c r="G97" i="33"/>
  <c r="G227" i="33"/>
  <c r="G235" i="33"/>
  <c r="G76" i="33"/>
  <c r="G137" i="33"/>
  <c r="G230" i="33"/>
  <c r="G81" i="33"/>
  <c r="G151" i="33"/>
  <c r="G122" i="33"/>
  <c r="G142" i="33"/>
  <c r="G157" i="33"/>
  <c r="G246" i="33"/>
  <c r="G247" i="33"/>
  <c r="G284" i="33"/>
  <c r="G84" i="33"/>
  <c r="G163" i="33"/>
  <c r="G207" i="33"/>
  <c r="G287" i="33"/>
  <c r="G189" i="33"/>
  <c r="G58" i="33"/>
  <c r="G244" i="33"/>
  <c r="G301" i="33"/>
  <c r="G95" i="33"/>
  <c r="G158" i="33"/>
  <c r="G216" i="33"/>
  <c r="G24" i="33"/>
  <c r="G245" i="33"/>
  <c r="G67" i="33"/>
  <c r="G183" i="33"/>
  <c r="G208" i="33"/>
  <c r="G148" i="33"/>
  <c r="G164" i="33"/>
  <c r="G198" i="33"/>
  <c r="G201" i="33"/>
  <c r="G251" i="33"/>
  <c r="G275" i="33"/>
  <c r="G304" i="33"/>
  <c r="G312" i="33"/>
  <c r="G261" i="33"/>
  <c r="G288" i="33"/>
  <c r="G215" i="33"/>
  <c r="G228" i="33"/>
  <c r="G182" i="33"/>
  <c r="G242" i="33"/>
  <c r="G226" i="33"/>
  <c r="G6" i="33"/>
  <c r="G265" i="33"/>
  <c r="G223" i="33"/>
  <c r="G96" i="33"/>
  <c r="G169" i="33"/>
  <c r="G289" i="33"/>
  <c r="G237" i="33"/>
  <c r="G72" i="33"/>
  <c r="G54" i="33"/>
  <c r="G218" i="33"/>
  <c r="G125" i="33"/>
  <c r="G127" i="33"/>
  <c r="G11" i="33"/>
  <c r="G77" i="33"/>
  <c r="G7" i="33"/>
  <c r="G250" i="33"/>
  <c r="G257" i="33"/>
  <c r="G211" i="33"/>
  <c r="G180" i="33"/>
  <c r="G236" i="33"/>
  <c r="G220" i="33"/>
  <c r="G132" i="33"/>
  <c r="G118" i="33"/>
  <c r="G291" i="33"/>
  <c r="G313" i="33"/>
  <c r="G305" i="33"/>
  <c r="G310" i="33"/>
  <c r="G308" i="33"/>
  <c r="G302" i="33"/>
  <c r="G179" i="33"/>
  <c r="G239" i="33"/>
  <c r="G290" i="33"/>
  <c r="G259" i="33"/>
  <c r="G202" i="33"/>
  <c r="G28" i="33"/>
  <c r="G200" i="33"/>
  <c r="G196" i="33"/>
  <c r="G131" i="33"/>
  <c r="G154" i="33"/>
  <c r="G121" i="33"/>
  <c r="G176" i="33"/>
  <c r="G88" i="33"/>
  <c r="G44" i="33"/>
  <c r="G31" i="33"/>
  <c r="G49" i="33"/>
  <c r="G141" i="33"/>
  <c r="G181" i="33"/>
  <c r="G225" i="33"/>
  <c r="G134" i="33"/>
  <c r="G155" i="33"/>
  <c r="G126" i="33"/>
  <c r="G20" i="33"/>
  <c r="G128" i="33"/>
  <c r="G270" i="33"/>
  <c r="G297" i="33"/>
  <c r="G252" i="33"/>
  <c r="G171" i="33"/>
  <c r="G143" i="33"/>
  <c r="G272" i="33"/>
  <c r="G160" i="33"/>
  <c r="G281" i="33"/>
  <c r="G186" i="33"/>
  <c r="G241" i="33"/>
  <c r="G222" i="33"/>
  <c r="G149" i="33"/>
  <c r="G197" i="33"/>
  <c r="G203" i="33"/>
  <c r="G139" i="33"/>
  <c r="G266" i="33"/>
  <c r="G184" i="33"/>
  <c r="G190" i="33"/>
  <c r="G224" i="33"/>
  <c r="G138" i="33"/>
  <c r="G104" i="33"/>
  <c r="G63" i="33"/>
  <c r="G112" i="33"/>
  <c r="G29" i="33"/>
  <c r="G38" i="33"/>
  <c r="G74" i="33"/>
  <c r="G193" i="33"/>
  <c r="G238" i="33"/>
  <c r="G23" i="33"/>
  <c r="G276" i="33"/>
  <c r="G167" i="33"/>
  <c r="G307" i="33"/>
  <c r="G286" i="33"/>
  <c r="G119" i="33"/>
  <c r="G296" i="33"/>
  <c r="G309" i="33"/>
  <c r="G187" i="33"/>
  <c r="G209" i="33"/>
  <c r="G166" i="33"/>
  <c r="G135" i="33"/>
  <c r="G89" i="33"/>
  <c r="G283" i="33"/>
  <c r="G206" i="33"/>
  <c r="G269" i="33"/>
  <c r="G204" i="33"/>
  <c r="G199" i="33"/>
  <c r="G175" i="33"/>
  <c r="G113" i="33"/>
  <c r="G130" i="33"/>
  <c r="G123" i="33"/>
  <c r="G94" i="33"/>
  <c r="G46" i="33"/>
  <c r="G37" i="33"/>
  <c r="G60" i="33"/>
  <c r="G78" i="33"/>
  <c r="G55" i="33"/>
  <c r="G50" i="33"/>
  <c r="G45" i="33"/>
  <c r="G299" i="33"/>
  <c r="G248" i="33"/>
  <c r="G274" i="33"/>
  <c r="G262" i="33"/>
  <c r="G170" i="33"/>
  <c r="G165" i="33"/>
  <c r="G277" i="33"/>
  <c r="G219" i="33"/>
  <c r="G293" i="33"/>
  <c r="G253" i="33"/>
  <c r="G195" i="33"/>
  <c r="G268" i="33"/>
  <c r="G73" i="33"/>
  <c r="G177" i="33"/>
  <c r="G61" i="33"/>
  <c r="G47" i="33"/>
  <c r="G150" i="33"/>
  <c r="G102" i="33"/>
  <c r="G68" i="33"/>
  <c r="G80" i="33"/>
  <c r="G9" i="33"/>
  <c r="G71" i="33"/>
  <c r="G22" i="33"/>
  <c r="G85" i="33"/>
  <c r="G32" i="33"/>
  <c r="G21" i="33"/>
  <c r="G39" i="33"/>
  <c r="G311" i="33"/>
  <c r="G303" i="33"/>
  <c r="G298" i="33"/>
  <c r="G162" i="33"/>
  <c r="G243" i="33"/>
  <c r="G79" i="33"/>
  <c r="G178" i="33"/>
  <c r="G12" i="33"/>
  <c r="G41" i="33"/>
  <c r="G173" i="33"/>
  <c r="G90" i="33"/>
  <c r="G213" i="33"/>
  <c r="G92" i="33"/>
  <c r="G110" i="33"/>
  <c r="G30" i="33"/>
  <c r="G273" i="33"/>
  <c r="G161" i="33"/>
  <c r="G62" i="33"/>
  <c r="G285" i="33"/>
  <c r="G280" i="33"/>
  <c r="G87" i="33"/>
  <c r="G231" i="33"/>
  <c r="G205" i="33"/>
  <c r="G153" i="33"/>
  <c r="G109" i="33"/>
  <c r="G57" i="33"/>
  <c r="G159" i="33"/>
  <c r="G17" i="33"/>
  <c r="G64" i="33"/>
  <c r="G234" i="33"/>
  <c r="G106" i="33"/>
  <c r="G278" i="33"/>
  <c r="G115" i="33"/>
  <c r="G114" i="33"/>
  <c r="G86" i="33"/>
  <c r="G240" i="33"/>
  <c r="G267" i="33"/>
  <c r="G124" i="33"/>
  <c r="G16" i="33"/>
  <c r="G98" i="33"/>
  <c r="G36" i="33"/>
  <c r="G13" i="33"/>
  <c r="G156" i="33"/>
  <c r="G217" i="33"/>
  <c r="G229" i="33"/>
  <c r="G282" i="33"/>
  <c r="G101" i="33"/>
  <c r="G93" i="33"/>
  <c r="G52" i="33"/>
  <c r="G15" i="33"/>
  <c r="G188" i="33"/>
  <c r="G258" i="33"/>
  <c r="G233" i="33"/>
  <c r="G103" i="33"/>
  <c r="G53" i="33"/>
  <c r="G33" i="33"/>
  <c r="G108" i="33"/>
  <c r="G83" i="33"/>
  <c r="G255" i="33"/>
  <c r="G129" i="33"/>
  <c r="G306" i="33"/>
  <c r="G263" i="33"/>
  <c r="G75" i="33"/>
  <c r="G116" i="33"/>
  <c r="G260" i="33"/>
  <c r="G168" i="33"/>
  <c r="G146" i="33"/>
  <c r="G145" i="33"/>
  <c r="G34" i="33"/>
  <c r="G249" i="33"/>
  <c r="G42" i="33"/>
  <c r="G27" i="33"/>
  <c r="G256" i="33"/>
  <c r="G111" i="33"/>
  <c r="G294" i="33"/>
  <c r="G295" i="33"/>
  <c r="G91" i="33"/>
  <c r="G105" i="33"/>
  <c r="G254" i="33"/>
  <c r="G43" i="33"/>
  <c r="G26" i="33"/>
  <c r="G212" i="33"/>
  <c r="G271" i="33"/>
  <c r="G10" i="33"/>
  <c r="G300" i="33"/>
  <c r="G264" i="33"/>
  <c r="G194" i="33"/>
  <c r="G191" i="33"/>
  <c r="G232" i="33"/>
  <c r="G69" i="33"/>
  <c r="G51" i="33"/>
  <c r="G292" i="33"/>
  <c r="G221" i="33"/>
  <c r="G192" i="33"/>
  <c r="G279" i="33"/>
  <c r="G19" i="33"/>
  <c r="G152" i="33"/>
  <c r="G136" i="33"/>
  <c r="G66" i="33"/>
  <c r="G172" i="33"/>
  <c r="G210" i="33"/>
  <c r="G185" i="33"/>
  <c r="G120" i="33"/>
  <c r="G35" i="33"/>
  <c r="G5" i="33"/>
  <c r="H4" i="12"/>
  <c r="J5" i="33"/>
  <c r="H5" i="33"/>
  <c r="I5" i="33"/>
  <c r="K273" i="33" l="1"/>
  <c r="L273" i="33" s="1"/>
  <c r="K37" i="33"/>
  <c r="L37" i="33" s="1"/>
  <c r="K187" i="33"/>
  <c r="L187" i="33" s="1"/>
  <c r="K19" i="33"/>
  <c r="L19" i="33" s="1"/>
  <c r="K204" i="33"/>
  <c r="L204" i="33" s="1"/>
  <c r="K202" i="33"/>
  <c r="L202" i="33" s="1"/>
  <c r="K81" i="33"/>
  <c r="L81" i="33" s="1"/>
  <c r="K133" i="33"/>
  <c r="L133" i="33" s="1"/>
  <c r="K210" i="33"/>
  <c r="L210" i="33" s="1"/>
  <c r="K229" i="33"/>
  <c r="L229" i="33" s="1"/>
  <c r="K74" i="33"/>
  <c r="L74" i="33" s="1"/>
  <c r="K98" i="33"/>
  <c r="L98" i="33" s="1"/>
  <c r="K261" i="33"/>
  <c r="L261" i="33" s="1"/>
  <c r="K84" i="33"/>
  <c r="L84" i="33" s="1"/>
  <c r="K312" i="33"/>
  <c r="L312" i="33" s="1"/>
  <c r="K226" i="33"/>
  <c r="L226" i="33" s="1"/>
  <c r="K278" i="33"/>
  <c r="L278" i="33" s="1"/>
  <c r="K102" i="33"/>
  <c r="L102" i="33" s="1"/>
  <c r="K301" i="33"/>
  <c r="L301" i="33" s="1"/>
  <c r="K300" i="33"/>
  <c r="L300" i="33" s="1"/>
  <c r="K267" i="33"/>
  <c r="L267" i="33" s="1"/>
  <c r="K219" i="33"/>
  <c r="L219" i="33" s="1"/>
  <c r="K283" i="33"/>
  <c r="L283" i="33" s="1"/>
  <c r="K190" i="33"/>
  <c r="L190" i="33" s="1"/>
  <c r="K118" i="33"/>
  <c r="L118" i="33" s="1"/>
  <c r="K58" i="33"/>
  <c r="L58" i="33" s="1"/>
  <c r="K8" i="33"/>
  <c r="L8" i="33" s="1"/>
  <c r="K153" i="33"/>
  <c r="L153" i="33" s="1"/>
  <c r="K143" i="33"/>
  <c r="L143" i="33" s="1"/>
  <c r="K214" i="33"/>
  <c r="L214" i="33" s="1"/>
  <c r="K189" i="33"/>
  <c r="L189" i="33" s="1"/>
  <c r="K191" i="33"/>
  <c r="L191" i="33" s="1"/>
  <c r="K23" i="33"/>
  <c r="L23" i="33" s="1"/>
  <c r="K88" i="33"/>
  <c r="L88" i="33" s="1"/>
  <c r="K213" i="33"/>
  <c r="L213" i="33" s="1"/>
  <c r="K50" i="33"/>
  <c r="L50" i="33" s="1"/>
  <c r="K105" i="33"/>
  <c r="L105" i="33" s="1"/>
  <c r="K293" i="33"/>
  <c r="L293" i="33" s="1"/>
  <c r="K72" i="33"/>
  <c r="L72" i="33" s="1"/>
  <c r="K144" i="33"/>
  <c r="L144" i="33" s="1"/>
  <c r="K78" i="33"/>
  <c r="L78" i="33" s="1"/>
  <c r="K43" i="33"/>
  <c r="L43" i="33" s="1"/>
  <c r="K116" i="33"/>
  <c r="L116" i="33" s="1"/>
  <c r="K33" i="33"/>
  <c r="L33" i="33" s="1"/>
  <c r="K93" i="33"/>
  <c r="L93" i="33" s="1"/>
  <c r="K39" i="33"/>
  <c r="L39" i="33" s="1"/>
  <c r="K195" i="33"/>
  <c r="L195" i="33" s="1"/>
  <c r="K274" i="33"/>
  <c r="L274" i="33" s="1"/>
  <c r="K104" i="33"/>
  <c r="L104" i="33" s="1"/>
  <c r="K197" i="33"/>
  <c r="L197" i="33" s="1"/>
  <c r="K211" i="33"/>
  <c r="L211" i="33" s="1"/>
  <c r="K95" i="33"/>
  <c r="L95" i="33" s="1"/>
  <c r="K254" i="33"/>
  <c r="L254" i="33" s="1"/>
  <c r="K16" i="33"/>
  <c r="L16" i="33" s="1"/>
  <c r="K106" i="33"/>
  <c r="L106" i="33" s="1"/>
  <c r="K46" i="33"/>
  <c r="L46" i="33" s="1"/>
  <c r="K238" i="33"/>
  <c r="L238" i="33" s="1"/>
  <c r="K134" i="33"/>
  <c r="L134" i="33" s="1"/>
  <c r="K35" i="33"/>
  <c r="L35" i="33" s="1"/>
  <c r="K68" i="33"/>
  <c r="L68" i="33" s="1"/>
  <c r="K155" i="33"/>
  <c r="L155" i="33" s="1"/>
  <c r="K305" i="33"/>
  <c r="L305" i="33" s="1"/>
  <c r="K218" i="33"/>
  <c r="L218" i="33" s="1"/>
  <c r="K265" i="33"/>
  <c r="L265" i="33" s="1"/>
  <c r="K120" i="33"/>
  <c r="L120" i="33" s="1"/>
  <c r="K309" i="33"/>
  <c r="L309" i="33" s="1"/>
  <c r="K149" i="33"/>
  <c r="L149" i="33" s="1"/>
  <c r="K313" i="33"/>
  <c r="L313" i="33" s="1"/>
  <c r="K257" i="33"/>
  <c r="L257" i="33" s="1"/>
  <c r="K82" i="33"/>
  <c r="L82" i="33" s="1"/>
  <c r="K27" i="33"/>
  <c r="L27" i="33" s="1"/>
  <c r="K12" i="33"/>
  <c r="L12" i="33" s="1"/>
  <c r="K148" i="33"/>
  <c r="L148" i="33" s="1"/>
  <c r="K279" i="33"/>
  <c r="L279" i="33" s="1"/>
  <c r="K194" i="33"/>
  <c r="L194" i="33" s="1"/>
  <c r="K42" i="33"/>
  <c r="L42" i="33" s="1"/>
  <c r="K264" i="33"/>
  <c r="L264" i="33" s="1"/>
  <c r="K225" i="33"/>
  <c r="L225" i="33" s="1"/>
  <c r="K117" i="33"/>
  <c r="L117" i="33" s="1"/>
  <c r="K56" i="33"/>
  <c r="L56" i="33" s="1"/>
  <c r="K260" i="33"/>
  <c r="L260" i="33" s="1"/>
  <c r="K138" i="33"/>
  <c r="L138" i="33" s="1"/>
  <c r="K99" i="33"/>
  <c r="L99" i="33" s="1"/>
  <c r="K101" i="33"/>
  <c r="L101" i="33" s="1"/>
  <c r="K30" i="33"/>
  <c r="L30" i="33" s="1"/>
  <c r="K6" i="33"/>
  <c r="L6" i="33" s="1"/>
  <c r="K230" i="33"/>
  <c r="L230" i="33" s="1"/>
  <c r="K140" i="33"/>
  <c r="L140" i="33" s="1"/>
  <c r="K40" i="33"/>
  <c r="L40" i="33" s="1"/>
  <c r="K192" i="33"/>
  <c r="L192" i="33" s="1"/>
  <c r="K249" i="33"/>
  <c r="L249" i="33" s="1"/>
  <c r="K79" i="33"/>
  <c r="L79" i="33" s="1"/>
  <c r="K32" i="33"/>
  <c r="L32" i="33" s="1"/>
  <c r="K150" i="33"/>
  <c r="L150" i="33" s="1"/>
  <c r="K94" i="33"/>
  <c r="L94" i="33" s="1"/>
  <c r="K296" i="33"/>
  <c r="L296" i="33" s="1"/>
  <c r="K222" i="33"/>
  <c r="L222" i="33" s="1"/>
  <c r="K183" i="33"/>
  <c r="L183" i="33" s="1"/>
  <c r="K137" i="33"/>
  <c r="L137" i="33" s="1"/>
  <c r="K86" i="33"/>
  <c r="L86" i="33" s="1"/>
  <c r="K113" i="33"/>
  <c r="L113" i="33" s="1"/>
  <c r="K281" i="33"/>
  <c r="L281" i="33" s="1"/>
  <c r="K9" i="33"/>
  <c r="L9" i="33" s="1"/>
  <c r="K139" i="33"/>
  <c r="L139" i="33" s="1"/>
  <c r="K31" i="33"/>
  <c r="L31" i="33" s="1"/>
  <c r="K262" i="33"/>
  <c r="L262" i="33" s="1"/>
  <c r="K272" i="33"/>
  <c r="L272" i="33" s="1"/>
  <c r="K205" i="33"/>
  <c r="L205" i="33" s="1"/>
  <c r="K269" i="33"/>
  <c r="L269" i="33" s="1"/>
  <c r="K171" i="33"/>
  <c r="L171" i="33" s="1"/>
  <c r="K259" i="33"/>
  <c r="L259" i="33" s="1"/>
  <c r="K54" i="33"/>
  <c r="L54" i="33" s="1"/>
  <c r="K263" i="33"/>
  <c r="L263" i="33" s="1"/>
  <c r="K234" i="33"/>
  <c r="L234" i="33" s="1"/>
  <c r="K110" i="33"/>
  <c r="L110" i="33" s="1"/>
  <c r="K206" i="33"/>
  <c r="L206" i="33" s="1"/>
  <c r="K224" i="33"/>
  <c r="L224" i="33" s="1"/>
  <c r="K121" i="33"/>
  <c r="L121" i="33" s="1"/>
  <c r="K244" i="33"/>
  <c r="L244" i="33" s="1"/>
  <c r="K14" i="33"/>
  <c r="L14" i="33" s="1"/>
  <c r="K34" i="33"/>
  <c r="L34" i="33" s="1"/>
  <c r="K85" i="33"/>
  <c r="L85" i="33" s="1"/>
  <c r="K241" i="33"/>
  <c r="L241" i="33" s="1"/>
  <c r="K154" i="33"/>
  <c r="L154" i="33" s="1"/>
  <c r="K7" i="33"/>
  <c r="L7" i="33" s="1"/>
  <c r="K275" i="33"/>
  <c r="L275" i="33" s="1"/>
  <c r="K67" i="33"/>
  <c r="L67" i="33" s="1"/>
  <c r="K246" i="33"/>
  <c r="L246" i="33" s="1"/>
  <c r="K100" i="33"/>
  <c r="L100" i="33" s="1"/>
  <c r="K172" i="33"/>
  <c r="L172" i="33" s="1"/>
  <c r="K292" i="33"/>
  <c r="L292" i="33" s="1"/>
  <c r="K10" i="33"/>
  <c r="L10" i="33" s="1"/>
  <c r="K295" i="33"/>
  <c r="L295" i="33" s="1"/>
  <c r="K145" i="33"/>
  <c r="L145" i="33" s="1"/>
  <c r="K129" i="33"/>
  <c r="L129" i="33" s="1"/>
  <c r="K258" i="33"/>
  <c r="L258" i="33" s="1"/>
  <c r="K217" i="33"/>
  <c r="L217" i="33" s="1"/>
  <c r="K240" i="33"/>
  <c r="L240" i="33" s="1"/>
  <c r="K17" i="33"/>
  <c r="L17" i="33" s="1"/>
  <c r="K280" i="33"/>
  <c r="L280" i="33" s="1"/>
  <c r="K162" i="33"/>
  <c r="L162" i="33" s="1"/>
  <c r="K22" i="33"/>
  <c r="L22" i="33" s="1"/>
  <c r="K61" i="33"/>
  <c r="L61" i="33" s="1"/>
  <c r="K277" i="33"/>
  <c r="L277" i="33" s="1"/>
  <c r="K130" i="33"/>
  <c r="L130" i="33" s="1"/>
  <c r="K89" i="33"/>
  <c r="L89" i="33" s="1"/>
  <c r="K286" i="33"/>
  <c r="L286" i="33" s="1"/>
  <c r="K38" i="33"/>
  <c r="L38" i="33" s="1"/>
  <c r="K184" i="33"/>
  <c r="L184" i="33" s="1"/>
  <c r="K186" i="33"/>
  <c r="L186" i="33" s="1"/>
  <c r="K270" i="33"/>
  <c r="L270" i="33" s="1"/>
  <c r="K141" i="33"/>
  <c r="L141" i="33" s="1"/>
  <c r="K131" i="33"/>
  <c r="K179" i="33"/>
  <c r="L179" i="33" s="1"/>
  <c r="K132" i="33"/>
  <c r="L132" i="33" s="1"/>
  <c r="K77" i="33"/>
  <c r="L77" i="33" s="1"/>
  <c r="K289" i="33"/>
  <c r="L289" i="33" s="1"/>
  <c r="K182" i="33"/>
  <c r="L182" i="33" s="1"/>
  <c r="K251" i="33"/>
  <c r="L251" i="33" s="1"/>
  <c r="K245" i="33"/>
  <c r="L245" i="33" s="1"/>
  <c r="K157" i="33"/>
  <c r="L157" i="33" s="1"/>
  <c r="K235" i="33"/>
  <c r="L235" i="33" s="1"/>
  <c r="K59" i="33"/>
  <c r="L59" i="33" s="1"/>
  <c r="K48" i="33"/>
  <c r="L48" i="33" s="1"/>
  <c r="K75" i="33"/>
  <c r="L75" i="33" s="1"/>
  <c r="K178" i="33"/>
  <c r="L178" i="33" s="1"/>
  <c r="K248" i="33"/>
  <c r="L248" i="33" s="1"/>
  <c r="K124" i="33"/>
  <c r="L124" i="33" s="1"/>
  <c r="K299" i="33"/>
  <c r="L299" i="33" s="1"/>
  <c r="K290" i="33"/>
  <c r="L290" i="33" s="1"/>
  <c r="K247" i="33"/>
  <c r="L247" i="33" s="1"/>
  <c r="K306" i="33"/>
  <c r="L306" i="33" s="1"/>
  <c r="K87" i="33"/>
  <c r="L87" i="33" s="1"/>
  <c r="K47" i="33"/>
  <c r="L47" i="33" s="1"/>
  <c r="K107" i="33"/>
  <c r="L107" i="33" s="1"/>
  <c r="K51" i="33"/>
  <c r="L51" i="33" s="1"/>
  <c r="K294" i="33"/>
  <c r="L294" i="33" s="1"/>
  <c r="K146" i="33"/>
  <c r="L146" i="33" s="1"/>
  <c r="K255" i="33"/>
  <c r="L255" i="33" s="1"/>
  <c r="K188" i="33"/>
  <c r="L188" i="33" s="1"/>
  <c r="K156" i="33"/>
  <c r="L156" i="33" s="1"/>
  <c r="K159" i="33"/>
  <c r="L159" i="33" s="1"/>
  <c r="K285" i="33"/>
  <c r="L285" i="33" s="1"/>
  <c r="K90" i="33"/>
  <c r="L90" i="33" s="1"/>
  <c r="K298" i="33"/>
  <c r="L298" i="33" s="1"/>
  <c r="K71" i="33"/>
  <c r="L71" i="33" s="1"/>
  <c r="K177" i="33"/>
  <c r="L177" i="33" s="1"/>
  <c r="K165" i="33"/>
  <c r="L165" i="33" s="1"/>
  <c r="K55" i="33"/>
  <c r="L55" i="33" s="1"/>
  <c r="K135" i="33"/>
  <c r="L135" i="33" s="1"/>
  <c r="K307" i="33"/>
  <c r="L307" i="33" s="1"/>
  <c r="K29" i="33"/>
  <c r="L29" i="33" s="1"/>
  <c r="K266" i="33"/>
  <c r="L266" i="33" s="1"/>
  <c r="K128" i="33"/>
  <c r="L128" i="33" s="1"/>
  <c r="K49" i="33"/>
  <c r="L49" i="33" s="1"/>
  <c r="K196" i="33"/>
  <c r="L196" i="33" s="1"/>
  <c r="K302" i="33"/>
  <c r="L302" i="33" s="1"/>
  <c r="K220" i="33"/>
  <c r="L220" i="33" s="1"/>
  <c r="K11" i="33"/>
  <c r="L11" i="33" s="1"/>
  <c r="K169" i="33"/>
  <c r="L169" i="33" s="1"/>
  <c r="K228" i="33"/>
  <c r="L228" i="33" s="1"/>
  <c r="K201" i="33"/>
  <c r="L201" i="33" s="1"/>
  <c r="K24" i="33"/>
  <c r="L24" i="33" s="1"/>
  <c r="K287" i="33"/>
  <c r="L287" i="33" s="1"/>
  <c r="K142" i="33"/>
  <c r="L142" i="33" s="1"/>
  <c r="K227" i="33"/>
  <c r="L227" i="33" s="1"/>
  <c r="K70" i="33"/>
  <c r="L70" i="33" s="1"/>
  <c r="K65" i="33"/>
  <c r="L65" i="33" s="1"/>
  <c r="K53" i="33"/>
  <c r="L53" i="33" s="1"/>
  <c r="K176" i="33"/>
  <c r="L176" i="33" s="1"/>
  <c r="K284" i="33"/>
  <c r="L284" i="33" s="1"/>
  <c r="K282" i="33"/>
  <c r="L282" i="33" s="1"/>
  <c r="K193" i="33"/>
  <c r="L193" i="33" s="1"/>
  <c r="K252" i="33"/>
  <c r="L252" i="33" s="1"/>
  <c r="K291" i="33"/>
  <c r="L291" i="33" s="1"/>
  <c r="K91" i="33"/>
  <c r="L91" i="33" s="1"/>
  <c r="K233" i="33"/>
  <c r="L233" i="33" s="1"/>
  <c r="K92" i="33"/>
  <c r="L92" i="33" s="1"/>
  <c r="K243" i="33"/>
  <c r="L243" i="33" s="1"/>
  <c r="K45" i="33"/>
  <c r="L45" i="33" s="1"/>
  <c r="K181" i="33"/>
  <c r="L181" i="33" s="1"/>
  <c r="K237" i="33"/>
  <c r="L237" i="33" s="1"/>
  <c r="K66" i="33"/>
  <c r="L66" i="33" s="1"/>
  <c r="K271" i="33"/>
  <c r="L271" i="33" s="1"/>
  <c r="K136" i="33"/>
  <c r="L136" i="33" s="1"/>
  <c r="K69" i="33"/>
  <c r="L69" i="33" s="1"/>
  <c r="K212" i="33"/>
  <c r="L212" i="33" s="1"/>
  <c r="K111" i="33"/>
  <c r="L111" i="33" s="1"/>
  <c r="K168" i="33"/>
  <c r="L168" i="33" s="1"/>
  <c r="K83" i="33"/>
  <c r="L83" i="33" s="1"/>
  <c r="K15" i="33"/>
  <c r="L15" i="33" s="1"/>
  <c r="K13" i="33"/>
  <c r="L13" i="33" s="1"/>
  <c r="K114" i="33"/>
  <c r="L114" i="33" s="1"/>
  <c r="K57" i="33"/>
  <c r="L57" i="33" s="1"/>
  <c r="K62" i="33"/>
  <c r="L62" i="33" s="1"/>
  <c r="K173" i="33"/>
  <c r="L173" i="33" s="1"/>
  <c r="K303" i="33"/>
  <c r="L303" i="33" s="1"/>
  <c r="K73" i="33"/>
  <c r="L73" i="33" s="1"/>
  <c r="K170" i="33"/>
  <c r="L170" i="33" s="1"/>
  <c r="K175" i="33"/>
  <c r="L175" i="33" s="1"/>
  <c r="K166" i="33"/>
  <c r="L166" i="33" s="1"/>
  <c r="K167" i="33"/>
  <c r="L167" i="33" s="1"/>
  <c r="K112" i="33"/>
  <c r="L112" i="33" s="1"/>
  <c r="K160" i="33"/>
  <c r="L160" i="33" s="1"/>
  <c r="K20" i="33"/>
  <c r="L20" i="33" s="1"/>
  <c r="K200" i="33"/>
  <c r="L200" i="33" s="1"/>
  <c r="K308" i="33"/>
  <c r="L308" i="33" s="1"/>
  <c r="K236" i="33"/>
  <c r="L236" i="33" s="1"/>
  <c r="K127" i="33"/>
  <c r="L127" i="33" s="1"/>
  <c r="K96" i="33"/>
  <c r="L96" i="33" s="1"/>
  <c r="K215" i="33"/>
  <c r="L215" i="33" s="1"/>
  <c r="K198" i="33"/>
  <c r="L198" i="33" s="1"/>
  <c r="K216" i="33"/>
  <c r="L216" i="33" s="1"/>
  <c r="K207" i="33"/>
  <c r="L207" i="33" s="1"/>
  <c r="K122" i="33"/>
  <c r="L122" i="33" s="1"/>
  <c r="K97" i="33"/>
  <c r="L97" i="33" s="1"/>
  <c r="K174" i="33"/>
  <c r="L174" i="33" s="1"/>
  <c r="K21" i="33"/>
  <c r="L21" i="33" s="1"/>
  <c r="K253" i="33"/>
  <c r="L253" i="33" s="1"/>
  <c r="K208" i="33"/>
  <c r="L208" i="33" s="1"/>
  <c r="K185" i="33"/>
  <c r="L185" i="33" s="1"/>
  <c r="K103" i="33"/>
  <c r="L103" i="33" s="1"/>
  <c r="K231" i="33"/>
  <c r="L231" i="33" s="1"/>
  <c r="K250" i="33"/>
  <c r="L250" i="33" s="1"/>
  <c r="K304" i="33"/>
  <c r="L304" i="33" s="1"/>
  <c r="K221" i="33"/>
  <c r="L221" i="33" s="1"/>
  <c r="K64" i="33"/>
  <c r="L64" i="33" s="1"/>
  <c r="K123" i="33"/>
  <c r="L123" i="33" s="1"/>
  <c r="K119" i="33"/>
  <c r="L119" i="33" s="1"/>
  <c r="K297" i="33"/>
  <c r="L297" i="33" s="1"/>
  <c r="K239" i="33"/>
  <c r="L239" i="33" s="1"/>
  <c r="K242" i="33"/>
  <c r="L242" i="33" s="1"/>
  <c r="K76" i="33"/>
  <c r="L76" i="33" s="1"/>
  <c r="K152" i="33"/>
  <c r="L152" i="33" s="1"/>
  <c r="K232" i="33"/>
  <c r="L232" i="33" s="1"/>
  <c r="K26" i="33"/>
  <c r="L26" i="33" s="1"/>
  <c r="K256" i="33"/>
  <c r="L256" i="33" s="1"/>
  <c r="K108" i="33"/>
  <c r="L108" i="33" s="1"/>
  <c r="K52" i="33"/>
  <c r="L52" i="33" s="1"/>
  <c r="K36" i="33"/>
  <c r="L36" i="33" s="1"/>
  <c r="K115" i="33"/>
  <c r="L115" i="33" s="1"/>
  <c r="K109" i="33"/>
  <c r="L109" i="33" s="1"/>
  <c r="K161" i="33"/>
  <c r="L161" i="33" s="1"/>
  <c r="K41" i="33"/>
  <c r="L41" i="33" s="1"/>
  <c r="K311" i="33"/>
  <c r="L311" i="33" s="1"/>
  <c r="K80" i="33"/>
  <c r="L80" i="33" s="1"/>
  <c r="K268" i="33"/>
  <c r="L268" i="33" s="1"/>
  <c r="K60" i="33"/>
  <c r="L60" i="33" s="1"/>
  <c r="K199" i="33"/>
  <c r="L199" i="33" s="1"/>
  <c r="K209" i="33"/>
  <c r="L209" i="33" s="1"/>
  <c r="K276" i="33"/>
  <c r="L276" i="33" s="1"/>
  <c r="K63" i="33"/>
  <c r="L63" i="33" s="1"/>
  <c r="K203" i="33"/>
  <c r="L203" i="33" s="1"/>
  <c r="K126" i="33"/>
  <c r="L126" i="33" s="1"/>
  <c r="K44" i="33"/>
  <c r="L44" i="33" s="1"/>
  <c r="K28" i="33"/>
  <c r="L28" i="33" s="1"/>
  <c r="K310" i="33"/>
  <c r="L310" i="33" s="1"/>
  <c r="K180" i="33"/>
  <c r="L180" i="33" s="1"/>
  <c r="K125" i="33"/>
  <c r="L125" i="33" s="1"/>
  <c r="K223" i="33"/>
  <c r="L223" i="33" s="1"/>
  <c r="K288" i="33"/>
  <c r="L288" i="33" s="1"/>
  <c r="K164" i="33"/>
  <c r="L164" i="33" s="1"/>
  <c r="K158" i="33"/>
  <c r="L158" i="33" s="1"/>
  <c r="K163" i="33"/>
  <c r="L163" i="33" s="1"/>
  <c r="K151" i="33"/>
  <c r="L151" i="33" s="1"/>
  <c r="K18" i="33"/>
  <c r="L18" i="33" s="1"/>
  <c r="K147" i="33"/>
  <c r="L147" i="33" s="1"/>
  <c r="K25" i="33"/>
  <c r="L25" i="33" s="1"/>
  <c r="K5" i="33"/>
  <c r="M212" i="33" l="1"/>
  <c r="E218" i="9"/>
  <c r="E23" i="9"/>
  <c r="M17" i="33"/>
  <c r="M272" i="33"/>
  <c r="E278" i="9"/>
  <c r="E143" i="9"/>
  <c r="M137" i="33"/>
  <c r="E255" i="9"/>
  <c r="M249" i="33"/>
  <c r="M92" i="33"/>
  <c r="M93" i="49" s="1"/>
  <c r="E98" i="9"/>
  <c r="M176" i="33"/>
  <c r="M177" i="49" s="1"/>
  <c r="E182" i="9"/>
  <c r="M290" i="33"/>
  <c r="E296" i="9"/>
  <c r="E268" i="9"/>
  <c r="M262" i="33"/>
  <c r="M263" i="49" s="1"/>
  <c r="E189" i="9"/>
  <c r="M183" i="33"/>
  <c r="M184" i="49" s="1"/>
  <c r="E169" i="9"/>
  <c r="M163" i="33"/>
  <c r="M164" i="49" s="1"/>
  <c r="M242" i="33"/>
  <c r="E248" i="9"/>
  <c r="E251" i="9"/>
  <c r="M245" i="33"/>
  <c r="M246" i="49" s="1"/>
  <c r="M139" i="33"/>
  <c r="M140" i="49" s="1"/>
  <c r="E145" i="9"/>
  <c r="E274" i="9"/>
  <c r="M268" i="33"/>
  <c r="E245" i="9"/>
  <c r="M239" i="33"/>
  <c r="M248" i="33"/>
  <c r="M249" i="49" s="1"/>
  <c r="E254" i="9"/>
  <c r="M259" i="33"/>
  <c r="M260" i="49" s="1"/>
  <c r="E265" i="9"/>
  <c r="M60" i="33"/>
  <c r="E66" i="9"/>
  <c r="M51" i="33"/>
  <c r="E57" i="9"/>
  <c r="E283" i="9"/>
  <c r="M277" i="33"/>
  <c r="M278" i="49" s="1"/>
  <c r="E58" i="9"/>
  <c r="M52" i="33"/>
  <c r="E297" i="9"/>
  <c r="M291" i="33"/>
  <c r="M292" i="49" s="1"/>
  <c r="E257" i="9"/>
  <c r="M251" i="33"/>
  <c r="E103" i="9"/>
  <c r="M97" i="33"/>
  <c r="M98" i="49" s="1"/>
  <c r="M140" i="33"/>
  <c r="M141" i="49" s="1"/>
  <c r="E146" i="9"/>
  <c r="E237" i="9"/>
  <c r="M231" i="33"/>
  <c r="M232" i="49" s="1"/>
  <c r="M70" i="33"/>
  <c r="E76" i="9"/>
  <c r="M270" i="33"/>
  <c r="M271" i="49" s="1"/>
  <c r="E276" i="9"/>
  <c r="E127" i="9"/>
  <c r="M121" i="33"/>
  <c r="M280" i="33"/>
  <c r="E286" i="9"/>
  <c r="M210" i="33"/>
  <c r="E216" i="9"/>
  <c r="E80" i="9"/>
  <c r="M74" i="33"/>
  <c r="M296" i="33"/>
  <c r="M297" i="49" s="1"/>
  <c r="E302" i="9"/>
  <c r="M185" i="33"/>
  <c r="E191" i="9"/>
  <c r="E153" i="9"/>
  <c r="M147" i="33"/>
  <c r="E167" i="9"/>
  <c r="M161" i="33"/>
  <c r="E221" i="9"/>
  <c r="M215" i="33"/>
  <c r="M216" i="49" s="1"/>
  <c r="M284" i="33"/>
  <c r="E290" i="9"/>
  <c r="E261" i="9"/>
  <c r="M255" i="33"/>
  <c r="M256" i="49" s="1"/>
  <c r="M286" i="33"/>
  <c r="E292" i="9"/>
  <c r="M110" i="33"/>
  <c r="M111" i="49" s="1"/>
  <c r="E116" i="9"/>
  <c r="E289" i="9"/>
  <c r="M283" i="33"/>
  <c r="M284" i="49" s="1"/>
  <c r="E306" i="9"/>
  <c r="M300" i="33"/>
  <c r="M264" i="33"/>
  <c r="E270" i="9"/>
  <c r="E32" i="9"/>
  <c r="M26" i="33"/>
  <c r="M27" i="49" s="1"/>
  <c r="M246" i="33"/>
  <c r="M247" i="49" s="1"/>
  <c r="E252" i="9"/>
  <c r="E194" i="9"/>
  <c r="M188" i="33"/>
  <c r="E212" i="9"/>
  <c r="M206" i="33"/>
  <c r="M207" i="49" s="1"/>
  <c r="M170" i="33"/>
  <c r="M171" i="49" s="1"/>
  <c r="E176" i="9"/>
  <c r="E97" i="9"/>
  <c r="M91" i="33"/>
  <c r="M92" i="49" s="1"/>
  <c r="E44" i="9"/>
  <c r="M38" i="33"/>
  <c r="E67" i="9"/>
  <c r="M61" i="33"/>
  <c r="M62" i="49" s="1"/>
  <c r="M50" i="33"/>
  <c r="M51" i="49" s="1"/>
  <c r="E56" i="9"/>
  <c r="E83" i="9"/>
  <c r="M77" i="33"/>
  <c r="M175" i="33"/>
  <c r="M176" i="49" s="1"/>
  <c r="E181" i="9"/>
  <c r="E293" i="9"/>
  <c r="M287" i="33"/>
  <c r="M288" i="49" s="1"/>
  <c r="M288" i="33"/>
  <c r="E294" i="9"/>
  <c r="M192" i="33"/>
  <c r="E198" i="9"/>
  <c r="E275" i="9"/>
  <c r="M269" i="33"/>
  <c r="E231" i="9"/>
  <c r="M225" i="33"/>
  <c r="E20" i="9"/>
  <c r="M14" i="33"/>
  <c r="M15" i="49" s="1"/>
  <c r="M181" i="33"/>
  <c r="M182" i="49" s="1"/>
  <c r="E187" i="9"/>
  <c r="E125" i="9"/>
  <c r="M119" i="33"/>
  <c r="M116" i="33"/>
  <c r="M117" i="49" s="1"/>
  <c r="E122" i="9"/>
  <c r="E132" i="9"/>
  <c r="M126" i="33"/>
  <c r="M80" i="33"/>
  <c r="E86" i="9"/>
  <c r="E24" i="9"/>
  <c r="M18" i="33"/>
  <c r="M180" i="33"/>
  <c r="M181" i="49" s="1"/>
  <c r="E186" i="9"/>
  <c r="E215" i="9"/>
  <c r="M209" i="33"/>
  <c r="M210" i="49" s="1"/>
  <c r="E115" i="9"/>
  <c r="M109" i="33"/>
  <c r="M110" i="49" s="1"/>
  <c r="M152" i="33"/>
  <c r="E158" i="9"/>
  <c r="E227" i="9"/>
  <c r="M221" i="33"/>
  <c r="E27" i="9"/>
  <c r="M21" i="33"/>
  <c r="M96" i="33"/>
  <c r="E102" i="9"/>
  <c r="E63" i="9"/>
  <c r="M57" i="33"/>
  <c r="E75" i="9"/>
  <c r="M69" i="33"/>
  <c r="M201" i="33"/>
  <c r="E207" i="9"/>
  <c r="M128" i="33"/>
  <c r="M129" i="49" s="1"/>
  <c r="E134" i="9"/>
  <c r="E77" i="9"/>
  <c r="M71" i="33"/>
  <c r="M146" i="33"/>
  <c r="M147" i="49" s="1"/>
  <c r="E152" i="9"/>
  <c r="E185" i="9"/>
  <c r="M179" i="33"/>
  <c r="E95" i="9"/>
  <c r="M89" i="33"/>
  <c r="M240" i="33"/>
  <c r="E246" i="9"/>
  <c r="M172" i="33"/>
  <c r="M173" i="49" s="1"/>
  <c r="E178" i="9"/>
  <c r="E91" i="9"/>
  <c r="M85" i="33"/>
  <c r="M86" i="49" s="1"/>
  <c r="M234" i="33"/>
  <c r="E240" i="9"/>
  <c r="E225" i="9"/>
  <c r="M219" i="33"/>
  <c r="M220" i="49" s="1"/>
  <c r="E295" i="9"/>
  <c r="M289" i="33"/>
  <c r="M290" i="49" s="1"/>
  <c r="E16" i="9"/>
  <c r="M10" i="33"/>
  <c r="M156" i="33"/>
  <c r="E162" i="9"/>
  <c r="M202" i="33"/>
  <c r="M203" i="49" s="1"/>
  <c r="E208" i="9"/>
  <c r="M162" i="33"/>
  <c r="M163" i="49" s="1"/>
  <c r="E168" i="9"/>
  <c r="E89" i="9"/>
  <c r="M83" i="33"/>
  <c r="M138" i="33"/>
  <c r="E144" i="9"/>
  <c r="E51" i="9"/>
  <c r="M45" i="33"/>
  <c r="E25" i="9"/>
  <c r="M19" i="33"/>
  <c r="M20" i="49" s="1"/>
  <c r="E99" i="9"/>
  <c r="M93" i="33"/>
  <c r="M260" i="33"/>
  <c r="M261" i="49" s="1"/>
  <c r="E266" i="9"/>
  <c r="E271" i="9"/>
  <c r="M265" i="33"/>
  <c r="M217" i="33"/>
  <c r="M218" i="49" s="1"/>
  <c r="E223" i="9"/>
  <c r="E179" i="9"/>
  <c r="M173" i="33"/>
  <c r="E117" i="9"/>
  <c r="M111" i="33"/>
  <c r="M100" i="33"/>
  <c r="E106" i="9"/>
  <c r="M118" i="33"/>
  <c r="M119" i="49" s="1"/>
  <c r="E124" i="9"/>
  <c r="E31" i="9"/>
  <c r="M25" i="33"/>
  <c r="E157" i="9"/>
  <c r="M151" i="33"/>
  <c r="E316" i="9"/>
  <c r="M310" i="33"/>
  <c r="E205" i="9"/>
  <c r="M199" i="33"/>
  <c r="M200" i="49" s="1"/>
  <c r="E121" i="9"/>
  <c r="M115" i="33"/>
  <c r="E180" i="9"/>
  <c r="M174" i="33"/>
  <c r="E133" i="9"/>
  <c r="M127" i="33"/>
  <c r="M166" i="33"/>
  <c r="M167" i="49" s="1"/>
  <c r="E172" i="9"/>
  <c r="M114" i="33"/>
  <c r="E120" i="9"/>
  <c r="M136" i="33"/>
  <c r="E142" i="9"/>
  <c r="E239" i="9"/>
  <c r="M233" i="33"/>
  <c r="E59" i="9"/>
  <c r="M53" i="33"/>
  <c r="M54" i="49" s="1"/>
  <c r="M228" i="33"/>
  <c r="E234" i="9"/>
  <c r="M266" i="33"/>
  <c r="E272" i="9"/>
  <c r="E305" i="9"/>
  <c r="M299" i="33"/>
  <c r="E40" i="9"/>
  <c r="M34" i="33"/>
  <c r="E269" i="9"/>
  <c r="M263" i="33"/>
  <c r="M55" i="33"/>
  <c r="M56" i="49" s="1"/>
  <c r="E61" i="9"/>
  <c r="E281" i="9"/>
  <c r="M275" i="33"/>
  <c r="E50" i="9"/>
  <c r="M44" i="33"/>
  <c r="M45" i="49" s="1"/>
  <c r="M178" i="33"/>
  <c r="E184" i="9"/>
  <c r="E72" i="9"/>
  <c r="M66" i="33"/>
  <c r="M67" i="49" s="1"/>
  <c r="M279" i="33"/>
  <c r="E285" i="9"/>
  <c r="M208" i="33"/>
  <c r="M209" i="49" s="1"/>
  <c r="E214" i="9"/>
  <c r="E235" i="9"/>
  <c r="M229" i="33"/>
  <c r="E141" i="9"/>
  <c r="M135" i="33"/>
  <c r="M136" i="49" s="1"/>
  <c r="M134" i="33"/>
  <c r="E140" i="9"/>
  <c r="E43" i="9"/>
  <c r="M37" i="33"/>
  <c r="E238" i="9"/>
  <c r="M232" i="33"/>
  <c r="M233" i="49" s="1"/>
  <c r="M112" i="33"/>
  <c r="M113" i="49" s="1"/>
  <c r="E118" i="9"/>
  <c r="E249" i="9"/>
  <c r="M243" i="33"/>
  <c r="E183" i="9"/>
  <c r="M177" i="33"/>
  <c r="M178" i="49" s="1"/>
  <c r="E247" i="9"/>
  <c r="M241" i="33"/>
  <c r="E217" i="9"/>
  <c r="M211" i="33"/>
  <c r="M212" i="49" s="1"/>
  <c r="E14" i="9"/>
  <c r="M8" i="33"/>
  <c r="M9" i="49" s="1"/>
  <c r="M155" i="33"/>
  <c r="E161" i="9"/>
  <c r="M252" i="33"/>
  <c r="M253" i="49" s="1"/>
  <c r="E258" i="9"/>
  <c r="M238" i="33"/>
  <c r="M239" i="49" s="1"/>
  <c r="E244" i="9"/>
  <c r="M154" i="33"/>
  <c r="M155" i="49" s="1"/>
  <c r="E160" i="9"/>
  <c r="M120" i="33"/>
  <c r="E126" i="9"/>
  <c r="E197" i="9"/>
  <c r="M191" i="33"/>
  <c r="M160" i="33"/>
  <c r="E166" i="9"/>
  <c r="E219" i="9"/>
  <c r="M213" i="33"/>
  <c r="M214" i="49" s="1"/>
  <c r="E90" i="9"/>
  <c r="M84" i="33"/>
  <c r="E277" i="9"/>
  <c r="M271" i="33"/>
  <c r="M272" i="49" s="1"/>
  <c r="M258" i="33"/>
  <c r="E264" i="9"/>
  <c r="M200" i="33"/>
  <c r="M201" i="49" s="1"/>
  <c r="E206" i="9"/>
  <c r="E200" i="9"/>
  <c r="M194" i="33"/>
  <c r="M195" i="49" s="1"/>
  <c r="E128" i="9"/>
  <c r="M122" i="33"/>
  <c r="M123" i="49" s="1"/>
  <c r="E213" i="9"/>
  <c r="M207" i="33"/>
  <c r="M144" i="33"/>
  <c r="M145" i="49" s="1"/>
  <c r="E150" i="9"/>
  <c r="E211" i="9"/>
  <c r="M205" i="33"/>
  <c r="E101" i="9"/>
  <c r="M95" i="33"/>
  <c r="M94" i="33"/>
  <c r="E100" i="9"/>
  <c r="M308" i="33"/>
  <c r="E314" i="9"/>
  <c r="E291" i="9"/>
  <c r="M285" i="33"/>
  <c r="E37" i="9"/>
  <c r="M31" i="33"/>
  <c r="M32" i="49" s="1"/>
  <c r="E177" i="9"/>
  <c r="M171" i="33"/>
  <c r="M301" i="33"/>
  <c r="E307" i="9"/>
  <c r="M306" i="33"/>
  <c r="M307" i="49" s="1"/>
  <c r="E312" i="9"/>
  <c r="M184" i="33"/>
  <c r="E190" i="9"/>
  <c r="M274" i="33"/>
  <c r="E280" i="9"/>
  <c r="E232" i="9"/>
  <c r="M226" i="33"/>
  <c r="E28" i="9"/>
  <c r="M22" i="33"/>
  <c r="E196" i="9"/>
  <c r="M190" i="33"/>
  <c r="E148" i="9"/>
  <c r="M142" i="33"/>
  <c r="M108" i="33"/>
  <c r="E114" i="9"/>
  <c r="E112" i="9"/>
  <c r="M106" i="33"/>
  <c r="M88" i="33"/>
  <c r="M89" i="49" s="1"/>
  <c r="E94" i="9"/>
  <c r="E41" i="9"/>
  <c r="M35" i="33"/>
  <c r="M36" i="49" s="1"/>
  <c r="E139" i="9"/>
  <c r="M133" i="33"/>
  <c r="E229" i="9"/>
  <c r="M223" i="33"/>
  <c r="M311" i="33"/>
  <c r="M312" i="49" s="1"/>
  <c r="E317" i="9"/>
  <c r="M148" i="33"/>
  <c r="E154" i="9"/>
  <c r="E203" i="9"/>
  <c r="M197" i="33"/>
  <c r="E159" i="9"/>
  <c r="M153" i="33"/>
  <c r="M154" i="49" s="1"/>
  <c r="E93" i="9"/>
  <c r="M87" i="33"/>
  <c r="M46" i="33"/>
  <c r="M47" i="49" s="1"/>
  <c r="E52" i="9"/>
  <c r="M86" i="33"/>
  <c r="E92" i="9"/>
  <c r="E48" i="9"/>
  <c r="M42" i="33"/>
  <c r="M43" i="49" s="1"/>
  <c r="E209" i="9"/>
  <c r="M203" i="33"/>
  <c r="E210" i="9"/>
  <c r="M204" i="33"/>
  <c r="M205" i="49" s="1"/>
  <c r="E35" i="9"/>
  <c r="M29" i="33"/>
  <c r="E173" i="9"/>
  <c r="M167" i="33"/>
  <c r="M168" i="49" s="1"/>
  <c r="E36" i="9"/>
  <c r="M30" i="33"/>
  <c r="M31" i="49" s="1"/>
  <c r="E131" i="9"/>
  <c r="M125" i="33"/>
  <c r="M126" i="49" s="1"/>
  <c r="M64" i="33"/>
  <c r="E70" i="9"/>
  <c r="E68" i="9"/>
  <c r="M62" i="33"/>
  <c r="M49" i="33"/>
  <c r="M50" i="49" s="1"/>
  <c r="E55" i="9"/>
  <c r="E65" i="9"/>
  <c r="M59" i="33"/>
  <c r="E135" i="9"/>
  <c r="M129" i="33"/>
  <c r="M130" i="49" s="1"/>
  <c r="E233" i="9"/>
  <c r="M227" i="33"/>
  <c r="M228" i="49" s="1"/>
  <c r="M282" i="33"/>
  <c r="E288" i="9"/>
  <c r="E204" i="9"/>
  <c r="M198" i="33"/>
  <c r="M130" i="33"/>
  <c r="E136" i="9"/>
  <c r="E107" i="9"/>
  <c r="M101" i="33"/>
  <c r="M102" i="49" s="1"/>
  <c r="M302" i="33"/>
  <c r="M303" i="49" s="1"/>
  <c r="E308" i="9"/>
  <c r="E202" i="9"/>
  <c r="M196" i="33"/>
  <c r="M197" i="49" s="1"/>
  <c r="E109" i="9"/>
  <c r="M103" i="33"/>
  <c r="E15" i="9"/>
  <c r="M9" i="33"/>
  <c r="E42" i="9"/>
  <c r="M36" i="33"/>
  <c r="M236" i="33"/>
  <c r="M237" i="49" s="1"/>
  <c r="E242" i="9"/>
  <c r="M65" i="33"/>
  <c r="E71" i="9"/>
  <c r="E96" i="9"/>
  <c r="M90" i="33"/>
  <c r="E147" i="9"/>
  <c r="M141" i="33"/>
  <c r="M54" i="33"/>
  <c r="E60" i="9"/>
  <c r="E22" i="9"/>
  <c r="M16" i="33"/>
  <c r="M17" i="49" s="1"/>
  <c r="E303" i="9"/>
  <c r="M297" i="33"/>
  <c r="M298" i="49" s="1"/>
  <c r="E284" i="9"/>
  <c r="M278" i="33"/>
  <c r="M279" i="49" s="1"/>
  <c r="E38" i="9"/>
  <c r="M32" i="33"/>
  <c r="M33" i="49" s="1"/>
  <c r="E39" i="9"/>
  <c r="M33" i="33"/>
  <c r="E26" i="9"/>
  <c r="M20" i="33"/>
  <c r="E300" i="9"/>
  <c r="M294" i="33"/>
  <c r="M295" i="49" s="1"/>
  <c r="E170" i="9"/>
  <c r="M164" i="33"/>
  <c r="E74" i="9"/>
  <c r="M68" i="33"/>
  <c r="M69" i="49" s="1"/>
  <c r="E64" i="9"/>
  <c r="M58" i="33"/>
  <c r="E21" i="9"/>
  <c r="M15" i="33"/>
  <c r="M16" i="49" s="1"/>
  <c r="E313" i="9"/>
  <c r="M307" i="33"/>
  <c r="M308" i="49" s="1"/>
  <c r="E45" i="9"/>
  <c r="M39" i="33"/>
  <c r="E111" i="9"/>
  <c r="M105" i="33"/>
  <c r="M106" i="49" s="1"/>
  <c r="E193" i="9"/>
  <c r="M187" i="33"/>
  <c r="M188" i="49" s="1"/>
  <c r="E311" i="9"/>
  <c r="M305" i="33"/>
  <c r="M306" i="49" s="1"/>
  <c r="M298" i="33"/>
  <c r="E304" i="9"/>
  <c r="M168" i="33"/>
  <c r="E174" i="9"/>
  <c r="E228" i="9"/>
  <c r="M222" i="33"/>
  <c r="E12" i="9"/>
  <c r="M6" i="33"/>
  <c r="M7" i="49" s="1"/>
  <c r="M186" i="33"/>
  <c r="E192" i="9"/>
  <c r="M98" i="33"/>
  <c r="M99" i="49" s="1"/>
  <c r="E104" i="9"/>
  <c r="M72" i="33"/>
  <c r="M73" i="49" s="1"/>
  <c r="E78" i="9"/>
  <c r="E49" i="9"/>
  <c r="M43" i="33"/>
  <c r="M44" i="49" s="1"/>
  <c r="E149" i="9"/>
  <c r="M143" i="33"/>
  <c r="M312" i="33"/>
  <c r="E318" i="9"/>
  <c r="M256" i="33"/>
  <c r="M257" i="49" s="1"/>
  <c r="E262" i="9"/>
  <c r="E287" i="9"/>
  <c r="M281" i="33"/>
  <c r="M282" i="49" s="1"/>
  <c r="M56" i="33"/>
  <c r="M57" i="49" s="1"/>
  <c r="E62" i="9"/>
  <c r="E199" i="9"/>
  <c r="M193" i="33"/>
  <c r="M194" i="49" s="1"/>
  <c r="M149" i="33"/>
  <c r="E155" i="9"/>
  <c r="E85" i="9"/>
  <c r="M79" i="33"/>
  <c r="E29" i="9"/>
  <c r="M23" i="33"/>
  <c r="E84" i="9"/>
  <c r="M78" i="33"/>
  <c r="E33" i="9"/>
  <c r="M27" i="33"/>
  <c r="E319" i="9"/>
  <c r="M313" i="33"/>
  <c r="M314" i="49" s="1"/>
  <c r="M254" i="33"/>
  <c r="E260" i="9"/>
  <c r="E105" i="9"/>
  <c r="M99" i="33"/>
  <c r="E73" i="9"/>
  <c r="M67" i="33"/>
  <c r="E279" i="9"/>
  <c r="M273" i="33"/>
  <c r="E138" i="9"/>
  <c r="M132" i="33"/>
  <c r="M133" i="49" s="1"/>
  <c r="M276" i="33"/>
  <c r="E282" i="9"/>
  <c r="E259" i="9"/>
  <c r="M253" i="33"/>
  <c r="M254" i="49" s="1"/>
  <c r="E30" i="9"/>
  <c r="M24" i="33"/>
  <c r="M25" i="49" s="1"/>
  <c r="E253" i="9"/>
  <c r="M247" i="33"/>
  <c r="M248" i="49" s="1"/>
  <c r="M292" i="33"/>
  <c r="M293" i="49" s="1"/>
  <c r="E298" i="9"/>
  <c r="E69" i="9"/>
  <c r="M63" i="33"/>
  <c r="E79" i="9"/>
  <c r="M73" i="33"/>
  <c r="E299" i="9"/>
  <c r="M293" i="33"/>
  <c r="M294" i="49" s="1"/>
  <c r="E222" i="9"/>
  <c r="M216" i="33"/>
  <c r="E54" i="9"/>
  <c r="M48" i="33"/>
  <c r="E81" i="9"/>
  <c r="M75" i="33"/>
  <c r="M76" i="49" s="1"/>
  <c r="E18" i="9"/>
  <c r="M12" i="33"/>
  <c r="M13" i="49" s="1"/>
  <c r="M295" i="33"/>
  <c r="E301" i="9"/>
  <c r="E267" i="9"/>
  <c r="M261" i="33"/>
  <c r="M165" i="33"/>
  <c r="M166" i="49" s="1"/>
  <c r="E171" i="9"/>
  <c r="M102" i="33"/>
  <c r="E108" i="9"/>
  <c r="E34" i="9"/>
  <c r="M28" i="33"/>
  <c r="M29" i="49" s="1"/>
  <c r="M250" i="33"/>
  <c r="E256" i="9"/>
  <c r="E19" i="9"/>
  <c r="M13" i="33"/>
  <c r="M14" i="49" s="1"/>
  <c r="E175" i="9"/>
  <c r="M169" i="33"/>
  <c r="M124" i="33"/>
  <c r="E130" i="9"/>
  <c r="M81" i="33"/>
  <c r="M82" i="49" s="1"/>
  <c r="E87" i="9"/>
  <c r="E241" i="9"/>
  <c r="M235" i="33"/>
  <c r="E226" i="9"/>
  <c r="M220" i="33"/>
  <c r="M230" i="33"/>
  <c r="M231" i="49" s="1"/>
  <c r="E236" i="9"/>
  <c r="M150" i="33"/>
  <c r="M151" i="49" s="1"/>
  <c r="E156" i="9"/>
  <c r="M104" i="33"/>
  <c r="E110" i="9"/>
  <c r="E123" i="9"/>
  <c r="M117" i="33"/>
  <c r="E309" i="9"/>
  <c r="M303" i="33"/>
  <c r="M304" i="49" s="1"/>
  <c r="E263" i="9"/>
  <c r="M257" i="33"/>
  <c r="E163" i="9"/>
  <c r="M157" i="33"/>
  <c r="M158" i="49" s="1"/>
  <c r="E164" i="9"/>
  <c r="M158" i="33"/>
  <c r="E17" i="9"/>
  <c r="M11" i="33"/>
  <c r="M12" i="49" s="1"/>
  <c r="E113" i="9"/>
  <c r="M107" i="33"/>
  <c r="M244" i="33"/>
  <c r="E250" i="9"/>
  <c r="M47" i="33"/>
  <c r="E53" i="9"/>
  <c r="E119" i="9"/>
  <c r="M113" i="33"/>
  <c r="M114" i="49" s="1"/>
  <c r="E201" i="9"/>
  <c r="M195" i="33"/>
  <c r="E273" i="9"/>
  <c r="M267" i="33"/>
  <c r="E315" i="9"/>
  <c r="M309" i="33"/>
  <c r="M218" i="33"/>
  <c r="E224" i="9"/>
  <c r="M214" i="33"/>
  <c r="E220" i="9"/>
  <c r="M182" i="33"/>
  <c r="M183" i="49" s="1"/>
  <c r="E188" i="9"/>
  <c r="M123" i="33"/>
  <c r="E129" i="9"/>
  <c r="M76" i="33"/>
  <c r="M77" i="49" s="1"/>
  <c r="E82" i="9"/>
  <c r="E88" i="9"/>
  <c r="M82" i="33"/>
  <c r="E165" i="9"/>
  <c r="M159" i="33"/>
  <c r="M160" i="49" s="1"/>
  <c r="E310" i="9"/>
  <c r="M304" i="33"/>
  <c r="M224" i="33"/>
  <c r="E230" i="9"/>
  <c r="E243" i="9"/>
  <c r="M237" i="33"/>
  <c r="E46" i="9"/>
  <c r="M40" i="33"/>
  <c r="E195" i="9"/>
  <c r="M189" i="33"/>
  <c r="E151" i="9"/>
  <c r="M145" i="33"/>
  <c r="M146" i="49" s="1"/>
  <c r="E47" i="9"/>
  <c r="M41" i="33"/>
  <c r="M42" i="49" s="1"/>
  <c r="E13" i="9"/>
  <c r="M7" i="33"/>
  <c r="M8" i="49" s="1"/>
  <c r="M185" i="49"/>
  <c r="L131" i="33"/>
  <c r="D18" i="48"/>
  <c r="L5" i="33"/>
  <c r="M5" i="33" s="1"/>
  <c r="C5" i="11" s="1"/>
  <c r="H5" i="11" s="1"/>
  <c r="I5" i="11" s="1"/>
  <c r="C200" i="34" l="1"/>
  <c r="E190" i="25"/>
  <c r="C189" i="11"/>
  <c r="H189" i="11" s="1"/>
  <c r="I189" i="11" s="1"/>
  <c r="N189" i="33"/>
  <c r="D189" i="37" s="1"/>
  <c r="E221" i="25"/>
  <c r="C220" i="11"/>
  <c r="H220" i="11" s="1"/>
  <c r="I220" i="11" s="1"/>
  <c r="N220" i="33"/>
  <c r="D220" i="37" s="1"/>
  <c r="C231" i="34"/>
  <c r="E24" i="25"/>
  <c r="C23" i="11"/>
  <c r="H23" i="11" s="1"/>
  <c r="I23" i="11" s="1"/>
  <c r="N23" i="33"/>
  <c r="D23" i="37" s="1"/>
  <c r="C34" i="34"/>
  <c r="E40" i="25"/>
  <c r="C39" i="11"/>
  <c r="H39" i="11" s="1"/>
  <c r="I39" i="11" s="1"/>
  <c r="C50" i="34"/>
  <c r="N39" i="33"/>
  <c r="D39" i="37" s="1"/>
  <c r="N129" i="33"/>
  <c r="D129" i="37" s="1"/>
  <c r="E130" i="25"/>
  <c r="C129" i="11"/>
  <c r="H129" i="11" s="1"/>
  <c r="I129" i="11" s="1"/>
  <c r="C140" i="34"/>
  <c r="C29" i="11"/>
  <c r="H29" i="11" s="1"/>
  <c r="I29" i="11" s="1"/>
  <c r="C40" i="34"/>
  <c r="E30" i="25"/>
  <c r="N29" i="33"/>
  <c r="D29" i="37" s="1"/>
  <c r="E198" i="25"/>
  <c r="C208" i="34"/>
  <c r="C197" i="11"/>
  <c r="H197" i="11" s="1"/>
  <c r="I197" i="11" s="1"/>
  <c r="N197" i="33"/>
  <c r="D197" i="37" s="1"/>
  <c r="E134" i="25"/>
  <c r="C144" i="34"/>
  <c r="N133" i="33"/>
  <c r="D133" i="37" s="1"/>
  <c r="C133" i="11"/>
  <c r="H133" i="11" s="1"/>
  <c r="I133" i="11" s="1"/>
  <c r="N226" i="33"/>
  <c r="D226" i="37" s="1"/>
  <c r="E227" i="25"/>
  <c r="C237" i="34"/>
  <c r="C226" i="11"/>
  <c r="H226" i="11" s="1"/>
  <c r="I226" i="11" s="1"/>
  <c r="C8" i="11"/>
  <c r="H8" i="11" s="1"/>
  <c r="I8" i="11" s="1"/>
  <c r="C19" i="34"/>
  <c r="E9" i="25"/>
  <c r="N8" i="33"/>
  <c r="D8" i="37" s="1"/>
  <c r="N243" i="33"/>
  <c r="D243" i="37" s="1"/>
  <c r="E244" i="25"/>
  <c r="C243" i="11"/>
  <c r="H243" i="11" s="1"/>
  <c r="I243" i="11" s="1"/>
  <c r="C254" i="34"/>
  <c r="N275" i="33"/>
  <c r="D275" i="37" s="1"/>
  <c r="C275" i="11"/>
  <c r="H275" i="11" s="1"/>
  <c r="I275" i="11" s="1"/>
  <c r="E276" i="25"/>
  <c r="C286" i="34"/>
  <c r="N299" i="33"/>
  <c r="D299" i="37" s="1"/>
  <c r="C299" i="11"/>
  <c r="H299" i="11" s="1"/>
  <c r="I299" i="11" s="1"/>
  <c r="E300" i="25"/>
  <c r="C310" i="34"/>
  <c r="N233" i="33"/>
  <c r="D233" i="37" s="1"/>
  <c r="E234" i="25"/>
  <c r="C233" i="11"/>
  <c r="H233" i="11" s="1"/>
  <c r="I233" i="11" s="1"/>
  <c r="C244" i="34"/>
  <c r="N127" i="33"/>
  <c r="D127" i="37" s="1"/>
  <c r="E128" i="25"/>
  <c r="C138" i="34"/>
  <c r="C127" i="11"/>
  <c r="H127" i="11" s="1"/>
  <c r="I127" i="11" s="1"/>
  <c r="E311" i="25"/>
  <c r="C310" i="11"/>
  <c r="H310" i="11" s="1"/>
  <c r="I310" i="11" s="1"/>
  <c r="N310" i="33"/>
  <c r="D310" i="37" s="1"/>
  <c r="C321" i="34"/>
  <c r="N265" i="33"/>
  <c r="D265" i="37" s="1"/>
  <c r="E266" i="25"/>
  <c r="C265" i="11"/>
  <c r="H265" i="11" s="1"/>
  <c r="I265" i="11" s="1"/>
  <c r="C276" i="34"/>
  <c r="C45" i="11"/>
  <c r="H45" i="11" s="1"/>
  <c r="I45" i="11" s="1"/>
  <c r="C56" i="34"/>
  <c r="E46" i="25"/>
  <c r="N45" i="33"/>
  <c r="D45" i="37" s="1"/>
  <c r="N219" i="33"/>
  <c r="D219" i="37" s="1"/>
  <c r="E220" i="25"/>
  <c r="C219" i="11"/>
  <c r="H219" i="11" s="1"/>
  <c r="I219" i="11" s="1"/>
  <c r="C230" i="34"/>
  <c r="E72" i="25"/>
  <c r="C71" i="11"/>
  <c r="H71" i="11" s="1"/>
  <c r="I71" i="11" s="1"/>
  <c r="C82" i="34"/>
  <c r="N71" i="33"/>
  <c r="D71" i="37" s="1"/>
  <c r="E58" i="25"/>
  <c r="C57" i="11"/>
  <c r="H57" i="11" s="1"/>
  <c r="I57" i="11" s="1"/>
  <c r="C68" i="34"/>
  <c r="N57" i="33"/>
  <c r="D57" i="37" s="1"/>
  <c r="N18" i="33"/>
  <c r="D18" i="37" s="1"/>
  <c r="E19" i="25"/>
  <c r="C29" i="34"/>
  <c r="C18" i="11"/>
  <c r="H18" i="11" s="1"/>
  <c r="I18" i="11" s="1"/>
  <c r="E120" i="25"/>
  <c r="C119" i="11"/>
  <c r="H119" i="11" s="1"/>
  <c r="I119" i="11" s="1"/>
  <c r="C130" i="34"/>
  <c r="N119" i="33"/>
  <c r="D119" i="37" s="1"/>
  <c r="C280" i="34"/>
  <c r="E270" i="25"/>
  <c r="C269" i="11"/>
  <c r="H269" i="11" s="1"/>
  <c r="I269" i="11" s="1"/>
  <c r="N269" i="33"/>
  <c r="D269" i="37" s="1"/>
  <c r="E39" i="25"/>
  <c r="C38" i="11"/>
  <c r="H38" i="11" s="1"/>
  <c r="I38" i="11" s="1"/>
  <c r="C49" i="34"/>
  <c r="N38" i="33"/>
  <c r="D38" i="37" s="1"/>
  <c r="E189" i="25"/>
  <c r="C188" i="11"/>
  <c r="H188" i="11" s="1"/>
  <c r="I188" i="11" s="1"/>
  <c r="C199" i="34"/>
  <c r="N188" i="33"/>
  <c r="D188" i="37" s="1"/>
  <c r="E301" i="25"/>
  <c r="C300" i="11"/>
  <c r="H300" i="11" s="1"/>
  <c r="I300" i="11" s="1"/>
  <c r="C311" i="34"/>
  <c r="N300" i="33"/>
  <c r="D300" i="37" s="1"/>
  <c r="N255" i="33"/>
  <c r="D255" i="37" s="1"/>
  <c r="E256" i="25"/>
  <c r="C255" i="11"/>
  <c r="H255" i="11" s="1"/>
  <c r="I255" i="11" s="1"/>
  <c r="C266" i="34"/>
  <c r="N147" i="33"/>
  <c r="D147" i="37" s="1"/>
  <c r="E148" i="25"/>
  <c r="C147" i="11"/>
  <c r="H147" i="11" s="1"/>
  <c r="I147" i="11" s="1"/>
  <c r="C158" i="34"/>
  <c r="N251" i="33"/>
  <c r="D251" i="37" s="1"/>
  <c r="E252" i="25"/>
  <c r="C251" i="11"/>
  <c r="H251" i="11" s="1"/>
  <c r="I251" i="11" s="1"/>
  <c r="C262" i="34"/>
  <c r="E240" i="25"/>
  <c r="C239" i="11"/>
  <c r="H239" i="11" s="1"/>
  <c r="I239" i="11" s="1"/>
  <c r="C250" i="34"/>
  <c r="N239" i="33"/>
  <c r="D239" i="37" s="1"/>
  <c r="N137" i="33"/>
  <c r="D137" i="37" s="1"/>
  <c r="E138" i="25"/>
  <c r="C137" i="11"/>
  <c r="H137" i="11" s="1"/>
  <c r="I137" i="11" s="1"/>
  <c r="C148" i="34"/>
  <c r="M72" i="49"/>
  <c r="M270" i="49"/>
  <c r="M311" i="49"/>
  <c r="N123" i="33"/>
  <c r="D123" i="37" s="1"/>
  <c r="E124" i="25"/>
  <c r="C123" i="11"/>
  <c r="H123" i="11" s="1"/>
  <c r="I123" i="11" s="1"/>
  <c r="C134" i="34"/>
  <c r="E48" i="25"/>
  <c r="C47" i="11"/>
  <c r="H47" i="11" s="1"/>
  <c r="I47" i="11" s="1"/>
  <c r="C58" i="34"/>
  <c r="N47" i="33"/>
  <c r="D47" i="37" s="1"/>
  <c r="E103" i="25"/>
  <c r="C102" i="11"/>
  <c r="H102" i="11" s="1"/>
  <c r="I102" i="11" s="1"/>
  <c r="C113" i="34"/>
  <c r="N102" i="33"/>
  <c r="D102" i="37" s="1"/>
  <c r="C254" i="11"/>
  <c r="H254" i="11" s="1"/>
  <c r="I254" i="11" s="1"/>
  <c r="C265" i="34"/>
  <c r="N254" i="33"/>
  <c r="D254" i="37" s="1"/>
  <c r="E255" i="25"/>
  <c r="C56" i="11"/>
  <c r="H56" i="11" s="1"/>
  <c r="I56" i="11" s="1"/>
  <c r="C67" i="34"/>
  <c r="E57" i="25"/>
  <c r="N56" i="33"/>
  <c r="D56" i="37" s="1"/>
  <c r="N186" i="33"/>
  <c r="D186" i="37" s="1"/>
  <c r="E187" i="25"/>
  <c r="C197" i="34"/>
  <c r="C186" i="11"/>
  <c r="H186" i="11" s="1"/>
  <c r="I186" i="11" s="1"/>
  <c r="N298" i="33"/>
  <c r="D298" i="37" s="1"/>
  <c r="E299" i="25"/>
  <c r="C309" i="34"/>
  <c r="C298" i="11"/>
  <c r="H298" i="11" s="1"/>
  <c r="I298" i="11" s="1"/>
  <c r="N65" i="33"/>
  <c r="D65" i="37" s="1"/>
  <c r="E66" i="25"/>
  <c r="C65" i="11"/>
  <c r="H65" i="11" s="1"/>
  <c r="I65" i="11" s="1"/>
  <c r="C76" i="34"/>
  <c r="N130" i="33"/>
  <c r="D130" i="37" s="1"/>
  <c r="E131" i="25"/>
  <c r="C141" i="34"/>
  <c r="C130" i="11"/>
  <c r="H130" i="11" s="1"/>
  <c r="I130" i="11" s="1"/>
  <c r="N64" i="33"/>
  <c r="D64" i="37" s="1"/>
  <c r="C75" i="34"/>
  <c r="E65" i="25"/>
  <c r="C64" i="11"/>
  <c r="H64" i="11" s="1"/>
  <c r="I64" i="11" s="1"/>
  <c r="E87" i="25"/>
  <c r="C86" i="11"/>
  <c r="H86" i="11" s="1"/>
  <c r="I86" i="11" s="1"/>
  <c r="C97" i="34"/>
  <c r="N86" i="33"/>
  <c r="D86" i="37" s="1"/>
  <c r="E109" i="25"/>
  <c r="C108" i="11"/>
  <c r="H108" i="11" s="1"/>
  <c r="I108" i="11" s="1"/>
  <c r="C119" i="34"/>
  <c r="N108" i="33"/>
  <c r="D108" i="37" s="1"/>
  <c r="C312" i="34"/>
  <c r="E302" i="25"/>
  <c r="C301" i="11"/>
  <c r="H301" i="11" s="1"/>
  <c r="I301" i="11" s="1"/>
  <c r="N301" i="33"/>
  <c r="D301" i="37" s="1"/>
  <c r="E309" i="25"/>
  <c r="C319" i="34"/>
  <c r="C308" i="11"/>
  <c r="H308" i="11" s="1"/>
  <c r="I308" i="11" s="1"/>
  <c r="N308" i="33"/>
  <c r="D308" i="37" s="1"/>
  <c r="C155" i="34"/>
  <c r="E145" i="25"/>
  <c r="C144" i="11"/>
  <c r="H144" i="11" s="1"/>
  <c r="I144" i="11" s="1"/>
  <c r="N144" i="33"/>
  <c r="D144" i="37" s="1"/>
  <c r="N200" i="33"/>
  <c r="D200" i="37" s="1"/>
  <c r="C211" i="34"/>
  <c r="E201" i="25"/>
  <c r="C200" i="11"/>
  <c r="H200" i="11" s="1"/>
  <c r="I200" i="11" s="1"/>
  <c r="N154" i="33"/>
  <c r="D154" i="37" s="1"/>
  <c r="E155" i="25"/>
  <c r="C165" i="34"/>
  <c r="C154" i="11"/>
  <c r="H154" i="11" s="1"/>
  <c r="I154" i="11" s="1"/>
  <c r="E135" i="25"/>
  <c r="C134" i="11"/>
  <c r="H134" i="11" s="1"/>
  <c r="I134" i="11" s="1"/>
  <c r="C145" i="34"/>
  <c r="N134" i="33"/>
  <c r="D134" i="37" s="1"/>
  <c r="N279" i="33"/>
  <c r="D279" i="37" s="1"/>
  <c r="E280" i="25"/>
  <c r="C279" i="11"/>
  <c r="H279" i="11" s="1"/>
  <c r="I279" i="11" s="1"/>
  <c r="C290" i="34"/>
  <c r="E101" i="25"/>
  <c r="C100" i="11"/>
  <c r="H100" i="11" s="1"/>
  <c r="I100" i="11" s="1"/>
  <c r="C111" i="34"/>
  <c r="N100" i="33"/>
  <c r="D100" i="37" s="1"/>
  <c r="N202" i="33"/>
  <c r="D202" i="37" s="1"/>
  <c r="E203" i="25"/>
  <c r="C213" i="34"/>
  <c r="C202" i="11"/>
  <c r="H202" i="11" s="1"/>
  <c r="I202" i="11" s="1"/>
  <c r="N240" i="33"/>
  <c r="D240" i="37" s="1"/>
  <c r="C251" i="34"/>
  <c r="E241" i="25"/>
  <c r="C240" i="11"/>
  <c r="H240" i="11" s="1"/>
  <c r="I240" i="11" s="1"/>
  <c r="N152" i="33"/>
  <c r="D152" i="37" s="1"/>
  <c r="C163" i="34"/>
  <c r="E153" i="25"/>
  <c r="C152" i="11"/>
  <c r="H152" i="11" s="1"/>
  <c r="I152" i="11" s="1"/>
  <c r="E176" i="25"/>
  <c r="C186" i="34"/>
  <c r="C175" i="11"/>
  <c r="H175" i="11" s="1"/>
  <c r="I175" i="11" s="1"/>
  <c r="N175" i="33"/>
  <c r="D175" i="37" s="1"/>
  <c r="N210" i="33"/>
  <c r="D210" i="37" s="1"/>
  <c r="E211" i="25"/>
  <c r="C221" i="34"/>
  <c r="C210" i="11"/>
  <c r="H210" i="11" s="1"/>
  <c r="I210" i="11" s="1"/>
  <c r="E71" i="25"/>
  <c r="C70" i="11"/>
  <c r="H70" i="11" s="1"/>
  <c r="I70" i="11" s="1"/>
  <c r="C81" i="34"/>
  <c r="N70" i="33"/>
  <c r="D70" i="37" s="1"/>
  <c r="N51" i="33"/>
  <c r="D51" i="37" s="1"/>
  <c r="E52" i="25"/>
  <c r="C51" i="11"/>
  <c r="H51" i="11" s="1"/>
  <c r="I51" i="11" s="1"/>
  <c r="C62" i="34"/>
  <c r="N242" i="33"/>
  <c r="D242" i="37" s="1"/>
  <c r="E243" i="25"/>
  <c r="C253" i="34"/>
  <c r="C242" i="11"/>
  <c r="N290" i="33"/>
  <c r="D290" i="37" s="1"/>
  <c r="E291" i="25"/>
  <c r="C301" i="34"/>
  <c r="C290" i="11"/>
  <c r="H290" i="11" s="1"/>
  <c r="I290" i="11" s="1"/>
  <c r="M71" i="49"/>
  <c r="M252" i="49"/>
  <c r="M120" i="49"/>
  <c r="M131" i="49"/>
  <c r="M255" i="49"/>
  <c r="M299" i="49"/>
  <c r="M276" i="49"/>
  <c r="E8" i="25"/>
  <c r="C18" i="34"/>
  <c r="C7" i="11"/>
  <c r="H7" i="11" s="1"/>
  <c r="I7" i="11" s="1"/>
  <c r="N7" i="33"/>
  <c r="D7" i="37" s="1"/>
  <c r="C40" i="11"/>
  <c r="H40" i="11" s="1"/>
  <c r="I40" i="11" s="1"/>
  <c r="C51" i="34"/>
  <c r="E41" i="25"/>
  <c r="N40" i="33"/>
  <c r="D40" i="37" s="1"/>
  <c r="E160" i="25"/>
  <c r="C170" i="34"/>
  <c r="C159" i="11"/>
  <c r="H159" i="11" s="1"/>
  <c r="I159" i="11" s="1"/>
  <c r="N159" i="33"/>
  <c r="D159" i="37" s="1"/>
  <c r="N267" i="33"/>
  <c r="D267" i="37" s="1"/>
  <c r="E268" i="25"/>
  <c r="C267" i="11"/>
  <c r="H267" i="11" s="1"/>
  <c r="I267" i="11" s="1"/>
  <c r="C278" i="34"/>
  <c r="C168" i="34"/>
  <c r="E158" i="25"/>
  <c r="C157" i="11"/>
  <c r="H157" i="11" s="1"/>
  <c r="I157" i="11" s="1"/>
  <c r="N157" i="33"/>
  <c r="D157" i="37" s="1"/>
  <c r="N235" i="33"/>
  <c r="D235" i="37" s="1"/>
  <c r="E236" i="25"/>
  <c r="C235" i="11"/>
  <c r="H235" i="11" s="1"/>
  <c r="I235" i="11" s="1"/>
  <c r="C246" i="34"/>
  <c r="C13" i="11"/>
  <c r="H13" i="11" s="1"/>
  <c r="I13" i="11" s="1"/>
  <c r="C24" i="34"/>
  <c r="E14" i="25"/>
  <c r="N13" i="33"/>
  <c r="D13" i="37" s="1"/>
  <c r="N75" i="33"/>
  <c r="D75" i="37" s="1"/>
  <c r="E76" i="25"/>
  <c r="C86" i="34"/>
  <c r="C75" i="11"/>
  <c r="H75" i="11" s="1"/>
  <c r="I75" i="11" s="1"/>
  <c r="N73" i="33"/>
  <c r="D73" i="37" s="1"/>
  <c r="E74" i="25"/>
  <c r="C73" i="11"/>
  <c r="H73" i="11" s="1"/>
  <c r="I73" i="11" s="1"/>
  <c r="C84" i="34"/>
  <c r="C24" i="11"/>
  <c r="H24" i="11" s="1"/>
  <c r="I24" i="11" s="1"/>
  <c r="C35" i="34"/>
  <c r="E25" i="25"/>
  <c r="N24" i="33"/>
  <c r="D24" i="37" s="1"/>
  <c r="N273" i="33"/>
  <c r="D273" i="37" s="1"/>
  <c r="C273" i="11"/>
  <c r="H273" i="11" s="1"/>
  <c r="I273" i="11" s="1"/>
  <c r="E274" i="25"/>
  <c r="C284" i="34"/>
  <c r="N313" i="33"/>
  <c r="D313" i="37" s="1"/>
  <c r="C313" i="11"/>
  <c r="H313" i="11" s="1"/>
  <c r="I313" i="11" s="1"/>
  <c r="E314" i="25"/>
  <c r="C324" i="34"/>
  <c r="E80" i="25"/>
  <c r="C90" i="34"/>
  <c r="C79" i="11"/>
  <c r="H79" i="11" s="1"/>
  <c r="I79" i="11" s="1"/>
  <c r="N79" i="33"/>
  <c r="D79" i="37" s="1"/>
  <c r="N281" i="33"/>
  <c r="D281" i="37" s="1"/>
  <c r="C281" i="11"/>
  <c r="H281" i="11" s="1"/>
  <c r="I281" i="11" s="1"/>
  <c r="E282" i="25"/>
  <c r="C292" i="34"/>
  <c r="N43" i="33"/>
  <c r="D43" i="37" s="1"/>
  <c r="E44" i="25"/>
  <c r="C43" i="11"/>
  <c r="H43" i="11" s="1"/>
  <c r="I43" i="11" s="1"/>
  <c r="C54" i="34"/>
  <c r="E7" i="25"/>
  <c r="C6" i="11"/>
  <c r="H6" i="11" s="1"/>
  <c r="I6" i="11" s="1"/>
  <c r="C17" i="34"/>
  <c r="N6" i="33"/>
  <c r="D6" i="37" s="1"/>
  <c r="N305" i="33"/>
  <c r="D305" i="37" s="1"/>
  <c r="C305" i="11"/>
  <c r="H305" i="11" s="1"/>
  <c r="I305" i="11" s="1"/>
  <c r="E306" i="25"/>
  <c r="C316" i="34"/>
  <c r="N307" i="33"/>
  <c r="D307" i="37" s="1"/>
  <c r="C307" i="11"/>
  <c r="H307" i="11" s="1"/>
  <c r="I307" i="11" s="1"/>
  <c r="E308" i="25"/>
  <c r="C318" i="34"/>
  <c r="E165" i="25"/>
  <c r="C164" i="11"/>
  <c r="H164" i="11" s="1"/>
  <c r="I164" i="11" s="1"/>
  <c r="C175" i="34"/>
  <c r="N164" i="33"/>
  <c r="D164" i="37" s="1"/>
  <c r="C43" i="34"/>
  <c r="E33" i="25"/>
  <c r="N32" i="33"/>
  <c r="D32" i="37" s="1"/>
  <c r="C32" i="11"/>
  <c r="H32" i="11" s="1"/>
  <c r="I32" i="11" s="1"/>
  <c r="E197" i="25"/>
  <c r="C196" i="11"/>
  <c r="H196" i="11" s="1"/>
  <c r="I196" i="11" s="1"/>
  <c r="N196" i="33"/>
  <c r="D196" i="37" s="1"/>
  <c r="C207" i="34"/>
  <c r="E199" i="25"/>
  <c r="C198" i="11"/>
  <c r="H198" i="11" s="1"/>
  <c r="I198" i="11" s="1"/>
  <c r="C209" i="34"/>
  <c r="N198" i="33"/>
  <c r="D198" i="37" s="1"/>
  <c r="N59" i="33"/>
  <c r="D59" i="37" s="1"/>
  <c r="E60" i="25"/>
  <c r="C59" i="11"/>
  <c r="H59" i="11" s="1"/>
  <c r="I59" i="11" s="1"/>
  <c r="C70" i="34"/>
  <c r="C136" i="34"/>
  <c r="E126" i="25"/>
  <c r="C125" i="11"/>
  <c r="H125" i="11" s="1"/>
  <c r="I125" i="11" s="1"/>
  <c r="N125" i="33"/>
  <c r="D125" i="37" s="1"/>
  <c r="E205" i="25"/>
  <c r="C204" i="11"/>
  <c r="H204" i="11" s="1"/>
  <c r="I204" i="11" s="1"/>
  <c r="C215" i="34"/>
  <c r="N204" i="33"/>
  <c r="D204" i="37" s="1"/>
  <c r="N35" i="33"/>
  <c r="D35" i="37" s="1"/>
  <c r="E36" i="25"/>
  <c r="C35" i="11"/>
  <c r="H35" i="11" s="1"/>
  <c r="I35" i="11" s="1"/>
  <c r="C46" i="34"/>
  <c r="E143" i="25"/>
  <c r="C142" i="11"/>
  <c r="H142" i="11" s="1"/>
  <c r="I142" i="11" s="1"/>
  <c r="C153" i="34"/>
  <c r="N142" i="33"/>
  <c r="D142" i="37" s="1"/>
  <c r="N171" i="33"/>
  <c r="D171" i="37" s="1"/>
  <c r="E172" i="25"/>
  <c r="C171" i="11"/>
  <c r="H171" i="11" s="1"/>
  <c r="I171" i="11" s="1"/>
  <c r="C182" i="34"/>
  <c r="E208" i="25"/>
  <c r="C207" i="11"/>
  <c r="H207" i="11" s="1"/>
  <c r="I207" i="11" s="1"/>
  <c r="C218" i="34"/>
  <c r="N207" i="33"/>
  <c r="D207" i="37" s="1"/>
  <c r="N211" i="33"/>
  <c r="D211" i="37" s="1"/>
  <c r="E212" i="25"/>
  <c r="C211" i="11"/>
  <c r="H211" i="11" s="1"/>
  <c r="I211" i="11" s="1"/>
  <c r="C222" i="34"/>
  <c r="E136" i="25"/>
  <c r="C135" i="11"/>
  <c r="H135" i="11" s="1"/>
  <c r="I135" i="11" s="1"/>
  <c r="C146" i="34"/>
  <c r="N135" i="33"/>
  <c r="D135" i="37" s="1"/>
  <c r="N66" i="33"/>
  <c r="D66" i="37" s="1"/>
  <c r="E67" i="25"/>
  <c r="C77" i="34"/>
  <c r="C66" i="11"/>
  <c r="H66" i="11" s="1"/>
  <c r="I66" i="11" s="1"/>
  <c r="E175" i="25"/>
  <c r="C174" i="11"/>
  <c r="H174" i="11" s="1"/>
  <c r="I174" i="11" s="1"/>
  <c r="C185" i="34"/>
  <c r="N174" i="33"/>
  <c r="D174" i="37" s="1"/>
  <c r="N151" i="33"/>
  <c r="D151" i="37" s="1"/>
  <c r="E152" i="25"/>
  <c r="C151" i="11"/>
  <c r="H151" i="11" s="1"/>
  <c r="I151" i="11" s="1"/>
  <c r="C162" i="34"/>
  <c r="E112" i="25"/>
  <c r="C122" i="34"/>
  <c r="C111" i="11"/>
  <c r="H111" i="11" s="1"/>
  <c r="I111" i="11" s="1"/>
  <c r="N111" i="33"/>
  <c r="D111" i="37" s="1"/>
  <c r="N89" i="33"/>
  <c r="D89" i="37" s="1"/>
  <c r="E90" i="25"/>
  <c r="C89" i="11"/>
  <c r="H89" i="11" s="1"/>
  <c r="I89" i="11" s="1"/>
  <c r="C100" i="34"/>
  <c r="C120" i="34"/>
  <c r="E110" i="25"/>
  <c r="C109" i="11"/>
  <c r="H109" i="11" s="1"/>
  <c r="I109" i="11" s="1"/>
  <c r="N109" i="33"/>
  <c r="D109" i="37" s="1"/>
  <c r="C77" i="11"/>
  <c r="H77" i="11" s="1"/>
  <c r="I77" i="11" s="1"/>
  <c r="C88" i="34"/>
  <c r="E78" i="25"/>
  <c r="N77" i="33"/>
  <c r="D77" i="37" s="1"/>
  <c r="N91" i="33"/>
  <c r="D91" i="37" s="1"/>
  <c r="E92" i="25"/>
  <c r="C91" i="11"/>
  <c r="H91" i="11" s="1"/>
  <c r="I91" i="11" s="1"/>
  <c r="C102" i="34"/>
  <c r="N283" i="33"/>
  <c r="D283" i="37" s="1"/>
  <c r="C283" i="11"/>
  <c r="H283" i="11" s="1"/>
  <c r="I283" i="11" s="1"/>
  <c r="C294" i="34"/>
  <c r="E284" i="25"/>
  <c r="N231" i="33"/>
  <c r="D231" i="37" s="1"/>
  <c r="E232" i="25"/>
  <c r="C231" i="11"/>
  <c r="H231" i="11" s="1"/>
  <c r="I231" i="11" s="1"/>
  <c r="C242" i="34"/>
  <c r="N291" i="33"/>
  <c r="D291" i="37" s="1"/>
  <c r="C291" i="11"/>
  <c r="H291" i="11" s="1"/>
  <c r="I291" i="11" s="1"/>
  <c r="E292" i="25"/>
  <c r="C302" i="34"/>
  <c r="E269" i="25"/>
  <c r="C268" i="11"/>
  <c r="H268" i="11" s="1"/>
  <c r="I268" i="11" s="1"/>
  <c r="C279" i="34"/>
  <c r="N268" i="33"/>
  <c r="D268" i="37" s="1"/>
  <c r="N163" i="33"/>
  <c r="D163" i="37" s="1"/>
  <c r="E164" i="25"/>
  <c r="C163" i="11"/>
  <c r="H163" i="11" s="1"/>
  <c r="I163" i="11" s="1"/>
  <c r="C174" i="34"/>
  <c r="E137" i="9"/>
  <c r="M131" i="33"/>
  <c r="N304" i="33"/>
  <c r="D304" i="37" s="1"/>
  <c r="E305" i="25"/>
  <c r="C315" i="34"/>
  <c r="C304" i="11"/>
  <c r="H304" i="11" s="1"/>
  <c r="I304" i="11" s="1"/>
  <c r="N169" i="33"/>
  <c r="D169" i="37" s="1"/>
  <c r="E170" i="25"/>
  <c r="C169" i="11"/>
  <c r="H169" i="11" s="1"/>
  <c r="I169" i="11" s="1"/>
  <c r="C180" i="34"/>
  <c r="C304" i="34"/>
  <c r="E294" i="25"/>
  <c r="C293" i="11"/>
  <c r="H293" i="11" s="1"/>
  <c r="I293" i="11" s="1"/>
  <c r="N293" i="33"/>
  <c r="D293" i="37" s="1"/>
  <c r="E34" i="25"/>
  <c r="C33" i="11"/>
  <c r="H33" i="11" s="1"/>
  <c r="I33" i="11" s="1"/>
  <c r="C44" i="34"/>
  <c r="N33" i="33"/>
  <c r="D33" i="37" s="1"/>
  <c r="E214" i="25"/>
  <c r="C224" i="34"/>
  <c r="C213" i="11"/>
  <c r="H213" i="11" s="1"/>
  <c r="I213" i="11" s="1"/>
  <c r="N213" i="33"/>
  <c r="D213" i="37" s="1"/>
  <c r="E183" i="25"/>
  <c r="C182" i="11"/>
  <c r="H182" i="11" s="1"/>
  <c r="I182" i="11" s="1"/>
  <c r="C193" i="34"/>
  <c r="N182" i="33"/>
  <c r="D182" i="37" s="1"/>
  <c r="E245" i="25"/>
  <c r="C255" i="34"/>
  <c r="N244" i="33"/>
  <c r="D244" i="37" s="1"/>
  <c r="C244" i="11"/>
  <c r="H244" i="11" s="1"/>
  <c r="I244" i="11" s="1"/>
  <c r="E55" i="25"/>
  <c r="C54" i="11"/>
  <c r="H54" i="11" s="1"/>
  <c r="I54" i="11" s="1"/>
  <c r="C65" i="34"/>
  <c r="N54" i="33"/>
  <c r="D54" i="37" s="1"/>
  <c r="E149" i="25"/>
  <c r="C148" i="11"/>
  <c r="H148" i="11" s="1"/>
  <c r="I148" i="11" s="1"/>
  <c r="C159" i="34"/>
  <c r="N148" i="33"/>
  <c r="D148" i="37" s="1"/>
  <c r="N274" i="33"/>
  <c r="D274" i="37" s="1"/>
  <c r="E275" i="25"/>
  <c r="C285" i="34"/>
  <c r="C274" i="11"/>
  <c r="H274" i="11" s="1"/>
  <c r="I274" i="11" s="1"/>
  <c r="C171" i="34"/>
  <c r="E161" i="25"/>
  <c r="N160" i="33"/>
  <c r="D160" i="37" s="1"/>
  <c r="C160" i="11"/>
  <c r="H160" i="11" s="1"/>
  <c r="I160" i="11" s="1"/>
  <c r="N112" i="33"/>
  <c r="D112" i="37" s="1"/>
  <c r="C123" i="34"/>
  <c r="E113" i="25"/>
  <c r="C112" i="11"/>
  <c r="H112" i="11" s="1"/>
  <c r="I112" i="11" s="1"/>
  <c r="N136" i="33"/>
  <c r="D136" i="37" s="1"/>
  <c r="C147" i="34"/>
  <c r="E137" i="25"/>
  <c r="C136" i="11"/>
  <c r="H136" i="11" s="1"/>
  <c r="I136" i="11" s="1"/>
  <c r="E261" i="25"/>
  <c r="C260" i="11"/>
  <c r="H260" i="11" s="1"/>
  <c r="I260" i="11" s="1"/>
  <c r="C271" i="34"/>
  <c r="N260" i="33"/>
  <c r="D260" i="37" s="1"/>
  <c r="E157" i="25"/>
  <c r="C156" i="11"/>
  <c r="H156" i="11" s="1"/>
  <c r="I156" i="11" s="1"/>
  <c r="C167" i="34"/>
  <c r="N156" i="33"/>
  <c r="D156" i="37" s="1"/>
  <c r="N96" i="33"/>
  <c r="D96" i="37" s="1"/>
  <c r="C107" i="34"/>
  <c r="E97" i="25"/>
  <c r="C96" i="11"/>
  <c r="H96" i="11" s="1"/>
  <c r="I96" i="11" s="1"/>
  <c r="E182" i="25"/>
  <c r="C192" i="34"/>
  <c r="N181" i="33"/>
  <c r="D181" i="37" s="1"/>
  <c r="C181" i="11"/>
  <c r="H181" i="11" s="1"/>
  <c r="I181" i="11" s="1"/>
  <c r="E285" i="25"/>
  <c r="C284" i="11"/>
  <c r="H284" i="11" s="1"/>
  <c r="I284" i="11" s="1"/>
  <c r="C295" i="34"/>
  <c r="N284" i="33"/>
  <c r="D284" i="37" s="1"/>
  <c r="N185" i="33"/>
  <c r="D185" i="37" s="1"/>
  <c r="E186" i="25"/>
  <c r="C185" i="11"/>
  <c r="H185" i="11" s="1"/>
  <c r="I185" i="11" s="1"/>
  <c r="C196" i="34"/>
  <c r="E273" i="25"/>
  <c r="C283" i="34"/>
  <c r="C272" i="11"/>
  <c r="H272" i="11" s="1"/>
  <c r="I272" i="11" s="1"/>
  <c r="N272" i="33"/>
  <c r="D272" i="37" s="1"/>
  <c r="M55" i="49"/>
  <c r="C248" i="34"/>
  <c r="E238" i="25"/>
  <c r="C237" i="11"/>
  <c r="H237" i="11" s="1"/>
  <c r="I237" i="11" s="1"/>
  <c r="N237" i="33"/>
  <c r="D237" i="37" s="1"/>
  <c r="N195" i="33"/>
  <c r="D195" i="37" s="1"/>
  <c r="E196" i="25"/>
  <c r="C195" i="11"/>
  <c r="H195" i="11" s="1"/>
  <c r="I195" i="11" s="1"/>
  <c r="C206" i="34"/>
  <c r="N257" i="33"/>
  <c r="D257" i="37" s="1"/>
  <c r="E258" i="25"/>
  <c r="C257" i="11"/>
  <c r="H257" i="11" s="1"/>
  <c r="I257" i="11" s="1"/>
  <c r="C268" i="34"/>
  <c r="C59" i="34"/>
  <c r="C48" i="11"/>
  <c r="H48" i="11" s="1"/>
  <c r="I48" i="11" s="1"/>
  <c r="E49" i="25"/>
  <c r="N48" i="33"/>
  <c r="D48" i="37" s="1"/>
  <c r="E254" i="25"/>
  <c r="C264" i="34"/>
  <c r="C253" i="11"/>
  <c r="H253" i="11" s="1"/>
  <c r="I253" i="11" s="1"/>
  <c r="N253" i="33"/>
  <c r="D253" i="37" s="1"/>
  <c r="N67" i="33"/>
  <c r="D67" i="37" s="1"/>
  <c r="E68" i="25"/>
  <c r="C67" i="11"/>
  <c r="H67" i="11" s="1"/>
  <c r="I67" i="11" s="1"/>
  <c r="C78" i="34"/>
  <c r="N187" i="33"/>
  <c r="D187" i="37" s="1"/>
  <c r="E188" i="25"/>
  <c r="C187" i="11"/>
  <c r="H187" i="11" s="1"/>
  <c r="I187" i="11" s="1"/>
  <c r="C198" i="34"/>
  <c r="E295" i="25"/>
  <c r="C294" i="11"/>
  <c r="H294" i="11" s="1"/>
  <c r="I294" i="11" s="1"/>
  <c r="C305" i="34"/>
  <c r="N294" i="33"/>
  <c r="D294" i="37" s="1"/>
  <c r="C152" i="34"/>
  <c r="E142" i="25"/>
  <c r="C141" i="11"/>
  <c r="H141" i="11" s="1"/>
  <c r="I141" i="11" s="1"/>
  <c r="N141" i="33"/>
  <c r="D141" i="37" s="1"/>
  <c r="N203" i="33"/>
  <c r="D203" i="37" s="1"/>
  <c r="E204" i="25"/>
  <c r="C203" i="11"/>
  <c r="H203" i="11" s="1"/>
  <c r="I203" i="11" s="1"/>
  <c r="C214" i="34"/>
  <c r="E191" i="25"/>
  <c r="C190" i="11"/>
  <c r="H190" i="11" s="1"/>
  <c r="I190" i="11" s="1"/>
  <c r="C201" i="34"/>
  <c r="N190" i="33"/>
  <c r="D190" i="37" s="1"/>
  <c r="E32" i="25"/>
  <c r="C42" i="34"/>
  <c r="C31" i="11"/>
  <c r="H31" i="11" s="1"/>
  <c r="I31" i="11" s="1"/>
  <c r="N31" i="33"/>
  <c r="D31" i="37" s="1"/>
  <c r="N122" i="33"/>
  <c r="D122" i="37" s="1"/>
  <c r="E123" i="25"/>
  <c r="C133" i="34"/>
  <c r="C122" i="11"/>
  <c r="H122" i="11" s="1"/>
  <c r="I122" i="11" s="1"/>
  <c r="N191" i="33"/>
  <c r="D191" i="37" s="1"/>
  <c r="E192" i="25"/>
  <c r="C191" i="11"/>
  <c r="H191" i="11" s="1"/>
  <c r="I191" i="11" s="1"/>
  <c r="C202" i="34"/>
  <c r="N241" i="33"/>
  <c r="D241" i="37" s="1"/>
  <c r="E242" i="25"/>
  <c r="C241" i="11"/>
  <c r="H241" i="11" s="1"/>
  <c r="I241" i="11" s="1"/>
  <c r="C252" i="34"/>
  <c r="E230" i="25"/>
  <c r="C240" i="34"/>
  <c r="C229" i="11"/>
  <c r="H229" i="11" s="1"/>
  <c r="I229" i="11" s="1"/>
  <c r="N229" i="33"/>
  <c r="D229" i="37" s="1"/>
  <c r="N115" i="33"/>
  <c r="D115" i="37" s="1"/>
  <c r="E116" i="25"/>
  <c r="C115" i="11"/>
  <c r="H115" i="11" s="1"/>
  <c r="I115" i="11" s="1"/>
  <c r="C126" i="34"/>
  <c r="C184" i="34"/>
  <c r="E174" i="25"/>
  <c r="C173" i="11"/>
  <c r="H173" i="11" s="1"/>
  <c r="I173" i="11" s="1"/>
  <c r="N173" i="33"/>
  <c r="D173" i="37" s="1"/>
  <c r="N83" i="33"/>
  <c r="D83" i="37" s="1"/>
  <c r="E84" i="25"/>
  <c r="C83" i="11"/>
  <c r="H83" i="11" s="1"/>
  <c r="I83" i="11" s="1"/>
  <c r="C94" i="34"/>
  <c r="N179" i="33"/>
  <c r="D179" i="37" s="1"/>
  <c r="E180" i="25"/>
  <c r="C179" i="11"/>
  <c r="H179" i="11" s="1"/>
  <c r="I179" i="11" s="1"/>
  <c r="C190" i="34"/>
  <c r="C21" i="11"/>
  <c r="H21" i="11" s="1"/>
  <c r="I21" i="11" s="1"/>
  <c r="E22" i="25"/>
  <c r="C32" i="34"/>
  <c r="N21" i="33"/>
  <c r="D21" i="37" s="1"/>
  <c r="E15" i="25"/>
  <c r="C14" i="11"/>
  <c r="H14" i="11" s="1"/>
  <c r="I14" i="11" s="1"/>
  <c r="C25" i="34"/>
  <c r="N14" i="33"/>
  <c r="D14" i="37" s="1"/>
  <c r="N26" i="33"/>
  <c r="D26" i="37" s="1"/>
  <c r="E27" i="25"/>
  <c r="C37" i="34"/>
  <c r="C26" i="11"/>
  <c r="H26" i="11" s="1"/>
  <c r="I26" i="11" s="1"/>
  <c r="E53" i="25"/>
  <c r="C52" i="11"/>
  <c r="H52" i="11" s="1"/>
  <c r="I52" i="11" s="1"/>
  <c r="C63" i="34"/>
  <c r="N52" i="33"/>
  <c r="D52" i="37" s="1"/>
  <c r="M234" i="49"/>
  <c r="M68" i="49"/>
  <c r="M109" i="49"/>
  <c r="M227" i="49"/>
  <c r="M230" i="49"/>
  <c r="M30" i="49"/>
  <c r="M301" i="49"/>
  <c r="E215" i="25"/>
  <c r="C214" i="11"/>
  <c r="H214" i="11" s="1"/>
  <c r="I214" i="11" s="1"/>
  <c r="C225" i="34"/>
  <c r="N214" i="33"/>
  <c r="D214" i="37" s="1"/>
  <c r="E151" i="25"/>
  <c r="C150" i="11"/>
  <c r="H150" i="11" s="1"/>
  <c r="I150" i="11" s="1"/>
  <c r="C161" i="34"/>
  <c r="N150" i="33"/>
  <c r="D150" i="37" s="1"/>
  <c r="N81" i="33"/>
  <c r="D81" i="37" s="1"/>
  <c r="E82" i="25"/>
  <c r="C81" i="11"/>
  <c r="H81" i="11" s="1"/>
  <c r="I81" i="11" s="1"/>
  <c r="C92" i="34"/>
  <c r="N250" i="33"/>
  <c r="D250" i="37" s="1"/>
  <c r="C261" i="34"/>
  <c r="E251" i="25"/>
  <c r="C250" i="11"/>
  <c r="H250" i="11" s="1"/>
  <c r="I250" i="11" s="1"/>
  <c r="E150" i="25"/>
  <c r="C160" i="34"/>
  <c r="N149" i="33"/>
  <c r="D149" i="37" s="1"/>
  <c r="C149" i="11"/>
  <c r="H149" i="11" s="1"/>
  <c r="I149" i="11" s="1"/>
  <c r="E257" i="25"/>
  <c r="C267" i="34"/>
  <c r="N256" i="33"/>
  <c r="D256" i="37" s="1"/>
  <c r="C256" i="11"/>
  <c r="H256" i="11" s="1"/>
  <c r="I256" i="11" s="1"/>
  <c r="N72" i="33"/>
  <c r="D72" i="37" s="1"/>
  <c r="C72" i="11"/>
  <c r="H72" i="11" s="1"/>
  <c r="I72" i="11" s="1"/>
  <c r="C83" i="34"/>
  <c r="E73" i="25"/>
  <c r="E303" i="25"/>
  <c r="C302" i="11"/>
  <c r="H302" i="11" s="1"/>
  <c r="I302" i="11" s="1"/>
  <c r="C313" i="34"/>
  <c r="N302" i="33"/>
  <c r="D302" i="37" s="1"/>
  <c r="N282" i="33"/>
  <c r="D282" i="37" s="1"/>
  <c r="E283" i="25"/>
  <c r="C293" i="34"/>
  <c r="C282" i="11"/>
  <c r="H282" i="11" s="1"/>
  <c r="I282" i="11" s="1"/>
  <c r="E50" i="25"/>
  <c r="C49" i="11"/>
  <c r="H49" i="11" s="1"/>
  <c r="I49" i="11" s="1"/>
  <c r="C60" i="34"/>
  <c r="N49" i="33"/>
  <c r="D49" i="37" s="1"/>
  <c r="E312" i="25"/>
  <c r="C311" i="11"/>
  <c r="H311" i="11" s="1"/>
  <c r="I311" i="11" s="1"/>
  <c r="C322" i="34"/>
  <c r="N311" i="33"/>
  <c r="D311" i="37" s="1"/>
  <c r="N88" i="33"/>
  <c r="D88" i="37" s="1"/>
  <c r="C99" i="34"/>
  <c r="C88" i="11"/>
  <c r="H88" i="11" s="1"/>
  <c r="I88" i="11" s="1"/>
  <c r="E89" i="25"/>
  <c r="C195" i="34"/>
  <c r="E185" i="25"/>
  <c r="C184" i="11"/>
  <c r="H184" i="11" s="1"/>
  <c r="I184" i="11" s="1"/>
  <c r="N184" i="33"/>
  <c r="D184" i="37" s="1"/>
  <c r="E253" i="25"/>
  <c r="C252" i="11"/>
  <c r="H252" i="11" s="1"/>
  <c r="I252" i="11" s="1"/>
  <c r="C263" i="34"/>
  <c r="N252" i="33"/>
  <c r="D252" i="37" s="1"/>
  <c r="N178" i="33"/>
  <c r="D178" i="37" s="1"/>
  <c r="E179" i="25"/>
  <c r="C189" i="34"/>
  <c r="C178" i="11"/>
  <c r="H178" i="11" s="1"/>
  <c r="I178" i="11" s="1"/>
  <c r="E229" i="25"/>
  <c r="C228" i="11"/>
  <c r="H228" i="11" s="1"/>
  <c r="I228" i="11" s="1"/>
  <c r="C239" i="34"/>
  <c r="N228" i="33"/>
  <c r="D228" i="37" s="1"/>
  <c r="N114" i="33"/>
  <c r="D114" i="37" s="1"/>
  <c r="E115" i="25"/>
  <c r="C125" i="34"/>
  <c r="C114" i="11"/>
  <c r="H114" i="11" s="1"/>
  <c r="I114" i="11" s="1"/>
  <c r="N201" i="33"/>
  <c r="D201" i="37" s="1"/>
  <c r="E202" i="25"/>
  <c r="C201" i="11"/>
  <c r="H201" i="11" s="1"/>
  <c r="I201" i="11" s="1"/>
  <c r="C212" i="34"/>
  <c r="E289" i="25"/>
  <c r="C299" i="34"/>
  <c r="N288" i="33"/>
  <c r="D288" i="37" s="1"/>
  <c r="C288" i="11"/>
  <c r="H288" i="11" s="1"/>
  <c r="I288" i="11" s="1"/>
  <c r="N50" i="33"/>
  <c r="D50" i="37" s="1"/>
  <c r="E51" i="25"/>
  <c r="C61" i="34"/>
  <c r="C50" i="11"/>
  <c r="H50" i="11" s="1"/>
  <c r="I50" i="11" s="1"/>
  <c r="N170" i="33"/>
  <c r="D170" i="37" s="1"/>
  <c r="E171" i="25"/>
  <c r="C181" i="34"/>
  <c r="C170" i="11"/>
  <c r="H170" i="11" s="1"/>
  <c r="I170" i="11" s="1"/>
  <c r="E111" i="25"/>
  <c r="C110" i="11"/>
  <c r="H110" i="11" s="1"/>
  <c r="I110" i="11" s="1"/>
  <c r="C121" i="34"/>
  <c r="N110" i="33"/>
  <c r="D110" i="37" s="1"/>
  <c r="E297" i="25"/>
  <c r="C307" i="34"/>
  <c r="C296" i="11"/>
  <c r="H296" i="11" s="1"/>
  <c r="I296" i="11" s="1"/>
  <c r="N296" i="33"/>
  <c r="D296" i="37" s="1"/>
  <c r="E141" i="25"/>
  <c r="C140" i="11"/>
  <c r="H140" i="11" s="1"/>
  <c r="I140" i="11" s="1"/>
  <c r="C151" i="34"/>
  <c r="N140" i="33"/>
  <c r="D140" i="37" s="1"/>
  <c r="N259" i="33"/>
  <c r="D259" i="37" s="1"/>
  <c r="E260" i="25"/>
  <c r="C259" i="11"/>
  <c r="H259" i="11" s="1"/>
  <c r="I259" i="11" s="1"/>
  <c r="C270" i="34"/>
  <c r="N139" i="33"/>
  <c r="D139" i="37" s="1"/>
  <c r="E140" i="25"/>
  <c r="C139" i="11"/>
  <c r="H139" i="11" s="1"/>
  <c r="I139" i="11" s="1"/>
  <c r="C150" i="34"/>
  <c r="E93" i="25"/>
  <c r="C92" i="11"/>
  <c r="H92" i="11" s="1"/>
  <c r="I92" i="11" s="1"/>
  <c r="C103" i="34"/>
  <c r="N92" i="33"/>
  <c r="D92" i="37" s="1"/>
  <c r="C320" i="34"/>
  <c r="E310" i="25"/>
  <c r="C309" i="11"/>
  <c r="H309" i="11" s="1"/>
  <c r="I309" i="11" s="1"/>
  <c r="N309" i="33"/>
  <c r="D309" i="37" s="1"/>
  <c r="E118" i="25"/>
  <c r="C128" i="34"/>
  <c r="C117" i="11"/>
  <c r="H117" i="11" s="1"/>
  <c r="I117" i="11" s="1"/>
  <c r="N117" i="33"/>
  <c r="D117" i="37" s="1"/>
  <c r="E248" i="25"/>
  <c r="C247" i="11"/>
  <c r="H247" i="11" s="1"/>
  <c r="I247" i="11" s="1"/>
  <c r="C258" i="34"/>
  <c r="N247" i="33"/>
  <c r="D247" i="37" s="1"/>
  <c r="E104" i="25"/>
  <c r="C103" i="11"/>
  <c r="H103" i="11" s="1"/>
  <c r="I103" i="11" s="1"/>
  <c r="C114" i="34"/>
  <c r="N103" i="33"/>
  <c r="D103" i="37" s="1"/>
  <c r="M305" i="49"/>
  <c r="M221" i="49"/>
  <c r="N104" i="33"/>
  <c r="D104" i="37" s="1"/>
  <c r="C115" i="34"/>
  <c r="E105" i="25"/>
  <c r="C104" i="11"/>
  <c r="H104" i="11" s="1"/>
  <c r="I104" i="11" s="1"/>
  <c r="E166" i="25"/>
  <c r="C176" i="34"/>
  <c r="C165" i="11"/>
  <c r="H165" i="11" s="1"/>
  <c r="I165" i="11" s="1"/>
  <c r="N165" i="33"/>
  <c r="D165" i="37" s="1"/>
  <c r="E237" i="25"/>
  <c r="C236" i="11"/>
  <c r="H236" i="11" s="1"/>
  <c r="I236" i="11" s="1"/>
  <c r="C247" i="34"/>
  <c r="N236" i="33"/>
  <c r="D236" i="37" s="1"/>
  <c r="E47" i="25"/>
  <c r="C46" i="11"/>
  <c r="H46" i="11" s="1"/>
  <c r="I46" i="11" s="1"/>
  <c r="C57" i="34"/>
  <c r="N46" i="33"/>
  <c r="D46" i="37" s="1"/>
  <c r="E95" i="25"/>
  <c r="C94" i="11"/>
  <c r="H94" i="11" s="1"/>
  <c r="I94" i="11" s="1"/>
  <c r="C105" i="34"/>
  <c r="N94" i="33"/>
  <c r="D94" i="37" s="1"/>
  <c r="N258" i="33"/>
  <c r="D258" i="37" s="1"/>
  <c r="C269" i="34"/>
  <c r="C258" i="11"/>
  <c r="H258" i="11" s="1"/>
  <c r="I258" i="11" s="1"/>
  <c r="E259" i="25"/>
  <c r="E239" i="25"/>
  <c r="C238" i="11"/>
  <c r="H238" i="11" s="1"/>
  <c r="I238" i="11" s="1"/>
  <c r="N238" i="33"/>
  <c r="D238" i="37" s="1"/>
  <c r="C249" i="34"/>
  <c r="N266" i="33"/>
  <c r="D266" i="37" s="1"/>
  <c r="C277" i="34"/>
  <c r="E267" i="25"/>
  <c r="C266" i="11"/>
  <c r="H266" i="11" s="1"/>
  <c r="I266" i="11" s="1"/>
  <c r="N138" i="33"/>
  <c r="D138" i="37" s="1"/>
  <c r="E139" i="25"/>
  <c r="C149" i="34"/>
  <c r="C138" i="11"/>
  <c r="H138" i="11" s="1"/>
  <c r="I138" i="11" s="1"/>
  <c r="N234" i="33"/>
  <c r="D234" i="37" s="1"/>
  <c r="E235" i="25"/>
  <c r="C245" i="34"/>
  <c r="C234" i="11"/>
  <c r="H234" i="11" s="1"/>
  <c r="I234" i="11" s="1"/>
  <c r="C139" i="34"/>
  <c r="E129" i="25"/>
  <c r="N128" i="33"/>
  <c r="D128" i="37" s="1"/>
  <c r="C128" i="11"/>
  <c r="H128" i="11" s="1"/>
  <c r="I128" i="11" s="1"/>
  <c r="N80" i="33"/>
  <c r="D80" i="37" s="1"/>
  <c r="C91" i="34"/>
  <c r="E81" i="25"/>
  <c r="C80" i="11"/>
  <c r="H80" i="11" s="1"/>
  <c r="I80" i="11" s="1"/>
  <c r="C203" i="34"/>
  <c r="E193" i="25"/>
  <c r="N192" i="33"/>
  <c r="D192" i="37" s="1"/>
  <c r="C192" i="11"/>
  <c r="H192" i="11" s="1"/>
  <c r="I192" i="11" s="1"/>
  <c r="C246" i="11"/>
  <c r="H246" i="11" s="1"/>
  <c r="I246" i="11" s="1"/>
  <c r="E247" i="25"/>
  <c r="N246" i="33"/>
  <c r="D246" i="37" s="1"/>
  <c r="C257" i="34"/>
  <c r="N280" i="33"/>
  <c r="D280" i="37" s="1"/>
  <c r="E281" i="25"/>
  <c r="C291" i="34"/>
  <c r="C280" i="11"/>
  <c r="H280" i="11" s="1"/>
  <c r="I280" i="11" s="1"/>
  <c r="E61" i="25"/>
  <c r="C60" i="11"/>
  <c r="H60" i="11" s="1"/>
  <c r="I60" i="11" s="1"/>
  <c r="C71" i="34"/>
  <c r="N60" i="33"/>
  <c r="D60" i="37" s="1"/>
  <c r="N176" i="33"/>
  <c r="D176" i="37" s="1"/>
  <c r="C187" i="34"/>
  <c r="E177" i="25"/>
  <c r="C176" i="11"/>
  <c r="H176" i="11" s="1"/>
  <c r="I176" i="11" s="1"/>
  <c r="M300" i="49"/>
  <c r="E42" i="25"/>
  <c r="C41" i="11"/>
  <c r="H41" i="11" s="1"/>
  <c r="I41" i="11" s="1"/>
  <c r="C52" i="34"/>
  <c r="N41" i="33"/>
  <c r="D41" i="37" s="1"/>
  <c r="N82" i="33"/>
  <c r="D82" i="37" s="1"/>
  <c r="E83" i="25"/>
  <c r="C93" i="34"/>
  <c r="C82" i="11"/>
  <c r="H82" i="11" s="1"/>
  <c r="I82" i="11" s="1"/>
  <c r="N107" i="33"/>
  <c r="D107" i="37" s="1"/>
  <c r="E108" i="25"/>
  <c r="C107" i="11"/>
  <c r="H107" i="11" s="1"/>
  <c r="I107" i="11" s="1"/>
  <c r="C118" i="34"/>
  <c r="E262" i="25"/>
  <c r="C272" i="34"/>
  <c r="C261" i="11"/>
  <c r="H261" i="11" s="1"/>
  <c r="I261" i="11" s="1"/>
  <c r="N261" i="33"/>
  <c r="D261" i="37" s="1"/>
  <c r="E64" i="25"/>
  <c r="C74" i="34"/>
  <c r="C63" i="11"/>
  <c r="H63" i="11" s="1"/>
  <c r="I63" i="11" s="1"/>
  <c r="N63" i="33"/>
  <c r="D63" i="37" s="1"/>
  <c r="N27" i="33"/>
  <c r="D27" i="37" s="1"/>
  <c r="E28" i="25"/>
  <c r="C27" i="11"/>
  <c r="H27" i="11" s="1"/>
  <c r="I27" i="11" s="1"/>
  <c r="C38" i="34"/>
  <c r="E223" i="25"/>
  <c r="C222" i="11"/>
  <c r="H222" i="11" s="1"/>
  <c r="I222" i="11" s="1"/>
  <c r="N222" i="33"/>
  <c r="D222" i="37" s="1"/>
  <c r="C233" i="34"/>
  <c r="E16" i="25"/>
  <c r="C15" i="11"/>
  <c r="H15" i="11" s="1"/>
  <c r="I15" i="11" s="1"/>
  <c r="C26" i="34"/>
  <c r="N15" i="33"/>
  <c r="D15" i="37" s="1"/>
  <c r="E279" i="25"/>
  <c r="C278" i="11"/>
  <c r="H278" i="11" s="1"/>
  <c r="I278" i="11" s="1"/>
  <c r="C289" i="34"/>
  <c r="N278" i="33"/>
  <c r="D278" i="37" s="1"/>
  <c r="E37" i="25"/>
  <c r="C36" i="11"/>
  <c r="H36" i="11" s="1"/>
  <c r="I36" i="11" s="1"/>
  <c r="C47" i="34"/>
  <c r="N36" i="33"/>
  <c r="D36" i="37" s="1"/>
  <c r="E31" i="25"/>
  <c r="C30" i="11"/>
  <c r="H30" i="11" s="1"/>
  <c r="I30" i="11" s="1"/>
  <c r="C41" i="34"/>
  <c r="N30" i="33"/>
  <c r="D30" i="37" s="1"/>
  <c r="E88" i="25"/>
  <c r="C87" i="11"/>
  <c r="H87" i="11" s="1"/>
  <c r="I87" i="11" s="1"/>
  <c r="C98" i="34"/>
  <c r="N87" i="33"/>
  <c r="D87" i="37" s="1"/>
  <c r="E96" i="25"/>
  <c r="C106" i="34"/>
  <c r="C95" i="11"/>
  <c r="H95" i="11" s="1"/>
  <c r="I95" i="11" s="1"/>
  <c r="N95" i="33"/>
  <c r="D95" i="37" s="1"/>
  <c r="E272" i="25"/>
  <c r="C271" i="11"/>
  <c r="H271" i="11" s="1"/>
  <c r="I271" i="11" s="1"/>
  <c r="N271" i="33"/>
  <c r="D271" i="37" s="1"/>
  <c r="C282" i="34"/>
  <c r="C243" i="34"/>
  <c r="E233" i="25"/>
  <c r="N232" i="33"/>
  <c r="D232" i="37" s="1"/>
  <c r="C232" i="11"/>
  <c r="H232" i="11" s="1"/>
  <c r="I232" i="11" s="1"/>
  <c r="E264" i="25"/>
  <c r="C263" i="11"/>
  <c r="H263" i="11" s="1"/>
  <c r="I263" i="11" s="1"/>
  <c r="N263" i="33"/>
  <c r="D263" i="37" s="1"/>
  <c r="C274" i="34"/>
  <c r="E26" i="25"/>
  <c r="C25" i="11"/>
  <c r="H25" i="11" s="1"/>
  <c r="I25" i="11" s="1"/>
  <c r="C36" i="34"/>
  <c r="N25" i="33"/>
  <c r="D25" i="37" s="1"/>
  <c r="C104" i="34"/>
  <c r="E94" i="25"/>
  <c r="C93" i="11"/>
  <c r="H93" i="11" s="1"/>
  <c r="I93" i="11" s="1"/>
  <c r="N93" i="33"/>
  <c r="D93" i="37" s="1"/>
  <c r="N10" i="33"/>
  <c r="D10" i="37" s="1"/>
  <c r="E11" i="25"/>
  <c r="C21" i="34"/>
  <c r="C10" i="11"/>
  <c r="H10" i="11" s="1"/>
  <c r="I10" i="11" s="1"/>
  <c r="E86" i="25"/>
  <c r="C96" i="34"/>
  <c r="C85" i="11"/>
  <c r="H85" i="11" s="1"/>
  <c r="I85" i="11" s="1"/>
  <c r="N85" i="33"/>
  <c r="D85" i="37" s="1"/>
  <c r="N209" i="33"/>
  <c r="D209" i="37" s="1"/>
  <c r="E210" i="25"/>
  <c r="C209" i="11"/>
  <c r="H209" i="11" s="1"/>
  <c r="I209" i="11" s="1"/>
  <c r="C220" i="34"/>
  <c r="E127" i="25"/>
  <c r="C126" i="11"/>
  <c r="H126" i="11" s="1"/>
  <c r="I126" i="11" s="1"/>
  <c r="C137" i="34"/>
  <c r="N126" i="33"/>
  <c r="D126" i="37" s="1"/>
  <c r="N215" i="33"/>
  <c r="D215" i="37" s="1"/>
  <c r="E216" i="25"/>
  <c r="C215" i="11"/>
  <c r="H215" i="11" s="1"/>
  <c r="I215" i="11" s="1"/>
  <c r="C226" i="34"/>
  <c r="N121" i="33"/>
  <c r="D121" i="37" s="1"/>
  <c r="E122" i="25"/>
  <c r="C121" i="11"/>
  <c r="H121" i="11" s="1"/>
  <c r="I121" i="11" s="1"/>
  <c r="C132" i="34"/>
  <c r="E184" i="25"/>
  <c r="C183" i="11"/>
  <c r="H183" i="11" s="1"/>
  <c r="I183" i="11" s="1"/>
  <c r="C194" i="34"/>
  <c r="N183" i="33"/>
  <c r="D183" i="37" s="1"/>
  <c r="E18" i="25"/>
  <c r="C17" i="11"/>
  <c r="H17" i="11" s="1"/>
  <c r="I17" i="11" s="1"/>
  <c r="C28" i="34"/>
  <c r="N17" i="33"/>
  <c r="D17" i="37" s="1"/>
  <c r="M285" i="49"/>
  <c r="M96" i="49"/>
  <c r="M242" i="49"/>
  <c r="M84" i="49"/>
  <c r="M259" i="49"/>
  <c r="M309" i="49"/>
  <c r="M64" i="49"/>
  <c r="M22" i="49"/>
  <c r="M238" i="49"/>
  <c r="M241" i="49"/>
  <c r="M280" i="49"/>
  <c r="M134" i="49"/>
  <c r="M223" i="49"/>
  <c r="M11" i="49"/>
  <c r="M196" i="49"/>
  <c r="M40" i="49"/>
  <c r="N145" i="33"/>
  <c r="D145" i="37" s="1"/>
  <c r="E146" i="25"/>
  <c r="C145" i="11"/>
  <c r="H145" i="11" s="1"/>
  <c r="I145" i="11" s="1"/>
  <c r="C156" i="34"/>
  <c r="N113" i="33"/>
  <c r="D113" i="37" s="1"/>
  <c r="E114" i="25"/>
  <c r="C113" i="11"/>
  <c r="H113" i="11" s="1"/>
  <c r="I113" i="11" s="1"/>
  <c r="C124" i="34"/>
  <c r="N11" i="33"/>
  <c r="D11" i="37" s="1"/>
  <c r="E12" i="25"/>
  <c r="C11" i="11"/>
  <c r="H11" i="11" s="1"/>
  <c r="I11" i="11" s="1"/>
  <c r="C22" i="34"/>
  <c r="E304" i="25"/>
  <c r="C303" i="11"/>
  <c r="H303" i="11" s="1"/>
  <c r="I303" i="11" s="1"/>
  <c r="C314" i="34"/>
  <c r="N303" i="33"/>
  <c r="D303" i="37" s="1"/>
  <c r="E29" i="25"/>
  <c r="C28" i="11"/>
  <c r="H28" i="11" s="1"/>
  <c r="I28" i="11" s="1"/>
  <c r="C39" i="34"/>
  <c r="N28" i="33"/>
  <c r="D28" i="37" s="1"/>
  <c r="N216" i="33"/>
  <c r="D216" i="37" s="1"/>
  <c r="C227" i="34"/>
  <c r="E217" i="25"/>
  <c r="C216" i="11"/>
  <c r="H216" i="11" s="1"/>
  <c r="I216" i="11" s="1"/>
  <c r="N99" i="33"/>
  <c r="D99" i="37" s="1"/>
  <c r="E100" i="25"/>
  <c r="C99" i="11"/>
  <c r="H99" i="11" s="1"/>
  <c r="I99" i="11" s="1"/>
  <c r="C110" i="34"/>
  <c r="E79" i="25"/>
  <c r="C78" i="11"/>
  <c r="H78" i="11" s="1"/>
  <c r="I78" i="11" s="1"/>
  <c r="C89" i="34"/>
  <c r="N78" i="33"/>
  <c r="D78" i="37" s="1"/>
  <c r="N193" i="33"/>
  <c r="D193" i="37" s="1"/>
  <c r="E194" i="25"/>
  <c r="C193" i="11"/>
  <c r="H193" i="11" s="1"/>
  <c r="I193" i="11" s="1"/>
  <c r="C204" i="34"/>
  <c r="N105" i="33"/>
  <c r="D105" i="37" s="1"/>
  <c r="E106" i="25"/>
  <c r="C105" i="11"/>
  <c r="H105" i="11" s="1"/>
  <c r="I105" i="11" s="1"/>
  <c r="C116" i="34"/>
  <c r="N58" i="33"/>
  <c r="D58" i="37" s="1"/>
  <c r="E59" i="25"/>
  <c r="C69" i="34"/>
  <c r="C58" i="11"/>
  <c r="H58" i="11" s="1"/>
  <c r="I58" i="11" s="1"/>
  <c r="E21" i="25"/>
  <c r="C20" i="11"/>
  <c r="H20" i="11" s="1"/>
  <c r="I20" i="11" s="1"/>
  <c r="N20" i="33"/>
  <c r="D20" i="37" s="1"/>
  <c r="C31" i="34"/>
  <c r="N297" i="33"/>
  <c r="D297" i="37" s="1"/>
  <c r="C297" i="11"/>
  <c r="H297" i="11" s="1"/>
  <c r="I297" i="11" s="1"/>
  <c r="E298" i="25"/>
  <c r="C308" i="34"/>
  <c r="N90" i="33"/>
  <c r="D90" i="37" s="1"/>
  <c r="E91" i="25"/>
  <c r="C101" i="34"/>
  <c r="C90" i="11"/>
  <c r="H90" i="11" s="1"/>
  <c r="I90" i="11" s="1"/>
  <c r="N9" i="33"/>
  <c r="D9" i="37" s="1"/>
  <c r="E10" i="25"/>
  <c r="C9" i="11"/>
  <c r="H9" i="11" s="1"/>
  <c r="I9" i="11" s="1"/>
  <c r="C20" i="34"/>
  <c r="E102" i="25"/>
  <c r="C112" i="34"/>
  <c r="C101" i="11"/>
  <c r="H101" i="11" s="1"/>
  <c r="I101" i="11" s="1"/>
  <c r="N101" i="33"/>
  <c r="D101" i="37" s="1"/>
  <c r="N227" i="33"/>
  <c r="D227" i="37" s="1"/>
  <c r="E228" i="25"/>
  <c r="C227" i="11"/>
  <c r="H227" i="11" s="1"/>
  <c r="I227" i="11" s="1"/>
  <c r="C238" i="34"/>
  <c r="E63" i="25"/>
  <c r="C62" i="11"/>
  <c r="H62" i="11" s="1"/>
  <c r="I62" i="11" s="1"/>
  <c r="C73" i="34"/>
  <c r="N62" i="33"/>
  <c r="D62" i="37" s="1"/>
  <c r="N167" i="33"/>
  <c r="D167" i="37" s="1"/>
  <c r="E168" i="25"/>
  <c r="C167" i="11"/>
  <c r="H167" i="11" s="1"/>
  <c r="I167" i="11" s="1"/>
  <c r="C178" i="34"/>
  <c r="N42" i="33"/>
  <c r="D42" i="37" s="1"/>
  <c r="E43" i="25"/>
  <c r="C53" i="34"/>
  <c r="C42" i="11"/>
  <c r="H42" i="11" s="1"/>
  <c r="I42" i="11" s="1"/>
  <c r="N153" i="33"/>
  <c r="D153" i="37" s="1"/>
  <c r="E154" i="25"/>
  <c r="C153" i="11"/>
  <c r="H153" i="11" s="1"/>
  <c r="I153" i="11" s="1"/>
  <c r="C164" i="34"/>
  <c r="E224" i="25"/>
  <c r="C223" i="11"/>
  <c r="H223" i="11" s="1"/>
  <c r="I223" i="11" s="1"/>
  <c r="N223" i="33"/>
  <c r="D223" i="37" s="1"/>
  <c r="C234" i="34"/>
  <c r="N106" i="33"/>
  <c r="D106" i="37" s="1"/>
  <c r="E107" i="25"/>
  <c r="C117" i="34"/>
  <c r="C106" i="11"/>
  <c r="H106" i="11" s="1"/>
  <c r="I106" i="11" s="1"/>
  <c r="E23" i="25"/>
  <c r="C22" i="11"/>
  <c r="H22" i="11" s="1"/>
  <c r="I22" i="11" s="1"/>
  <c r="C33" i="34"/>
  <c r="N22" i="33"/>
  <c r="D22" i="37" s="1"/>
  <c r="C296" i="34"/>
  <c r="E286" i="25"/>
  <c r="C285" i="11"/>
  <c r="H285" i="11" s="1"/>
  <c r="I285" i="11" s="1"/>
  <c r="N285" i="33"/>
  <c r="D285" i="37" s="1"/>
  <c r="C216" i="34"/>
  <c r="E206" i="25"/>
  <c r="C205" i="11"/>
  <c r="H205" i="11" s="1"/>
  <c r="I205" i="11" s="1"/>
  <c r="N205" i="33"/>
  <c r="D205" i="37" s="1"/>
  <c r="N194" i="33"/>
  <c r="D194" i="37" s="1"/>
  <c r="E195" i="25"/>
  <c r="C205" i="34"/>
  <c r="C194" i="11"/>
  <c r="H194" i="11" s="1"/>
  <c r="I194" i="11" s="1"/>
  <c r="E85" i="25"/>
  <c r="C84" i="11"/>
  <c r="H84" i="11" s="1"/>
  <c r="I84" i="11" s="1"/>
  <c r="N84" i="33"/>
  <c r="D84" i="37" s="1"/>
  <c r="C95" i="34"/>
  <c r="N177" i="33"/>
  <c r="D177" i="37" s="1"/>
  <c r="E178" i="25"/>
  <c r="C177" i="11"/>
  <c r="H177" i="11" s="1"/>
  <c r="I177" i="11" s="1"/>
  <c r="C188" i="34"/>
  <c r="C37" i="11"/>
  <c r="H37" i="11" s="1"/>
  <c r="I37" i="11" s="1"/>
  <c r="E38" i="25"/>
  <c r="C48" i="34"/>
  <c r="N37" i="33"/>
  <c r="D37" i="37" s="1"/>
  <c r="E45" i="25"/>
  <c r="C44" i="11"/>
  <c r="H44" i="11" s="1"/>
  <c r="I44" i="11" s="1"/>
  <c r="C55" i="34"/>
  <c r="N44" i="33"/>
  <c r="D44" i="37" s="1"/>
  <c r="N34" i="33"/>
  <c r="D34" i="37" s="1"/>
  <c r="E35" i="25"/>
  <c r="C45" i="34"/>
  <c r="C34" i="11"/>
  <c r="H34" i="11" s="1"/>
  <c r="I34" i="11" s="1"/>
  <c r="C53" i="11"/>
  <c r="H53" i="11" s="1"/>
  <c r="I53" i="11" s="1"/>
  <c r="E54" i="25"/>
  <c r="C64" i="34"/>
  <c r="N53" i="33"/>
  <c r="D53" i="37" s="1"/>
  <c r="E200" i="25"/>
  <c r="C199" i="11"/>
  <c r="H199" i="11" s="1"/>
  <c r="I199" i="11" s="1"/>
  <c r="C210" i="34"/>
  <c r="N199" i="33"/>
  <c r="D199" i="37" s="1"/>
  <c r="N19" i="33"/>
  <c r="D19" i="37" s="1"/>
  <c r="E20" i="25"/>
  <c r="C19" i="11"/>
  <c r="H19" i="11" s="1"/>
  <c r="I19" i="11" s="1"/>
  <c r="C30" i="34"/>
  <c r="N289" i="33"/>
  <c r="D289" i="37" s="1"/>
  <c r="C289" i="11"/>
  <c r="H289" i="11" s="1"/>
  <c r="I289" i="11" s="1"/>
  <c r="E290" i="25"/>
  <c r="C300" i="34"/>
  <c r="C69" i="11"/>
  <c r="H69" i="11" s="1"/>
  <c r="I69" i="11" s="1"/>
  <c r="E70" i="25"/>
  <c r="C80" i="34"/>
  <c r="N69" i="33"/>
  <c r="D69" i="37" s="1"/>
  <c r="C232" i="34"/>
  <c r="E222" i="25"/>
  <c r="C221" i="11"/>
  <c r="H221" i="11" s="1"/>
  <c r="I221" i="11" s="1"/>
  <c r="N221" i="33"/>
  <c r="D221" i="37" s="1"/>
  <c r="N225" i="33"/>
  <c r="D225" i="37" s="1"/>
  <c r="E226" i="25"/>
  <c r="C225" i="11"/>
  <c r="H225" i="11" s="1"/>
  <c r="I225" i="11" s="1"/>
  <c r="C236" i="34"/>
  <c r="E288" i="25"/>
  <c r="C287" i="11"/>
  <c r="H287" i="11" s="1"/>
  <c r="I287" i="11" s="1"/>
  <c r="N287" i="33"/>
  <c r="D287" i="37" s="1"/>
  <c r="C298" i="34"/>
  <c r="C61" i="11"/>
  <c r="H61" i="11" s="1"/>
  <c r="I61" i="11" s="1"/>
  <c r="C72" i="34"/>
  <c r="E62" i="25"/>
  <c r="N61" i="33"/>
  <c r="D61" i="37" s="1"/>
  <c r="E207" i="25"/>
  <c r="C206" i="11"/>
  <c r="H206" i="11" s="1"/>
  <c r="I206" i="11" s="1"/>
  <c r="N206" i="33"/>
  <c r="D206" i="37" s="1"/>
  <c r="C217" i="34"/>
  <c r="N161" i="33"/>
  <c r="D161" i="37" s="1"/>
  <c r="E162" i="25"/>
  <c r="C161" i="11"/>
  <c r="H161" i="11" s="1"/>
  <c r="I161" i="11" s="1"/>
  <c r="C172" i="34"/>
  <c r="N74" i="33"/>
  <c r="D74" i="37" s="1"/>
  <c r="E75" i="25"/>
  <c r="C85" i="34"/>
  <c r="C74" i="11"/>
  <c r="H74" i="11" s="1"/>
  <c r="I74" i="11" s="1"/>
  <c r="N97" i="33"/>
  <c r="D97" i="37" s="1"/>
  <c r="E98" i="25"/>
  <c r="C97" i="11"/>
  <c r="H97" i="11" s="1"/>
  <c r="I97" i="11" s="1"/>
  <c r="C108" i="34"/>
  <c r="C288" i="34"/>
  <c r="E278" i="25"/>
  <c r="C277" i="11"/>
  <c r="H277" i="11" s="1"/>
  <c r="I277" i="11" s="1"/>
  <c r="N277" i="33"/>
  <c r="D277" i="37" s="1"/>
  <c r="E246" i="25"/>
  <c r="C256" i="34"/>
  <c r="C245" i="11"/>
  <c r="H245" i="11" s="1"/>
  <c r="I245" i="11" s="1"/>
  <c r="N245" i="33"/>
  <c r="D245" i="37" s="1"/>
  <c r="C262" i="11"/>
  <c r="H262" i="11" s="1"/>
  <c r="I262" i="11" s="1"/>
  <c r="E263" i="25"/>
  <c r="N262" i="33"/>
  <c r="D262" i="37" s="1"/>
  <c r="C273" i="34"/>
  <c r="N249" i="33"/>
  <c r="D249" i="37" s="1"/>
  <c r="E250" i="25"/>
  <c r="C249" i="11"/>
  <c r="H249" i="11" s="1"/>
  <c r="I249" i="11" s="1"/>
  <c r="C260" i="34"/>
  <c r="E159" i="25"/>
  <c r="C158" i="11"/>
  <c r="H158" i="11" s="1"/>
  <c r="I158" i="11" s="1"/>
  <c r="C169" i="34"/>
  <c r="N158" i="33"/>
  <c r="D158" i="37" s="1"/>
  <c r="E13" i="25"/>
  <c r="C12" i="11"/>
  <c r="H12" i="11" s="1"/>
  <c r="I12" i="11" s="1"/>
  <c r="C23" i="34"/>
  <c r="N12" i="33"/>
  <c r="D12" i="37" s="1"/>
  <c r="E133" i="25"/>
  <c r="C132" i="11"/>
  <c r="H132" i="11" s="1"/>
  <c r="I132" i="11" s="1"/>
  <c r="C143" i="34"/>
  <c r="N132" i="33"/>
  <c r="D132" i="37" s="1"/>
  <c r="E144" i="25"/>
  <c r="C154" i="34"/>
  <c r="C143" i="11"/>
  <c r="H143" i="11" s="1"/>
  <c r="I143" i="11" s="1"/>
  <c r="N143" i="33"/>
  <c r="D143" i="37" s="1"/>
  <c r="E69" i="25"/>
  <c r="C68" i="11"/>
  <c r="H68" i="11" s="1"/>
  <c r="I68" i="11" s="1"/>
  <c r="C79" i="34"/>
  <c r="N68" i="33"/>
  <c r="D68" i="37" s="1"/>
  <c r="C27" i="34"/>
  <c r="C16" i="11"/>
  <c r="H16" i="11" s="1"/>
  <c r="I16" i="11" s="1"/>
  <c r="E17" i="25"/>
  <c r="N16" i="33"/>
  <c r="D16" i="37" s="1"/>
  <c r="E56" i="25"/>
  <c r="C66" i="34"/>
  <c r="N55" i="33"/>
  <c r="D55" i="37" s="1"/>
  <c r="C55" i="11"/>
  <c r="H55" i="11" s="1"/>
  <c r="I55" i="11" s="1"/>
  <c r="M267" i="49"/>
  <c r="M302" i="49"/>
  <c r="M48" i="49"/>
  <c r="M273" i="49"/>
  <c r="M264" i="49"/>
  <c r="M118" i="49"/>
  <c r="M105" i="49"/>
  <c r="M187" i="49"/>
  <c r="C235" i="34"/>
  <c r="E225" i="25"/>
  <c r="N224" i="33"/>
  <c r="D224" i="37" s="1"/>
  <c r="C224" i="11"/>
  <c r="H224" i="11" s="1"/>
  <c r="I224" i="11" s="1"/>
  <c r="E77" i="25"/>
  <c r="C76" i="11"/>
  <c r="H76" i="11" s="1"/>
  <c r="I76" i="11" s="1"/>
  <c r="C87" i="34"/>
  <c r="N76" i="33"/>
  <c r="D76" i="37" s="1"/>
  <c r="N218" i="33"/>
  <c r="D218" i="37" s="1"/>
  <c r="E219" i="25"/>
  <c r="C229" i="34"/>
  <c r="C218" i="11"/>
  <c r="H218" i="11" s="1"/>
  <c r="I218" i="11" s="1"/>
  <c r="E231" i="25"/>
  <c r="C230" i="11"/>
  <c r="H230" i="11" s="1"/>
  <c r="I230" i="11" s="1"/>
  <c r="N230" i="33"/>
  <c r="D230" i="37" s="1"/>
  <c r="C241" i="34"/>
  <c r="E125" i="25"/>
  <c r="C124" i="11"/>
  <c r="H124" i="11" s="1"/>
  <c r="I124" i="11" s="1"/>
  <c r="C135" i="34"/>
  <c r="N124" i="33"/>
  <c r="D124" i="37" s="1"/>
  <c r="N295" i="33"/>
  <c r="D295" i="37" s="1"/>
  <c r="E296" i="25"/>
  <c r="C295" i="11"/>
  <c r="H295" i="11" s="1"/>
  <c r="I295" i="11" s="1"/>
  <c r="C306" i="34"/>
  <c r="E293" i="25"/>
  <c r="C292" i="11"/>
  <c r="H292" i="11" s="1"/>
  <c r="I292" i="11" s="1"/>
  <c r="C303" i="34"/>
  <c r="N292" i="33"/>
  <c r="D292" i="37" s="1"/>
  <c r="E277" i="25"/>
  <c r="C287" i="34"/>
  <c r="C276" i="11"/>
  <c r="H276" i="11" s="1"/>
  <c r="I276" i="11" s="1"/>
  <c r="N276" i="33"/>
  <c r="D276" i="37" s="1"/>
  <c r="E313" i="25"/>
  <c r="C323" i="34"/>
  <c r="C312" i="11"/>
  <c r="H312" i="11" s="1"/>
  <c r="I312" i="11" s="1"/>
  <c r="N312" i="33"/>
  <c r="D312" i="37" s="1"/>
  <c r="N98" i="33"/>
  <c r="D98" i="37" s="1"/>
  <c r="E99" i="25"/>
  <c r="C109" i="34"/>
  <c r="C98" i="11"/>
  <c r="H98" i="11" s="1"/>
  <c r="I98" i="11" s="1"/>
  <c r="C179" i="34"/>
  <c r="E169" i="25"/>
  <c r="C168" i="11"/>
  <c r="H168" i="11" s="1"/>
  <c r="I168" i="11" s="1"/>
  <c r="N168" i="33"/>
  <c r="D168" i="37" s="1"/>
  <c r="N306" i="33"/>
  <c r="D306" i="37" s="1"/>
  <c r="E307" i="25"/>
  <c r="C317" i="34"/>
  <c r="C306" i="11"/>
  <c r="H306" i="11" s="1"/>
  <c r="I306" i="11" s="1"/>
  <c r="C131" i="34"/>
  <c r="E121" i="25"/>
  <c r="C120" i="11"/>
  <c r="H120" i="11" s="1"/>
  <c r="I120" i="11" s="1"/>
  <c r="N120" i="33"/>
  <c r="D120" i="37" s="1"/>
  <c r="N155" i="33"/>
  <c r="D155" i="37" s="1"/>
  <c r="E156" i="25"/>
  <c r="C155" i="11"/>
  <c r="H155" i="11" s="1"/>
  <c r="I155" i="11" s="1"/>
  <c r="C166" i="34"/>
  <c r="C219" i="34"/>
  <c r="E209" i="25"/>
  <c r="C208" i="11"/>
  <c r="H208" i="11" s="1"/>
  <c r="I208" i="11" s="1"/>
  <c r="N208" i="33"/>
  <c r="D208" i="37" s="1"/>
  <c r="E167" i="25"/>
  <c r="C166" i="11"/>
  <c r="H166" i="11" s="1"/>
  <c r="I166" i="11" s="1"/>
  <c r="C177" i="34"/>
  <c r="N166" i="33"/>
  <c r="D166" i="37" s="1"/>
  <c r="E119" i="25"/>
  <c r="C118" i="11"/>
  <c r="H118" i="11" s="1"/>
  <c r="I118" i="11" s="1"/>
  <c r="C129" i="34"/>
  <c r="N118" i="33"/>
  <c r="D118" i="37" s="1"/>
  <c r="N217" i="33"/>
  <c r="D217" i="37" s="1"/>
  <c r="E218" i="25"/>
  <c r="C217" i="11"/>
  <c r="H217" i="11" s="1"/>
  <c r="I217" i="11" s="1"/>
  <c r="C228" i="34"/>
  <c r="N162" i="33"/>
  <c r="D162" i="37" s="1"/>
  <c r="E163" i="25"/>
  <c r="C173" i="34"/>
  <c r="C162" i="11"/>
  <c r="H162" i="11" s="1"/>
  <c r="I162" i="11" s="1"/>
  <c r="E173" i="25"/>
  <c r="C172" i="11"/>
  <c r="H172" i="11" s="1"/>
  <c r="I172" i="11" s="1"/>
  <c r="C183" i="34"/>
  <c r="N172" i="33"/>
  <c r="D172" i="37" s="1"/>
  <c r="N146" i="33"/>
  <c r="D146" i="37" s="1"/>
  <c r="E147" i="25"/>
  <c r="C157" i="34"/>
  <c r="C146" i="11"/>
  <c r="H146" i="11" s="1"/>
  <c r="I146" i="11" s="1"/>
  <c r="E181" i="25"/>
  <c r="C191" i="34"/>
  <c r="C180" i="11"/>
  <c r="H180" i="11" s="1"/>
  <c r="I180" i="11" s="1"/>
  <c r="N180" i="33"/>
  <c r="D180" i="37" s="1"/>
  <c r="E117" i="25"/>
  <c r="C127" i="34"/>
  <c r="C116" i="11"/>
  <c r="H116" i="11" s="1"/>
  <c r="I116" i="11" s="1"/>
  <c r="N116" i="33"/>
  <c r="D116" i="37" s="1"/>
  <c r="N264" i="33"/>
  <c r="D264" i="37" s="1"/>
  <c r="E265" i="25"/>
  <c r="C275" i="34"/>
  <c r="C264" i="11"/>
  <c r="H264" i="11" s="1"/>
  <c r="I264" i="11" s="1"/>
  <c r="E287" i="25"/>
  <c r="C286" i="11"/>
  <c r="H286" i="11" s="1"/>
  <c r="I286" i="11" s="1"/>
  <c r="C297" i="34"/>
  <c r="N286" i="33"/>
  <c r="D286" i="37" s="1"/>
  <c r="E271" i="25"/>
  <c r="C270" i="11"/>
  <c r="H270" i="11" s="1"/>
  <c r="I270" i="11" s="1"/>
  <c r="C281" i="34"/>
  <c r="N270" i="33"/>
  <c r="D270" i="37" s="1"/>
  <c r="E249" i="25"/>
  <c r="C259" i="34"/>
  <c r="N248" i="33"/>
  <c r="D248" i="37" s="1"/>
  <c r="C248" i="11"/>
  <c r="H248" i="11" s="1"/>
  <c r="I248" i="11" s="1"/>
  <c r="E213" i="25"/>
  <c r="N212" i="33"/>
  <c r="D212" i="37" s="1"/>
  <c r="C223" i="34"/>
  <c r="C212" i="11"/>
  <c r="H212" i="11" s="1"/>
  <c r="I212" i="11" s="1"/>
  <c r="M281" i="49"/>
  <c r="M180" i="49"/>
  <c r="M148" i="49"/>
  <c r="M124" i="49"/>
  <c r="M277" i="49"/>
  <c r="M289" i="49"/>
  <c r="M165" i="49"/>
  <c r="M108" i="49"/>
  <c r="M217" i="49"/>
  <c r="M35" i="49"/>
  <c r="M211" i="49"/>
  <c r="M65" i="49"/>
  <c r="M70" i="49"/>
  <c r="M179" i="49"/>
  <c r="M83" i="49"/>
  <c r="M115" i="49"/>
  <c r="M125" i="49"/>
  <c r="M153" i="49"/>
  <c r="M60" i="49"/>
  <c r="M74" i="49"/>
  <c r="M172" i="49"/>
  <c r="M262" i="49"/>
  <c r="M97" i="49"/>
  <c r="M202" i="49"/>
  <c r="M186" i="49"/>
  <c r="M251" i="49"/>
  <c r="M104" i="49"/>
  <c r="M258" i="49"/>
  <c r="M162" i="49"/>
  <c r="M224" i="49"/>
  <c r="M286" i="49"/>
  <c r="M206" i="49"/>
  <c r="M46" i="49"/>
  <c r="M128" i="49"/>
  <c r="M229" i="49"/>
  <c r="M39" i="49"/>
  <c r="M144" i="49"/>
  <c r="M219" i="49"/>
  <c r="M170" i="49"/>
  <c r="M244" i="49"/>
  <c r="M80" i="49"/>
  <c r="M122" i="49"/>
  <c r="M142" i="49"/>
  <c r="M78" i="49"/>
  <c r="M192" i="49"/>
  <c r="M156" i="49"/>
  <c r="M213" i="49"/>
  <c r="M296" i="49"/>
  <c r="M159" i="49"/>
  <c r="M199" i="49"/>
  <c r="M250" i="49"/>
  <c r="M191" i="49"/>
  <c r="M266" i="49"/>
  <c r="M139" i="49"/>
  <c r="M204" i="49"/>
  <c r="M23" i="49"/>
  <c r="M94" i="49"/>
  <c r="M103" i="49"/>
  <c r="M58" i="49"/>
  <c r="M107" i="49"/>
  <c r="M149" i="49"/>
  <c r="M275" i="49"/>
  <c r="M112" i="49"/>
  <c r="M169" i="49"/>
  <c r="M100" i="49"/>
  <c r="M215" i="49"/>
  <c r="M79" i="49"/>
  <c r="M291" i="49"/>
  <c r="M161" i="49"/>
  <c r="M243" i="49"/>
  <c r="M63" i="49"/>
  <c r="M52" i="49"/>
  <c r="M269" i="49"/>
  <c r="M38" i="49"/>
  <c r="M21" i="49"/>
  <c r="M95" i="49"/>
  <c r="M175" i="49"/>
  <c r="M75" i="49"/>
  <c r="M198" i="49"/>
  <c r="M174" i="49"/>
  <c r="M41" i="49"/>
  <c r="M19" i="49"/>
  <c r="M49" i="49"/>
  <c r="M90" i="49"/>
  <c r="M190" i="49"/>
  <c r="M53" i="49"/>
  <c r="M26" i="49"/>
  <c r="M193" i="49"/>
  <c r="M10" i="49"/>
  <c r="M274" i="49"/>
  <c r="M268" i="49"/>
  <c r="M226" i="49"/>
  <c r="M81" i="49"/>
  <c r="M24" i="49"/>
  <c r="M87" i="49"/>
  <c r="M150" i="49"/>
  <c r="M18" i="49"/>
  <c r="M310" i="49"/>
  <c r="M61" i="49"/>
  <c r="M225" i="49"/>
  <c r="M189" i="49"/>
  <c r="M157" i="49"/>
  <c r="M85" i="49"/>
  <c r="M28" i="49"/>
  <c r="M208" i="49"/>
  <c r="M116" i="49"/>
  <c r="M59" i="49"/>
  <c r="M240" i="49"/>
  <c r="M143" i="49"/>
  <c r="M236" i="49"/>
  <c r="M222" i="49"/>
  <c r="M34" i="49"/>
  <c r="M91" i="49"/>
  <c r="M235" i="49"/>
  <c r="M265" i="49"/>
  <c r="M283" i="49"/>
  <c r="F18" i="48"/>
  <c r="M152" i="49"/>
  <c r="M121" i="49"/>
  <c r="M88" i="49"/>
  <c r="M245" i="49"/>
  <c r="M138" i="49"/>
  <c r="M137" i="49"/>
  <c r="M66" i="49"/>
  <c r="M37" i="49"/>
  <c r="M127" i="49"/>
  <c r="M101" i="49"/>
  <c r="M287" i="49"/>
  <c r="M135" i="49"/>
  <c r="E11" i="9"/>
  <c r="M313" i="49"/>
  <c r="M6" i="49"/>
  <c r="L314" i="33"/>
  <c r="C6" i="9" s="1"/>
  <c r="C7" i="9" s="1"/>
  <c r="H242" i="11" l="1"/>
  <c r="I242" i="11" s="1"/>
  <c r="L242" i="11"/>
  <c r="M242" i="11" s="1"/>
  <c r="N131" i="33"/>
  <c r="D131" i="37" s="1"/>
  <c r="E132" i="25"/>
  <c r="C131" i="11"/>
  <c r="H131" i="11" s="1"/>
  <c r="I131" i="11" s="1"/>
  <c r="C142" i="34"/>
  <c r="L288" i="11"/>
  <c r="M288" i="11" s="1"/>
  <c r="L114" i="11"/>
  <c r="M114" i="11" s="1"/>
  <c r="L64" i="11"/>
  <c r="M64" i="11" s="1"/>
  <c r="L75" i="11"/>
  <c r="M75" i="11" s="1"/>
  <c r="L13" i="11"/>
  <c r="M13" i="11" s="1"/>
  <c r="L37" i="11"/>
  <c r="M37" i="11" s="1"/>
  <c r="L137" i="11"/>
  <c r="M137" i="11" s="1"/>
  <c r="L121" i="11"/>
  <c r="M121" i="11" s="1"/>
  <c r="L89" i="11"/>
  <c r="M89" i="11" s="1"/>
  <c r="L87" i="11"/>
  <c r="M87" i="11" s="1"/>
  <c r="L17" i="11"/>
  <c r="M17" i="11" s="1"/>
  <c r="L49" i="11"/>
  <c r="M49" i="11" s="1"/>
  <c r="L19" i="11"/>
  <c r="M19" i="11" s="1"/>
  <c r="L34" i="11"/>
  <c r="M34" i="11" s="1"/>
  <c r="L66" i="11"/>
  <c r="M66" i="11" s="1"/>
  <c r="L108" i="11"/>
  <c r="M108" i="11" s="1"/>
  <c r="L158" i="11"/>
  <c r="M158" i="11" s="1"/>
  <c r="L206" i="11"/>
  <c r="M206" i="11" s="1"/>
  <c r="L271" i="11"/>
  <c r="M271" i="11" s="1"/>
  <c r="L311" i="11"/>
  <c r="M311" i="11" s="1"/>
  <c r="L260" i="11"/>
  <c r="M260" i="11" s="1"/>
  <c r="L256" i="11"/>
  <c r="M256" i="11" s="1"/>
  <c r="L281" i="11"/>
  <c r="M281" i="11" s="1"/>
  <c r="L249" i="11"/>
  <c r="M249" i="11" s="1"/>
  <c r="L147" i="11"/>
  <c r="M147" i="11" s="1"/>
  <c r="L14" i="11"/>
  <c r="M14" i="11" s="1"/>
  <c r="L188" i="11"/>
  <c r="M188" i="11" s="1"/>
  <c r="L156" i="11"/>
  <c r="M156" i="11" s="1"/>
  <c r="L110" i="11"/>
  <c r="M110" i="11" s="1"/>
  <c r="L78" i="11"/>
  <c r="M78" i="11" s="1"/>
  <c r="L99" i="11"/>
  <c r="M99" i="11" s="1"/>
  <c r="L85" i="11"/>
  <c r="M85" i="11" s="1"/>
  <c r="L36" i="11"/>
  <c r="M36" i="11" s="1"/>
  <c r="L79" i="11"/>
  <c r="M79" i="11" s="1"/>
  <c r="L23" i="11"/>
  <c r="M23" i="11" s="1"/>
  <c r="L38" i="11"/>
  <c r="M38" i="11" s="1"/>
  <c r="L139" i="11"/>
  <c r="M139" i="11" s="1"/>
  <c r="L112" i="11"/>
  <c r="M112" i="11" s="1"/>
  <c r="L146" i="11"/>
  <c r="M146" i="11" s="1"/>
  <c r="L178" i="11"/>
  <c r="M178" i="11" s="1"/>
  <c r="L210" i="11"/>
  <c r="M210" i="11" s="1"/>
  <c r="L243" i="11"/>
  <c r="M243" i="11" s="1"/>
  <c r="L275" i="11"/>
  <c r="M275" i="11" s="1"/>
  <c r="L297" i="11"/>
  <c r="M297" i="11" s="1"/>
  <c r="L313" i="11"/>
  <c r="M313" i="11" s="1"/>
  <c r="L252" i="11"/>
  <c r="M252" i="11" s="1"/>
  <c r="L298" i="11"/>
  <c r="M298" i="11" s="1"/>
  <c r="L215" i="11"/>
  <c r="M215" i="11" s="1"/>
  <c r="L151" i="11"/>
  <c r="M151" i="11" s="1"/>
  <c r="L43" i="11"/>
  <c r="M43" i="11" s="1"/>
  <c r="L270" i="11"/>
  <c r="M270" i="11" s="1"/>
  <c r="L254" i="11"/>
  <c r="M254" i="11" s="1"/>
  <c r="L237" i="11"/>
  <c r="M237" i="11" s="1"/>
  <c r="L221" i="11"/>
  <c r="M221" i="11" s="1"/>
  <c r="L171" i="11"/>
  <c r="M171" i="11" s="1"/>
  <c r="L63" i="11"/>
  <c r="M63" i="11" s="1"/>
  <c r="L6" i="11"/>
  <c r="M6" i="11" s="1"/>
  <c r="L209" i="11"/>
  <c r="M209" i="11" s="1"/>
  <c r="L193" i="11"/>
  <c r="M193" i="11" s="1"/>
  <c r="L177" i="11"/>
  <c r="M177" i="11" s="1"/>
  <c r="L161" i="11"/>
  <c r="M161" i="11" s="1"/>
  <c r="L145" i="11"/>
  <c r="M145" i="11" s="1"/>
  <c r="L138" i="11"/>
  <c r="M138" i="11" s="1"/>
  <c r="L106" i="11"/>
  <c r="M106" i="11" s="1"/>
  <c r="L48" i="11"/>
  <c r="M48" i="11" s="1"/>
  <c r="L123" i="11"/>
  <c r="M123" i="11" s="1"/>
  <c r="L113" i="11"/>
  <c r="M113" i="11" s="1"/>
  <c r="L81" i="11"/>
  <c r="M81" i="11" s="1"/>
  <c r="L60" i="11"/>
  <c r="M60" i="11" s="1"/>
  <c r="L71" i="11"/>
  <c r="M71" i="11" s="1"/>
  <c r="L33" i="11"/>
  <c r="M33" i="11" s="1"/>
  <c r="L27" i="11"/>
  <c r="M27" i="11" s="1"/>
  <c r="L42" i="11"/>
  <c r="M42" i="11" s="1"/>
  <c r="L68" i="11"/>
  <c r="M68" i="11" s="1"/>
  <c r="L116" i="11"/>
  <c r="M116" i="11" s="1"/>
  <c r="L150" i="11"/>
  <c r="M150" i="11" s="1"/>
  <c r="L182" i="11"/>
  <c r="M182" i="11" s="1"/>
  <c r="L214" i="11"/>
  <c r="M214" i="11" s="1"/>
  <c r="L247" i="11"/>
  <c r="M247" i="11" s="1"/>
  <c r="L279" i="11"/>
  <c r="M279" i="11" s="1"/>
  <c r="L299" i="11"/>
  <c r="M299" i="11" s="1"/>
  <c r="L310" i="11"/>
  <c r="M310" i="11" s="1"/>
  <c r="L272" i="11"/>
  <c r="M272" i="11" s="1"/>
  <c r="L207" i="11"/>
  <c r="M207" i="11" s="1"/>
  <c r="L143" i="11"/>
  <c r="M143" i="11" s="1"/>
  <c r="L35" i="11"/>
  <c r="M35" i="11" s="1"/>
  <c r="L277" i="11"/>
  <c r="M277" i="11" s="1"/>
  <c r="L261" i="11"/>
  <c r="M261" i="11" s="1"/>
  <c r="L245" i="11"/>
  <c r="M245" i="11" s="1"/>
  <c r="L228" i="11"/>
  <c r="M228" i="11" s="1"/>
  <c r="L163" i="11"/>
  <c r="M163" i="11" s="1"/>
  <c r="L55" i="11"/>
  <c r="M55" i="11" s="1"/>
  <c r="L216" i="11"/>
  <c r="M216" i="11" s="1"/>
  <c r="L200" i="11"/>
  <c r="M200" i="11" s="1"/>
  <c r="L184" i="11"/>
  <c r="M184" i="11" s="1"/>
  <c r="L168" i="11"/>
  <c r="M168" i="11" s="1"/>
  <c r="L152" i="11"/>
  <c r="M152" i="11" s="1"/>
  <c r="L134" i="11"/>
  <c r="M134" i="11" s="1"/>
  <c r="L102" i="11"/>
  <c r="M102" i="11" s="1"/>
  <c r="L86" i="11"/>
  <c r="M86" i="11" s="1"/>
  <c r="L40" i="11"/>
  <c r="M40" i="11" s="1"/>
  <c r="L115" i="11"/>
  <c r="M115" i="11" s="1"/>
  <c r="L109" i="11"/>
  <c r="M109" i="11" s="1"/>
  <c r="L77" i="11"/>
  <c r="M77" i="11" s="1"/>
  <c r="L52" i="11"/>
  <c r="M52" i="11" s="1"/>
  <c r="L127" i="11"/>
  <c r="M127" i="11" s="1"/>
  <c r="L62" i="11"/>
  <c r="M62" i="11" s="1"/>
  <c r="L88" i="11"/>
  <c r="M88" i="11" s="1"/>
  <c r="L104" i="11"/>
  <c r="M104" i="11" s="1"/>
  <c r="L136" i="11"/>
  <c r="M136" i="11" s="1"/>
  <c r="L170" i="11"/>
  <c r="M170" i="11" s="1"/>
  <c r="L202" i="11"/>
  <c r="M202" i="11" s="1"/>
  <c r="L234" i="11"/>
  <c r="M234" i="11" s="1"/>
  <c r="L267" i="11"/>
  <c r="M267" i="11" s="1"/>
  <c r="L293" i="11"/>
  <c r="M293" i="11" s="1"/>
  <c r="L309" i="11"/>
  <c r="M309" i="11" s="1"/>
  <c r="L268" i="11"/>
  <c r="M268" i="11" s="1"/>
  <c r="L306" i="11"/>
  <c r="M306" i="11" s="1"/>
  <c r="L264" i="11"/>
  <c r="M264" i="11" s="1"/>
  <c r="L199" i="11"/>
  <c r="M199" i="11" s="1"/>
  <c r="L25" i="11"/>
  <c r="M25" i="11" s="1"/>
  <c r="L282" i="11"/>
  <c r="M282" i="11" s="1"/>
  <c r="L266" i="11"/>
  <c r="M266" i="11" s="1"/>
  <c r="L250" i="11"/>
  <c r="M250" i="11" s="1"/>
  <c r="L233" i="11"/>
  <c r="M233" i="11" s="1"/>
  <c r="L217" i="11"/>
  <c r="M217" i="11" s="1"/>
  <c r="L155" i="11"/>
  <c r="M155" i="11" s="1"/>
  <c r="L47" i="11"/>
  <c r="M47" i="11" s="1"/>
  <c r="L205" i="11"/>
  <c r="M205" i="11" s="1"/>
  <c r="L189" i="11"/>
  <c r="M189" i="11" s="1"/>
  <c r="L173" i="11"/>
  <c r="M173" i="11" s="1"/>
  <c r="L157" i="11"/>
  <c r="M157" i="11" s="1"/>
  <c r="L141" i="11"/>
  <c r="M141" i="11" s="1"/>
  <c r="L142" i="11"/>
  <c r="M142" i="11" s="1"/>
  <c r="L222" i="11"/>
  <c r="M222" i="11" s="1"/>
  <c r="L287" i="11"/>
  <c r="M287" i="11" s="1"/>
  <c r="L286" i="11"/>
  <c r="M286" i="11" s="1"/>
  <c r="L159" i="11"/>
  <c r="M159" i="11" s="1"/>
  <c r="L18" i="11"/>
  <c r="M18" i="11" s="1"/>
  <c r="L257" i="11"/>
  <c r="M257" i="11" s="1"/>
  <c r="L224" i="11"/>
  <c r="M224" i="11" s="1"/>
  <c r="L179" i="11"/>
  <c r="M179" i="11" s="1"/>
  <c r="L39" i="11"/>
  <c r="M39" i="11" s="1"/>
  <c r="L196" i="11"/>
  <c r="M196" i="11" s="1"/>
  <c r="L164" i="11"/>
  <c r="M164" i="11" s="1"/>
  <c r="L126" i="11"/>
  <c r="M126" i="11" s="1"/>
  <c r="L61" i="11"/>
  <c r="M61" i="11" s="1"/>
  <c r="L101" i="11"/>
  <c r="M101" i="11" s="1"/>
  <c r="L111" i="11"/>
  <c r="M111" i="11" s="1"/>
  <c r="L9" i="11"/>
  <c r="M9" i="11" s="1"/>
  <c r="L300" i="11"/>
  <c r="M300" i="11" s="1"/>
  <c r="L280" i="11"/>
  <c r="M280" i="11" s="1"/>
  <c r="L296" i="11"/>
  <c r="M296" i="11" s="1"/>
  <c r="L308" i="11"/>
  <c r="M308" i="11" s="1"/>
  <c r="L284" i="11"/>
  <c r="M284" i="11" s="1"/>
  <c r="L312" i="11"/>
  <c r="M312" i="11" s="1"/>
  <c r="L276" i="11"/>
  <c r="M276" i="11" s="1"/>
  <c r="L292" i="11"/>
  <c r="M292" i="11" s="1"/>
  <c r="M132" i="49"/>
  <c r="L304" i="11"/>
  <c r="M304" i="11" s="1"/>
  <c r="L98" i="11"/>
  <c r="M98" i="11" s="1"/>
  <c r="L82" i="11"/>
  <c r="M82" i="11" s="1"/>
  <c r="L32" i="11"/>
  <c r="M32" i="11" s="1"/>
  <c r="L107" i="11"/>
  <c r="M107" i="11" s="1"/>
  <c r="L105" i="11"/>
  <c r="M105" i="11" s="1"/>
  <c r="L73" i="11"/>
  <c r="M73" i="11" s="1"/>
  <c r="L44" i="11"/>
  <c r="M44" i="11" s="1"/>
  <c r="L119" i="11"/>
  <c r="M119" i="11" s="1"/>
  <c r="L50" i="11"/>
  <c r="M50" i="11" s="1"/>
  <c r="L76" i="11"/>
  <c r="M76" i="11" s="1"/>
  <c r="L92" i="11"/>
  <c r="M92" i="11" s="1"/>
  <c r="L124" i="11"/>
  <c r="M124" i="11" s="1"/>
  <c r="L174" i="11"/>
  <c r="M174" i="11" s="1"/>
  <c r="L238" i="11"/>
  <c r="M238" i="11" s="1"/>
  <c r="L295" i="11"/>
  <c r="M295" i="11" s="1"/>
  <c r="L302" i="11"/>
  <c r="M302" i="11" s="1"/>
  <c r="L191" i="11"/>
  <c r="M191" i="11" s="1"/>
  <c r="L51" i="11"/>
  <c r="M51" i="11" s="1"/>
  <c r="L265" i="11"/>
  <c r="M265" i="11" s="1"/>
  <c r="L232" i="11"/>
  <c r="M232" i="11" s="1"/>
  <c r="L211" i="11"/>
  <c r="M211" i="11" s="1"/>
  <c r="L204" i="11"/>
  <c r="M204" i="11" s="1"/>
  <c r="L172" i="11"/>
  <c r="M172" i="11" s="1"/>
  <c r="L140" i="11"/>
  <c r="M140" i="11" s="1"/>
  <c r="L67" i="11"/>
  <c r="M67" i="11" s="1"/>
  <c r="L22" i="11"/>
  <c r="M22" i="11" s="1"/>
  <c r="L117" i="11"/>
  <c r="M117" i="11" s="1"/>
  <c r="L41" i="11"/>
  <c r="M41" i="11" s="1"/>
  <c r="L30" i="11"/>
  <c r="M30" i="11" s="1"/>
  <c r="L8" i="11"/>
  <c r="M8" i="11" s="1"/>
  <c r="L54" i="11"/>
  <c r="M54" i="11" s="1"/>
  <c r="L80" i="11"/>
  <c r="M80" i="11" s="1"/>
  <c r="L96" i="11"/>
  <c r="M96" i="11" s="1"/>
  <c r="L128" i="11"/>
  <c r="M128" i="11" s="1"/>
  <c r="L162" i="11"/>
  <c r="M162" i="11" s="1"/>
  <c r="L194" i="11"/>
  <c r="M194" i="11" s="1"/>
  <c r="L226" i="11"/>
  <c r="M226" i="11" s="1"/>
  <c r="L259" i="11"/>
  <c r="M259" i="11" s="1"/>
  <c r="L289" i="11"/>
  <c r="M289" i="11" s="1"/>
  <c r="L305" i="11"/>
  <c r="M305" i="11" s="1"/>
  <c r="L219" i="11"/>
  <c r="M219" i="11" s="1"/>
  <c r="L248" i="11"/>
  <c r="M248" i="11" s="1"/>
  <c r="L183" i="11"/>
  <c r="M183" i="11" s="1"/>
  <c r="L10" i="11"/>
  <c r="M10" i="11" s="1"/>
  <c r="L278" i="11"/>
  <c r="M278" i="11" s="1"/>
  <c r="L262" i="11"/>
  <c r="M262" i="11" s="1"/>
  <c r="L246" i="11"/>
  <c r="M246" i="11" s="1"/>
  <c r="L229" i="11"/>
  <c r="M229" i="11" s="1"/>
  <c r="L203" i="11"/>
  <c r="M203" i="11" s="1"/>
  <c r="L31" i="11"/>
  <c r="M31" i="11" s="1"/>
  <c r="L201" i="11"/>
  <c r="M201" i="11" s="1"/>
  <c r="L185" i="11"/>
  <c r="M185" i="11" s="1"/>
  <c r="L169" i="11"/>
  <c r="M169" i="11" s="1"/>
  <c r="L153" i="11"/>
  <c r="M153" i="11" s="1"/>
  <c r="L122" i="11"/>
  <c r="M122" i="11" s="1"/>
  <c r="L90" i="11"/>
  <c r="M90" i="11" s="1"/>
  <c r="L74" i="11"/>
  <c r="M74" i="11" s="1"/>
  <c r="L91" i="11"/>
  <c r="M91" i="11" s="1"/>
  <c r="L28" i="11"/>
  <c r="M28" i="11" s="1"/>
  <c r="L53" i="11"/>
  <c r="M53" i="11" s="1"/>
  <c r="L15" i="11"/>
  <c r="M15" i="11" s="1"/>
  <c r="L129" i="11"/>
  <c r="M129" i="11" s="1"/>
  <c r="L97" i="11"/>
  <c r="M97" i="11" s="1"/>
  <c r="L135" i="11"/>
  <c r="M135" i="11" s="1"/>
  <c r="L103" i="11"/>
  <c r="M103" i="11" s="1"/>
  <c r="L65" i="11"/>
  <c r="M65" i="11" s="1"/>
  <c r="L12" i="11"/>
  <c r="M12" i="11" s="1"/>
  <c r="L58" i="11"/>
  <c r="M58" i="11" s="1"/>
  <c r="L84" i="11"/>
  <c r="M84" i="11" s="1"/>
  <c r="L100" i="11"/>
  <c r="M100" i="11" s="1"/>
  <c r="L132" i="11"/>
  <c r="M132" i="11" s="1"/>
  <c r="L166" i="11"/>
  <c r="M166" i="11" s="1"/>
  <c r="L198" i="11"/>
  <c r="M198" i="11" s="1"/>
  <c r="L230" i="11"/>
  <c r="M230" i="11" s="1"/>
  <c r="L263" i="11"/>
  <c r="M263" i="11" s="1"/>
  <c r="L291" i="11"/>
  <c r="M291" i="11" s="1"/>
  <c r="L307" i="11"/>
  <c r="M307" i="11" s="1"/>
  <c r="L244" i="11"/>
  <c r="M244" i="11" s="1"/>
  <c r="L294" i="11"/>
  <c r="M294" i="11" s="1"/>
  <c r="L239" i="11"/>
  <c r="M239" i="11" s="1"/>
  <c r="L175" i="11"/>
  <c r="M175" i="11" s="1"/>
  <c r="L285" i="11"/>
  <c r="M285" i="11" s="1"/>
  <c r="L269" i="11"/>
  <c r="M269" i="11" s="1"/>
  <c r="L253" i="11"/>
  <c r="M253" i="11" s="1"/>
  <c r="L236" i="11"/>
  <c r="M236" i="11" s="1"/>
  <c r="L220" i="11"/>
  <c r="M220" i="11" s="1"/>
  <c r="L195" i="11"/>
  <c r="M195" i="11" s="1"/>
  <c r="L29" i="11"/>
  <c r="M29" i="11" s="1"/>
  <c r="L208" i="11"/>
  <c r="M208" i="11" s="1"/>
  <c r="L192" i="11"/>
  <c r="M192" i="11" s="1"/>
  <c r="L176" i="11"/>
  <c r="M176" i="11" s="1"/>
  <c r="L160" i="11"/>
  <c r="M160" i="11" s="1"/>
  <c r="L144" i="11"/>
  <c r="M144" i="11" s="1"/>
  <c r="L118" i="11"/>
  <c r="M118" i="11" s="1"/>
  <c r="L70" i="11"/>
  <c r="M70" i="11" s="1"/>
  <c r="L83" i="11"/>
  <c r="M83" i="11" s="1"/>
  <c r="L20" i="11"/>
  <c r="M20" i="11" s="1"/>
  <c r="L45" i="11"/>
  <c r="M45" i="11" s="1"/>
  <c r="L7" i="11"/>
  <c r="M7" i="11" s="1"/>
  <c r="L125" i="11"/>
  <c r="M125" i="11" s="1"/>
  <c r="L93" i="11"/>
  <c r="M93" i="11" s="1"/>
  <c r="L95" i="11"/>
  <c r="M95" i="11" s="1"/>
  <c r="L24" i="11"/>
  <c r="M24" i="11" s="1"/>
  <c r="L57" i="11"/>
  <c r="M57" i="11" s="1"/>
  <c r="L26" i="11"/>
  <c r="M26" i="11" s="1"/>
  <c r="L16" i="11"/>
  <c r="M16" i="11" s="1"/>
  <c r="L46" i="11"/>
  <c r="M46" i="11" s="1"/>
  <c r="L72" i="11"/>
  <c r="M72" i="11" s="1"/>
  <c r="L120" i="11"/>
  <c r="M120" i="11" s="1"/>
  <c r="L154" i="11"/>
  <c r="M154" i="11" s="1"/>
  <c r="L186" i="11"/>
  <c r="M186" i="11" s="1"/>
  <c r="L218" i="11"/>
  <c r="M218" i="11" s="1"/>
  <c r="L251" i="11"/>
  <c r="M251" i="11" s="1"/>
  <c r="L283" i="11"/>
  <c r="M283" i="11" s="1"/>
  <c r="L301" i="11"/>
  <c r="M301" i="11" s="1"/>
  <c r="L235" i="11"/>
  <c r="M235" i="11" s="1"/>
  <c r="L290" i="11"/>
  <c r="M290" i="11" s="1"/>
  <c r="L231" i="11"/>
  <c r="M231" i="11" s="1"/>
  <c r="L167" i="11"/>
  <c r="M167" i="11" s="1"/>
  <c r="L59" i="11"/>
  <c r="M59" i="11" s="1"/>
  <c r="L274" i="11"/>
  <c r="M274" i="11" s="1"/>
  <c r="L258" i="11"/>
  <c r="M258" i="11" s="1"/>
  <c r="L241" i="11"/>
  <c r="M241" i="11" s="1"/>
  <c r="L225" i="11"/>
  <c r="M225" i="11" s="1"/>
  <c r="L187" i="11"/>
  <c r="M187" i="11" s="1"/>
  <c r="L21" i="11"/>
  <c r="M21" i="11" s="1"/>
  <c r="L213" i="11"/>
  <c r="M213" i="11" s="1"/>
  <c r="L197" i="11"/>
  <c r="M197" i="11" s="1"/>
  <c r="L181" i="11"/>
  <c r="M181" i="11" s="1"/>
  <c r="L165" i="11"/>
  <c r="M165" i="11" s="1"/>
  <c r="L149" i="11"/>
  <c r="M149" i="11" s="1"/>
  <c r="L190" i="11"/>
  <c r="M190" i="11" s="1"/>
  <c r="L255" i="11"/>
  <c r="M255" i="11" s="1"/>
  <c r="L303" i="11"/>
  <c r="M303" i="11" s="1"/>
  <c r="L227" i="11"/>
  <c r="M227" i="11" s="1"/>
  <c r="L223" i="11"/>
  <c r="M223" i="11" s="1"/>
  <c r="L273" i="11"/>
  <c r="M273" i="11" s="1"/>
  <c r="L240" i="11"/>
  <c r="M240" i="11" s="1"/>
  <c r="L212" i="11"/>
  <c r="M212" i="11" s="1"/>
  <c r="L180" i="11"/>
  <c r="M180" i="11" s="1"/>
  <c r="L148" i="11"/>
  <c r="M148" i="11" s="1"/>
  <c r="L94" i="11"/>
  <c r="M94" i="11" s="1"/>
  <c r="L56" i="11"/>
  <c r="M56" i="11" s="1"/>
  <c r="L133" i="11"/>
  <c r="M133" i="11" s="1"/>
  <c r="L69" i="11"/>
  <c r="M69" i="11" s="1"/>
  <c r="L11" i="11"/>
  <c r="M11" i="11" s="1"/>
  <c r="E320" i="9"/>
  <c r="M314" i="33"/>
  <c r="N314" i="33" s="1"/>
  <c r="C16" i="34"/>
  <c r="F10" i="48" s="1"/>
  <c r="N5" i="33"/>
  <c r="E6" i="25"/>
  <c r="L131" i="11" l="1"/>
  <c r="M131" i="11" s="1"/>
  <c r="O17" i="33"/>
  <c r="O25" i="33"/>
  <c r="O33" i="33"/>
  <c r="O41" i="33"/>
  <c r="O57" i="33"/>
  <c r="O49" i="33"/>
  <c r="O14" i="33"/>
  <c r="O22" i="33"/>
  <c r="O30" i="33"/>
  <c r="O38" i="33"/>
  <c r="O46" i="33"/>
  <c r="O54" i="33"/>
  <c r="O62" i="33"/>
  <c r="O70" i="33"/>
  <c r="O78" i="33"/>
  <c r="O134" i="33"/>
  <c r="O278" i="33"/>
  <c r="O286" i="33"/>
  <c r="O294" i="33"/>
  <c r="O302" i="33"/>
  <c r="O310" i="33"/>
  <c r="O20" i="33"/>
  <c r="O36" i="33"/>
  <c r="O44" i="33"/>
  <c r="O141" i="33"/>
  <c r="O194" i="33"/>
  <c r="O269" i="33"/>
  <c r="O273" i="33"/>
  <c r="O292" i="33"/>
  <c r="O114" i="33"/>
  <c r="O125" i="33"/>
  <c r="O129" i="33"/>
  <c r="O148" i="33"/>
  <c r="O178" i="33"/>
  <c r="O189" i="33"/>
  <c r="O193" i="33"/>
  <c r="O212" i="33"/>
  <c r="O242" i="33"/>
  <c r="O253" i="33"/>
  <c r="O257" i="33"/>
  <c r="O276" i="33"/>
  <c r="O306" i="33"/>
  <c r="O130" i="33"/>
  <c r="O209" i="33"/>
  <c r="O12" i="33"/>
  <c r="O28" i="33"/>
  <c r="O52" i="33"/>
  <c r="O145" i="33"/>
  <c r="O164" i="33"/>
  <c r="O205" i="33"/>
  <c r="O228" i="33"/>
  <c r="O258" i="33"/>
  <c r="O13" i="33"/>
  <c r="O21" i="33"/>
  <c r="O29" i="33"/>
  <c r="O37" i="33"/>
  <c r="O45" i="33"/>
  <c r="O53" i="33"/>
  <c r="O124" i="33"/>
  <c r="O154" i="33"/>
  <c r="O165" i="33"/>
  <c r="O169" i="33"/>
  <c r="O188" i="33"/>
  <c r="O218" i="33"/>
  <c r="O229" i="33"/>
  <c r="O233" i="33"/>
  <c r="O252" i="33"/>
  <c r="O282" i="33"/>
  <c r="O293" i="33"/>
  <c r="O297" i="33"/>
  <c r="O61" i="33"/>
  <c r="O69" i="33"/>
  <c r="O77" i="33"/>
  <c r="O85" i="33"/>
  <c r="O93" i="33"/>
  <c r="O101" i="33"/>
  <c r="O109" i="33"/>
  <c r="O113" i="33"/>
  <c r="O100" i="33"/>
  <c r="O149" i="33"/>
  <c r="O173" i="33"/>
  <c r="O217" i="33"/>
  <c r="O301" i="33"/>
  <c r="O76" i="33"/>
  <c r="O241" i="33"/>
  <c r="O266" i="33"/>
  <c r="O290" i="33"/>
  <c r="O300" i="33"/>
  <c r="O92" i="33"/>
  <c r="O132" i="33"/>
  <c r="O305" i="33"/>
  <c r="O68" i="33"/>
  <c r="O213" i="33"/>
  <c r="O237" i="33"/>
  <c r="O281" i="33"/>
  <c r="O277" i="33"/>
  <c r="O108" i="33"/>
  <c r="O138" i="33"/>
  <c r="O162" i="33"/>
  <c r="O172" i="33"/>
  <c r="O196" i="33"/>
  <c r="O84" i="33"/>
  <c r="O153" i="33"/>
  <c r="O60" i="33"/>
  <c r="O177" i="33"/>
  <c r="O202" i="33"/>
  <c r="O226" i="33"/>
  <c r="O236" i="33"/>
  <c r="O260" i="33"/>
  <c r="O308" i="33"/>
  <c r="O231" i="33"/>
  <c r="O274" i="33"/>
  <c r="O32" i="33"/>
  <c r="O186" i="33"/>
  <c r="O200" i="33"/>
  <c r="O156" i="33"/>
  <c r="O259" i="33"/>
  <c r="O137" i="33"/>
  <c r="O256" i="33"/>
  <c r="O210" i="33"/>
  <c r="O285" i="33"/>
  <c r="O66" i="33"/>
  <c r="O18" i="33"/>
  <c r="O199" i="33"/>
  <c r="O89" i="33"/>
  <c r="O203" i="33"/>
  <c r="O79" i="33"/>
  <c r="O115" i="33"/>
  <c r="O239" i="33"/>
  <c r="O235" i="33"/>
  <c r="O107" i="33"/>
  <c r="O67" i="33"/>
  <c r="O95" i="33"/>
  <c r="O163" i="33"/>
  <c r="O265" i="33"/>
  <c r="O58" i="33"/>
  <c r="O275" i="33"/>
  <c r="O246" i="33"/>
  <c r="O94" i="33"/>
  <c r="O119" i="33"/>
  <c r="O271" i="33"/>
  <c r="O170" i="33"/>
  <c r="O263" i="33"/>
  <c r="O303" i="33"/>
  <c r="O171" i="33"/>
  <c r="O27" i="33"/>
  <c r="O289" i="33"/>
  <c r="O197" i="33"/>
  <c r="O264" i="33"/>
  <c r="O311" i="33"/>
  <c r="O181" i="33"/>
  <c r="O152" i="33"/>
  <c r="O146" i="33"/>
  <c r="O220" i="33"/>
  <c r="O122" i="33"/>
  <c r="O232" i="33"/>
  <c r="O112" i="33"/>
  <c r="O280" i="33"/>
  <c r="O56" i="33"/>
  <c r="O10" i="33"/>
  <c r="O184" i="33"/>
  <c r="O81" i="33"/>
  <c r="O142" i="33"/>
  <c r="O71" i="33"/>
  <c r="O55" i="33"/>
  <c r="O224" i="33"/>
  <c r="O223" i="33"/>
  <c r="O102" i="33"/>
  <c r="O59" i="33"/>
  <c r="O87" i="33"/>
  <c r="O51" i="33"/>
  <c r="O168" i="33"/>
  <c r="O157" i="33"/>
  <c r="O207" i="33"/>
  <c r="O65" i="33"/>
  <c r="O126" i="33"/>
  <c r="O35" i="33"/>
  <c r="O225" i="33"/>
  <c r="O98" i="33"/>
  <c r="O50" i="33"/>
  <c r="O243" i="33"/>
  <c r="O190" i="33"/>
  <c r="O279" i="33"/>
  <c r="O192" i="33"/>
  <c r="O249" i="33"/>
  <c r="O298" i="33"/>
  <c r="O176" i="33"/>
  <c r="O247" i="33"/>
  <c r="O136" i="33"/>
  <c r="O185" i="33"/>
  <c r="O117" i="33"/>
  <c r="O198" i="33"/>
  <c r="O40" i="33"/>
  <c r="O222" i="33"/>
  <c r="O24" i="33"/>
  <c r="O312" i="33"/>
  <c r="O150" i="33"/>
  <c r="O73" i="33"/>
  <c r="O139" i="33"/>
  <c r="O307" i="33"/>
  <c r="O47" i="33"/>
  <c r="O187" i="33"/>
  <c r="O208" i="33"/>
  <c r="O99" i="33"/>
  <c r="O6" i="33"/>
  <c r="O63" i="33"/>
  <c r="O43" i="33"/>
  <c r="O221" i="33"/>
  <c r="O121" i="33"/>
  <c r="O234" i="33"/>
  <c r="O147" i="33"/>
  <c r="O39" i="33"/>
  <c r="O254" i="33"/>
  <c r="O216" i="33"/>
  <c r="O133" i="33"/>
  <c r="O309" i="33"/>
  <c r="O155" i="33"/>
  <c r="O9" i="33"/>
  <c r="O299" i="33"/>
  <c r="O291" i="33"/>
  <c r="O250" i="33"/>
  <c r="O104" i="33"/>
  <c r="O158" i="33"/>
  <c r="O215" i="33"/>
  <c r="O88" i="33"/>
  <c r="O219" i="33"/>
  <c r="O82" i="33"/>
  <c r="O296" i="33"/>
  <c r="O304" i="33"/>
  <c r="O116" i="33"/>
  <c r="O127" i="33"/>
  <c r="O140" i="33"/>
  <c r="O42" i="33"/>
  <c r="O248" i="33"/>
  <c r="O120" i="33"/>
  <c r="O270" i="33"/>
  <c r="O288" i="33"/>
  <c r="O182" i="33"/>
  <c r="O23" i="33"/>
  <c r="O287" i="33"/>
  <c r="O159" i="33"/>
  <c r="O86" i="33"/>
  <c r="O160" i="33"/>
  <c r="O230" i="33"/>
  <c r="O19" i="33"/>
  <c r="O245" i="33"/>
  <c r="O90" i="33"/>
  <c r="O143" i="33"/>
  <c r="O201" i="33"/>
  <c r="O74" i="33"/>
  <c r="O204" i="33"/>
  <c r="O48" i="33"/>
  <c r="O262" i="33"/>
  <c r="O295" i="33"/>
  <c r="O106" i="33"/>
  <c r="O72" i="33"/>
  <c r="O131" i="33"/>
  <c r="O34" i="33"/>
  <c r="O214" i="33"/>
  <c r="O105" i="33"/>
  <c r="O267" i="33"/>
  <c r="O175" i="33"/>
  <c r="O179" i="33"/>
  <c r="O15" i="33"/>
  <c r="O272" i="33"/>
  <c r="O144" i="33"/>
  <c r="O83" i="33"/>
  <c r="O123" i="33"/>
  <c r="O227" i="33"/>
  <c r="O11" i="33"/>
  <c r="O240" i="33"/>
  <c r="O284" i="33"/>
  <c r="O64" i="33"/>
  <c r="O191" i="33"/>
  <c r="O283" i="33"/>
  <c r="O195" i="33"/>
  <c r="O16" i="33"/>
  <c r="O151" i="33"/>
  <c r="O261" i="33"/>
  <c r="O268" i="33"/>
  <c r="O313" i="33"/>
  <c r="O80" i="33"/>
  <c r="O26" i="33"/>
  <c r="O211" i="33"/>
  <c r="O97" i="33"/>
  <c r="O206" i="33"/>
  <c r="O103" i="33"/>
  <c r="O118" i="33"/>
  <c r="O251" i="33"/>
  <c r="O238" i="33"/>
  <c r="O110" i="33"/>
  <c r="O75" i="33"/>
  <c r="O111" i="33"/>
  <c r="O166" i="33"/>
  <c r="O244" i="33"/>
  <c r="O167" i="33"/>
  <c r="O161" i="33"/>
  <c r="O183" i="33"/>
  <c r="O128" i="33"/>
  <c r="O8" i="33"/>
  <c r="O174" i="33"/>
  <c r="O7" i="33"/>
  <c r="O255" i="33"/>
  <c r="O96" i="33"/>
  <c r="O180" i="33"/>
  <c r="O135" i="33"/>
  <c r="O31" i="33"/>
  <c r="O91" i="33"/>
  <c r="C325" i="34"/>
  <c r="F15" i="34" s="1"/>
  <c r="E315" i="25"/>
  <c r="L130" i="11"/>
  <c r="M130" i="11" s="1"/>
  <c r="O5" i="33"/>
  <c r="L5" i="11"/>
  <c r="M315" i="49"/>
  <c r="N5" i="49" s="1"/>
  <c r="N244" i="49" s="1"/>
  <c r="O244" i="49" s="1"/>
  <c r="D314" i="37"/>
  <c r="E4" i="9"/>
  <c r="D4" i="9" s="1"/>
  <c r="G40" i="40"/>
  <c r="G42" i="40" s="1"/>
  <c r="C314" i="11"/>
  <c r="D5" i="37"/>
  <c r="M244" i="25" l="1"/>
  <c r="J244" i="54"/>
  <c r="K244" i="54" s="1"/>
  <c r="E38" i="37"/>
  <c r="F38" i="37" s="1"/>
  <c r="E41" i="37"/>
  <c r="F41" i="37" s="1"/>
  <c r="E47" i="37"/>
  <c r="F47" i="37" s="1"/>
  <c r="E70" i="37"/>
  <c r="F70" i="37" s="1"/>
  <c r="E73" i="37"/>
  <c r="F73" i="37" s="1"/>
  <c r="E8" i="37"/>
  <c r="F8" i="37" s="1"/>
  <c r="E11" i="37"/>
  <c r="F11" i="37" s="1"/>
  <c r="E14" i="37"/>
  <c r="F14" i="37" s="1"/>
  <c r="E20" i="37"/>
  <c r="F20" i="37" s="1"/>
  <c r="E44" i="37"/>
  <c r="F44" i="37" s="1"/>
  <c r="E52" i="37"/>
  <c r="F52" i="37" s="1"/>
  <c r="E26" i="37"/>
  <c r="F26" i="37" s="1"/>
  <c r="E29" i="37"/>
  <c r="F29" i="37" s="1"/>
  <c r="E34" i="37"/>
  <c r="F34" i="37" s="1"/>
  <c r="E37" i="37"/>
  <c r="F37" i="37" s="1"/>
  <c r="E40" i="37"/>
  <c r="F40" i="37" s="1"/>
  <c r="E58" i="37"/>
  <c r="F58" i="37" s="1"/>
  <c r="E61" i="37"/>
  <c r="F61" i="37" s="1"/>
  <c r="E66" i="37"/>
  <c r="F66" i="37" s="1"/>
  <c r="E69" i="37"/>
  <c r="F69" i="37" s="1"/>
  <c r="E28" i="37"/>
  <c r="F28" i="37" s="1"/>
  <c r="E36" i="37"/>
  <c r="F36" i="37" s="1"/>
  <c r="E60" i="37"/>
  <c r="F60" i="37" s="1"/>
  <c r="E68" i="37"/>
  <c r="F68" i="37" s="1"/>
  <c r="E10" i="37"/>
  <c r="F10" i="37" s="1"/>
  <c r="E25" i="37"/>
  <c r="F25" i="37" s="1"/>
  <c r="E50" i="37"/>
  <c r="F50" i="37" s="1"/>
  <c r="E74" i="37"/>
  <c r="F74" i="37" s="1"/>
  <c r="E91" i="37"/>
  <c r="F91" i="37" s="1"/>
  <c r="E106" i="37"/>
  <c r="F106" i="37" s="1"/>
  <c r="E116" i="37"/>
  <c r="F116" i="37" s="1"/>
  <c r="E119" i="37"/>
  <c r="F119" i="37" s="1"/>
  <c r="E122" i="37"/>
  <c r="F122" i="37" s="1"/>
  <c r="E140" i="37"/>
  <c r="F140" i="37" s="1"/>
  <c r="E143" i="37"/>
  <c r="F143" i="37" s="1"/>
  <c r="E172" i="37"/>
  <c r="F172" i="37" s="1"/>
  <c r="E176" i="37"/>
  <c r="F176" i="37" s="1"/>
  <c r="E179" i="37"/>
  <c r="F179" i="37" s="1"/>
  <c r="E186" i="37"/>
  <c r="F186" i="37" s="1"/>
  <c r="E189" i="37"/>
  <c r="F189" i="37" s="1"/>
  <c r="E196" i="37"/>
  <c r="F196" i="37" s="1"/>
  <c r="E203" i="37"/>
  <c r="F203" i="37" s="1"/>
  <c r="E207" i="37"/>
  <c r="F207" i="37" s="1"/>
  <c r="E214" i="37"/>
  <c r="F214" i="37" s="1"/>
  <c r="E231" i="37"/>
  <c r="F231" i="37" s="1"/>
  <c r="E238" i="37"/>
  <c r="F238" i="37" s="1"/>
  <c r="E245" i="37"/>
  <c r="F245" i="37" s="1"/>
  <c r="E252" i="37"/>
  <c r="F252" i="37" s="1"/>
  <c r="E15" i="37"/>
  <c r="F15" i="37" s="1"/>
  <c r="E22" i="37"/>
  <c r="F22" i="37" s="1"/>
  <c r="E43" i="37"/>
  <c r="F43" i="37" s="1"/>
  <c r="E79" i="37"/>
  <c r="F79" i="37" s="1"/>
  <c r="E101" i="37"/>
  <c r="F101" i="37" s="1"/>
  <c r="E111" i="37"/>
  <c r="F111" i="37" s="1"/>
  <c r="E125" i="37"/>
  <c r="F125" i="37" s="1"/>
  <c r="E131" i="37"/>
  <c r="F131" i="37" s="1"/>
  <c r="E159" i="37"/>
  <c r="F159" i="37" s="1"/>
  <c r="E162" i="37"/>
  <c r="F162" i="37" s="1"/>
  <c r="E175" i="37"/>
  <c r="F175" i="37" s="1"/>
  <c r="E182" i="37"/>
  <c r="F182" i="37" s="1"/>
  <c r="E199" i="37"/>
  <c r="F199" i="37" s="1"/>
  <c r="E210" i="37"/>
  <c r="F210" i="37" s="1"/>
  <c r="E224" i="37"/>
  <c r="F224" i="37" s="1"/>
  <c r="E227" i="37"/>
  <c r="F227" i="37" s="1"/>
  <c r="E234" i="37"/>
  <c r="F234" i="37" s="1"/>
  <c r="E12" i="37"/>
  <c r="F12" i="37" s="1"/>
  <c r="E27" i="37"/>
  <c r="F27" i="37" s="1"/>
  <c r="E45" i="37"/>
  <c r="F45" i="37" s="1"/>
  <c r="E57" i="37"/>
  <c r="F57" i="37" s="1"/>
  <c r="E76" i="37"/>
  <c r="F76" i="37" s="1"/>
  <c r="E84" i="37"/>
  <c r="F84" i="37" s="1"/>
  <c r="E93" i="37"/>
  <c r="F93" i="37" s="1"/>
  <c r="E98" i="37"/>
  <c r="F98" i="37" s="1"/>
  <c r="E108" i="37"/>
  <c r="F108" i="37" s="1"/>
  <c r="E139" i="37"/>
  <c r="F139" i="37" s="1"/>
  <c r="E149" i="37"/>
  <c r="F149" i="37" s="1"/>
  <c r="E155" i="37"/>
  <c r="F155" i="37" s="1"/>
  <c r="E165" i="37"/>
  <c r="F165" i="37" s="1"/>
  <c r="E171" i="37"/>
  <c r="F171" i="37" s="1"/>
  <c r="E178" i="37"/>
  <c r="F178" i="37" s="1"/>
  <c r="E188" i="37"/>
  <c r="F188" i="37" s="1"/>
  <c r="E192" i="37"/>
  <c r="F192" i="37" s="1"/>
  <c r="E195" i="37"/>
  <c r="F195" i="37" s="1"/>
  <c r="E206" i="37"/>
  <c r="F206" i="37" s="1"/>
  <c r="E213" i="37"/>
  <c r="F213" i="37" s="1"/>
  <c r="E220" i="37"/>
  <c r="F220" i="37" s="1"/>
  <c r="E230" i="37"/>
  <c r="F230" i="37" s="1"/>
  <c r="E35" i="37"/>
  <c r="F35" i="37" s="1"/>
  <c r="E51" i="37"/>
  <c r="F51" i="37" s="1"/>
  <c r="E56" i="37"/>
  <c r="F56" i="37" s="1"/>
  <c r="E63" i="37"/>
  <c r="F63" i="37" s="1"/>
  <c r="E72" i="37"/>
  <c r="F72" i="37" s="1"/>
  <c r="E75" i="37"/>
  <c r="F75" i="37" s="1"/>
  <c r="E86" i="37"/>
  <c r="F86" i="37" s="1"/>
  <c r="E89" i="37"/>
  <c r="F89" i="37" s="1"/>
  <c r="E92" i="37"/>
  <c r="F92" i="37" s="1"/>
  <c r="E97" i="37"/>
  <c r="F97" i="37" s="1"/>
  <c r="E107" i="37"/>
  <c r="F107" i="37" s="1"/>
  <c r="E123" i="37"/>
  <c r="F123" i="37" s="1"/>
  <c r="E138" i="37"/>
  <c r="F138" i="37" s="1"/>
  <c r="E141" i="37"/>
  <c r="F141" i="37" s="1"/>
  <c r="E147" i="37"/>
  <c r="F147" i="37" s="1"/>
  <c r="E151" i="37"/>
  <c r="F151" i="37" s="1"/>
  <c r="E154" i="37"/>
  <c r="F154" i="37" s="1"/>
  <c r="E157" i="37"/>
  <c r="F157" i="37" s="1"/>
  <c r="E170" i="37"/>
  <c r="F170" i="37" s="1"/>
  <c r="E187" i="37"/>
  <c r="F187" i="37" s="1"/>
  <c r="E190" i="37"/>
  <c r="F190" i="37" s="1"/>
  <c r="E194" i="37"/>
  <c r="F194" i="37" s="1"/>
  <c r="E205" i="37"/>
  <c r="F205" i="37" s="1"/>
  <c r="E212" i="37"/>
  <c r="F212" i="37" s="1"/>
  <c r="E222" i="37"/>
  <c r="F222" i="37" s="1"/>
  <c r="E236" i="37"/>
  <c r="F236" i="37" s="1"/>
  <c r="E243" i="37"/>
  <c r="F243" i="37" s="1"/>
  <c r="E18" i="37"/>
  <c r="F18" i="37" s="1"/>
  <c r="E42" i="37"/>
  <c r="F42" i="37" s="1"/>
  <c r="E59" i="37"/>
  <c r="F59" i="37" s="1"/>
  <c r="E83" i="37"/>
  <c r="F83" i="37" s="1"/>
  <c r="E88" i="37"/>
  <c r="F88" i="37" s="1"/>
  <c r="E95" i="37"/>
  <c r="F95" i="37" s="1"/>
  <c r="E115" i="37"/>
  <c r="F115" i="37" s="1"/>
  <c r="E129" i="37"/>
  <c r="F129" i="37" s="1"/>
  <c r="E158" i="37"/>
  <c r="F158" i="37" s="1"/>
  <c r="E180" i="37"/>
  <c r="F180" i="37" s="1"/>
  <c r="E208" i="37"/>
  <c r="F208" i="37" s="1"/>
  <c r="E215" i="37"/>
  <c r="F215" i="37" s="1"/>
  <c r="E223" i="37"/>
  <c r="F223" i="37" s="1"/>
  <c r="E228" i="37"/>
  <c r="F228" i="37" s="1"/>
  <c r="E247" i="37"/>
  <c r="F247" i="37" s="1"/>
  <c r="E250" i="37"/>
  <c r="F250" i="37" s="1"/>
  <c r="E253" i="37"/>
  <c r="F253" i="37" s="1"/>
  <c r="E260" i="37"/>
  <c r="F260" i="37" s="1"/>
  <c r="E267" i="37"/>
  <c r="F267" i="37" s="1"/>
  <c r="E277" i="37"/>
  <c r="F277" i="37" s="1"/>
  <c r="E287" i="37"/>
  <c r="F287" i="37" s="1"/>
  <c r="E293" i="37"/>
  <c r="F293" i="37" s="1"/>
  <c r="E303" i="37"/>
  <c r="F303" i="37" s="1"/>
  <c r="E306" i="37"/>
  <c r="F306" i="37" s="1"/>
  <c r="E313" i="37"/>
  <c r="F313" i="37" s="1"/>
  <c r="E31" i="37"/>
  <c r="F31" i="37" s="1"/>
  <c r="E99" i="37"/>
  <c r="F99" i="37" s="1"/>
  <c r="E117" i="37"/>
  <c r="F117" i="37" s="1"/>
  <c r="E124" i="37"/>
  <c r="F124" i="37" s="1"/>
  <c r="E148" i="37"/>
  <c r="F148" i="37" s="1"/>
  <c r="E168" i="37"/>
  <c r="F168" i="37" s="1"/>
  <c r="E200" i="37"/>
  <c r="F200" i="37" s="1"/>
  <c r="E233" i="37"/>
  <c r="F233" i="37" s="1"/>
  <c r="E244" i="37"/>
  <c r="F244" i="37" s="1"/>
  <c r="E263" i="37"/>
  <c r="F263" i="37" s="1"/>
  <c r="E270" i="37"/>
  <c r="F270" i="37" s="1"/>
  <c r="E280" i="37"/>
  <c r="F280" i="37" s="1"/>
  <c r="E283" i="37"/>
  <c r="F283" i="37" s="1"/>
  <c r="E296" i="37"/>
  <c r="F296" i="37" s="1"/>
  <c r="E299" i="37"/>
  <c r="F299" i="37" s="1"/>
  <c r="E309" i="37"/>
  <c r="F309" i="37" s="1"/>
  <c r="E54" i="37"/>
  <c r="F54" i="37" s="1"/>
  <c r="E67" i="37"/>
  <c r="F67" i="37" s="1"/>
  <c r="E85" i="37"/>
  <c r="F85" i="37" s="1"/>
  <c r="E90" i="37"/>
  <c r="F90" i="37" s="1"/>
  <c r="E110" i="37"/>
  <c r="F110" i="37" s="1"/>
  <c r="E136" i="37"/>
  <c r="F136" i="37" s="1"/>
  <c r="E197" i="37"/>
  <c r="F197" i="37" s="1"/>
  <c r="E241" i="37"/>
  <c r="F241" i="37" s="1"/>
  <c r="E256" i="37"/>
  <c r="F256" i="37" s="1"/>
  <c r="E259" i="37"/>
  <c r="F259" i="37" s="1"/>
  <c r="E266" i="37"/>
  <c r="F266" i="37" s="1"/>
  <c r="E273" i="37"/>
  <c r="F273" i="37" s="1"/>
  <c r="E286" i="37"/>
  <c r="F286" i="37" s="1"/>
  <c r="E302" i="37"/>
  <c r="F302" i="37" s="1"/>
  <c r="E312" i="37"/>
  <c r="F312" i="37" s="1"/>
  <c r="E19" i="37"/>
  <c r="F19" i="37" s="1"/>
  <c r="E53" i="37"/>
  <c r="F53" i="37" s="1"/>
  <c r="E77" i="37"/>
  <c r="F77" i="37" s="1"/>
  <c r="E109" i="37"/>
  <c r="F109" i="37" s="1"/>
  <c r="E130" i="37"/>
  <c r="F130" i="37" s="1"/>
  <c r="E142" i="37"/>
  <c r="F142" i="37" s="1"/>
  <c r="E181" i="37"/>
  <c r="F181" i="37" s="1"/>
  <c r="E204" i="37"/>
  <c r="F204" i="37" s="1"/>
  <c r="E209" i="37"/>
  <c r="F209" i="37" s="1"/>
  <c r="E216" i="37"/>
  <c r="F216" i="37" s="1"/>
  <c r="E229" i="37"/>
  <c r="F229" i="37" s="1"/>
  <c r="E261" i="37"/>
  <c r="F261" i="37" s="1"/>
  <c r="E265" i="37"/>
  <c r="F265" i="37" s="1"/>
  <c r="E275" i="37"/>
  <c r="F275" i="37" s="1"/>
  <c r="E288" i="37"/>
  <c r="F288" i="37" s="1"/>
  <c r="E291" i="37"/>
  <c r="F291" i="37" s="1"/>
  <c r="E304" i="37"/>
  <c r="F304" i="37" s="1"/>
  <c r="E311" i="37"/>
  <c r="F311" i="37" s="1"/>
  <c r="E82" i="37"/>
  <c r="F82" i="37" s="1"/>
  <c r="E133" i="37"/>
  <c r="F133" i="37" s="1"/>
  <c r="E173" i="37"/>
  <c r="F173" i="37" s="1"/>
  <c r="E191" i="37"/>
  <c r="F191" i="37" s="1"/>
  <c r="E198" i="37"/>
  <c r="F198" i="37" s="1"/>
  <c r="E211" i="37"/>
  <c r="F211" i="37" s="1"/>
  <c r="E232" i="37"/>
  <c r="F232" i="37" s="1"/>
  <c r="E264" i="37"/>
  <c r="F264" i="37" s="1"/>
  <c r="E274" i="37"/>
  <c r="F274" i="37" s="1"/>
  <c r="E279" i="37"/>
  <c r="F279" i="37" s="1"/>
  <c r="E284" i="37"/>
  <c r="F284" i="37" s="1"/>
  <c r="E294" i="37"/>
  <c r="F294" i="37" s="1"/>
  <c r="E103" i="37"/>
  <c r="F103" i="37" s="1"/>
  <c r="E150" i="37"/>
  <c r="F150" i="37" s="1"/>
  <c r="E161" i="37"/>
  <c r="F161" i="37" s="1"/>
  <c r="E166" i="37"/>
  <c r="F166" i="37" s="1"/>
  <c r="E242" i="37"/>
  <c r="F242" i="37" s="1"/>
  <c r="E251" i="37"/>
  <c r="F251" i="37" s="1"/>
  <c r="E271" i="37"/>
  <c r="F271" i="37" s="1"/>
  <c r="E94" i="37"/>
  <c r="F94" i="37" s="1"/>
  <c r="E126" i="37"/>
  <c r="F126" i="37" s="1"/>
  <c r="E156" i="37"/>
  <c r="F156" i="37" s="1"/>
  <c r="E163" i="37"/>
  <c r="F163" i="37" s="1"/>
  <c r="E184" i="37"/>
  <c r="F184" i="37" s="1"/>
  <c r="E193" i="37"/>
  <c r="F193" i="37" s="1"/>
  <c r="E202" i="37"/>
  <c r="F202" i="37" s="1"/>
  <c r="E239" i="37"/>
  <c r="F239" i="37" s="1"/>
  <c r="E258" i="37"/>
  <c r="F258" i="37" s="1"/>
  <c r="E268" i="37"/>
  <c r="F268" i="37" s="1"/>
  <c r="E276" i="37"/>
  <c r="F276" i="37" s="1"/>
  <c r="E301" i="37"/>
  <c r="F301" i="37" s="1"/>
  <c r="E24" i="37"/>
  <c r="F24" i="37" s="1"/>
  <c r="E174" i="37"/>
  <c r="F174" i="37" s="1"/>
  <c r="E183" i="37"/>
  <c r="F183" i="37" s="1"/>
  <c r="E201" i="37"/>
  <c r="F201" i="37" s="1"/>
  <c r="E221" i="37"/>
  <c r="F221" i="37" s="1"/>
  <c r="E285" i="37"/>
  <c r="F285" i="37" s="1"/>
  <c r="E290" i="37"/>
  <c r="F290" i="37" s="1"/>
  <c r="E295" i="37"/>
  <c r="F295" i="37" s="1"/>
  <c r="E300" i="37"/>
  <c r="F300" i="37" s="1"/>
  <c r="E226" i="37"/>
  <c r="F226" i="37" s="1"/>
  <c r="E248" i="37"/>
  <c r="F248" i="37" s="1"/>
  <c r="E292" i="37"/>
  <c r="F292" i="37" s="1"/>
  <c r="E305" i="37"/>
  <c r="F305" i="37" s="1"/>
  <c r="E132" i="37"/>
  <c r="F132" i="37" s="1"/>
  <c r="E219" i="37"/>
  <c r="F219" i="37" s="1"/>
  <c r="E254" i="37"/>
  <c r="F254" i="37" s="1"/>
  <c r="E278" i="37"/>
  <c r="F278" i="37" s="1"/>
  <c r="E307" i="37"/>
  <c r="F307" i="37" s="1"/>
  <c r="E167" i="37"/>
  <c r="F167" i="37" s="1"/>
  <c r="E269" i="37"/>
  <c r="F269" i="37" s="1"/>
  <c r="E298" i="37"/>
  <c r="F298" i="37" s="1"/>
  <c r="E102" i="37"/>
  <c r="F102" i="37" s="1"/>
  <c r="E164" i="37"/>
  <c r="F164" i="37" s="1"/>
  <c r="E240" i="37"/>
  <c r="F240" i="37" s="1"/>
  <c r="E246" i="37"/>
  <c r="F246" i="37" s="1"/>
  <c r="E218" i="37"/>
  <c r="F218" i="37" s="1"/>
  <c r="E237" i="37"/>
  <c r="F237" i="37" s="1"/>
  <c r="E310" i="37"/>
  <c r="F310" i="37" s="1"/>
  <c r="E13" i="37"/>
  <c r="F13" i="37" s="1"/>
  <c r="E100" i="37"/>
  <c r="F100" i="37" s="1"/>
  <c r="E262" i="37"/>
  <c r="F262" i="37" s="1"/>
  <c r="E21" i="37"/>
  <c r="F21" i="37" s="1"/>
  <c r="E114" i="37"/>
  <c r="F114" i="37" s="1"/>
  <c r="E272" i="37"/>
  <c r="F272" i="37" s="1"/>
  <c r="E120" i="37"/>
  <c r="F120" i="37" s="1"/>
  <c r="E235" i="37"/>
  <c r="F235" i="37" s="1"/>
  <c r="E146" i="37"/>
  <c r="F146" i="37" s="1"/>
  <c r="E255" i="37"/>
  <c r="F255" i="37" s="1"/>
  <c r="E308" i="37"/>
  <c r="F308" i="37" s="1"/>
  <c r="E282" i="37"/>
  <c r="F282" i="37" s="1"/>
  <c r="E289" i="37"/>
  <c r="F289" i="37" s="1"/>
  <c r="E71" i="37"/>
  <c r="F71" i="37" s="1"/>
  <c r="E6" i="37"/>
  <c r="F6" i="37" s="1"/>
  <c r="E78" i="37"/>
  <c r="F78" i="37" s="1"/>
  <c r="E217" i="37"/>
  <c r="F217" i="37" s="1"/>
  <c r="E257" i="37"/>
  <c r="F257" i="37" s="1"/>
  <c r="E128" i="37"/>
  <c r="F128" i="37" s="1"/>
  <c r="E49" i="37"/>
  <c r="F49" i="37" s="1"/>
  <c r="E39" i="37"/>
  <c r="F39" i="37" s="1"/>
  <c r="E105" i="37"/>
  <c r="F105" i="37" s="1"/>
  <c r="E17" i="37"/>
  <c r="F17" i="37" s="1"/>
  <c r="E113" i="37"/>
  <c r="F113" i="37" s="1"/>
  <c r="E135" i="37"/>
  <c r="F135" i="37" s="1"/>
  <c r="E81" i="37"/>
  <c r="F81" i="37" s="1"/>
  <c r="E16" i="37"/>
  <c r="F16" i="37" s="1"/>
  <c r="E30" i="37"/>
  <c r="F30" i="37" s="1"/>
  <c r="E160" i="37"/>
  <c r="F160" i="37" s="1"/>
  <c r="E137" i="37"/>
  <c r="F137" i="37" s="1"/>
  <c r="E112" i="37"/>
  <c r="F112" i="37" s="1"/>
  <c r="E118" i="37"/>
  <c r="F118" i="37" s="1"/>
  <c r="E33" i="37"/>
  <c r="F33" i="37" s="1"/>
  <c r="E87" i="37"/>
  <c r="F87" i="37" s="1"/>
  <c r="E169" i="37"/>
  <c r="F169" i="37" s="1"/>
  <c r="E7" i="37"/>
  <c r="F7" i="37" s="1"/>
  <c r="E48" i="37"/>
  <c r="F48" i="37" s="1"/>
  <c r="E96" i="37"/>
  <c r="F96" i="37" s="1"/>
  <c r="E80" i="37"/>
  <c r="F80" i="37" s="1"/>
  <c r="E32" i="37"/>
  <c r="F32" i="37" s="1"/>
  <c r="E121" i="37"/>
  <c r="F121" i="37" s="1"/>
  <c r="E185" i="37"/>
  <c r="F185" i="37" s="1"/>
  <c r="E249" i="37"/>
  <c r="F249" i="37" s="1"/>
  <c r="E127" i="37"/>
  <c r="F127" i="37" s="1"/>
  <c r="E104" i="37"/>
  <c r="F104" i="37" s="1"/>
  <c r="E9" i="37"/>
  <c r="F9" i="37" s="1"/>
  <c r="E281" i="37"/>
  <c r="F281" i="37" s="1"/>
  <c r="E225" i="37"/>
  <c r="F225" i="37" s="1"/>
  <c r="E177" i="37"/>
  <c r="F177" i="37" s="1"/>
  <c r="E64" i="37"/>
  <c r="F64" i="37" s="1"/>
  <c r="E144" i="37"/>
  <c r="F144" i="37" s="1"/>
  <c r="E145" i="37"/>
  <c r="F145" i="37" s="1"/>
  <c r="E134" i="37"/>
  <c r="F134" i="37" s="1"/>
  <c r="E153" i="37"/>
  <c r="F153" i="37" s="1"/>
  <c r="E297" i="37"/>
  <c r="F297" i="37" s="1"/>
  <c r="E65" i="37"/>
  <c r="F65" i="37" s="1"/>
  <c r="E46" i="37"/>
  <c r="F46" i="37" s="1"/>
  <c r="E62" i="37"/>
  <c r="F62" i="37" s="1"/>
  <c r="E23" i="37"/>
  <c r="F23" i="37" s="1"/>
  <c r="E55" i="37"/>
  <c r="F55" i="37" s="1"/>
  <c r="E152" i="37"/>
  <c r="F152" i="37" s="1"/>
  <c r="D6" i="34"/>
  <c r="D8" i="34"/>
  <c r="D5" i="34"/>
  <c r="N219" i="49"/>
  <c r="O219" i="49" s="1"/>
  <c r="N170" i="49"/>
  <c r="O170" i="49" s="1"/>
  <c r="N8" i="49"/>
  <c r="N7" i="49"/>
  <c r="N6" i="49"/>
  <c r="N105" i="49"/>
  <c r="O105" i="49" s="1"/>
  <c r="E5" i="37"/>
  <c r="F5" i="37" s="1"/>
  <c r="I5" i="37" s="1"/>
  <c r="D5" i="9"/>
  <c r="D7" i="9"/>
  <c r="D6" i="9"/>
  <c r="I314" i="11"/>
  <c r="H314" i="11"/>
  <c r="M5" i="11"/>
  <c r="L314" i="11"/>
  <c r="M105" i="25" l="1"/>
  <c r="J105" i="54"/>
  <c r="K105" i="54" s="1"/>
  <c r="M170" i="25"/>
  <c r="J170" i="54"/>
  <c r="K170" i="54" s="1"/>
  <c r="M219" i="25"/>
  <c r="J219" i="54"/>
  <c r="K219" i="54" s="1"/>
  <c r="K40" i="40"/>
  <c r="I114" i="37"/>
  <c r="G125" i="34" s="1"/>
  <c r="H125" i="34" s="1"/>
  <c r="I177" i="37"/>
  <c r="G188" i="34" s="1"/>
  <c r="H188" i="34" s="1"/>
  <c r="I197" i="37"/>
  <c r="G208" i="34" s="1"/>
  <c r="H208" i="34" s="1"/>
  <c r="I215" i="37"/>
  <c r="G226" i="34" s="1"/>
  <c r="H226" i="34" s="1"/>
  <c r="I88" i="37"/>
  <c r="G99" i="34" s="1"/>
  <c r="H99" i="34" s="1"/>
  <c r="I121" i="37"/>
  <c r="G132" i="34" s="1"/>
  <c r="H132" i="34" s="1"/>
  <c r="I199" i="37"/>
  <c r="G210" i="34" s="1"/>
  <c r="H210" i="34" s="1"/>
  <c r="I252" i="37"/>
  <c r="G263" i="34" s="1"/>
  <c r="H263" i="34" s="1"/>
  <c r="I120" i="37"/>
  <c r="G131" i="34" s="1"/>
  <c r="H131" i="34" s="1"/>
  <c r="I182" i="37"/>
  <c r="G193" i="34" s="1"/>
  <c r="H193" i="34" s="1"/>
  <c r="I303" i="37"/>
  <c r="G314" i="34" s="1"/>
  <c r="H314" i="34" s="1"/>
  <c r="I271" i="37"/>
  <c r="G282" i="34" s="1"/>
  <c r="H282" i="34" s="1"/>
  <c r="I255" i="37"/>
  <c r="G266" i="34" s="1"/>
  <c r="H266" i="34" s="1"/>
  <c r="I239" i="37"/>
  <c r="G250" i="34" s="1"/>
  <c r="H250" i="34" s="1"/>
  <c r="I224" i="37"/>
  <c r="G235" i="34" s="1"/>
  <c r="H235" i="34" s="1"/>
  <c r="I119" i="37"/>
  <c r="G130" i="34" s="1"/>
  <c r="H130" i="34" s="1"/>
  <c r="I176" i="37"/>
  <c r="G187" i="34" s="1"/>
  <c r="H187" i="34" s="1"/>
  <c r="I160" i="37"/>
  <c r="G171" i="34" s="1"/>
  <c r="H171" i="34" s="1"/>
  <c r="I144" i="37"/>
  <c r="G155" i="34" s="1"/>
  <c r="H155" i="34" s="1"/>
  <c r="I128" i="37"/>
  <c r="G139" i="34" s="1"/>
  <c r="H139" i="34" s="1"/>
  <c r="I101" i="37"/>
  <c r="G112" i="34" s="1"/>
  <c r="H112" i="34" s="1"/>
  <c r="I83" i="37"/>
  <c r="G94" i="34" s="1"/>
  <c r="H94" i="34" s="1"/>
  <c r="I67" i="37"/>
  <c r="G78" i="34" s="1"/>
  <c r="H78" i="34" s="1"/>
  <c r="I51" i="37"/>
  <c r="G62" i="34" s="1"/>
  <c r="H62" i="34" s="1"/>
  <c r="I31" i="37"/>
  <c r="G42" i="34" s="1"/>
  <c r="H42" i="34" s="1"/>
  <c r="I15" i="37"/>
  <c r="G26" i="34" s="1"/>
  <c r="H26" i="34" s="1"/>
  <c r="I131" i="37"/>
  <c r="G142" i="34" s="1"/>
  <c r="H142" i="34" s="1"/>
  <c r="I258" i="37"/>
  <c r="G269" i="34" s="1"/>
  <c r="H269" i="34" s="1"/>
  <c r="I201" i="37"/>
  <c r="G212" i="34" s="1"/>
  <c r="H212" i="34" s="1"/>
  <c r="I6" i="37"/>
  <c r="G17" i="34" s="1"/>
  <c r="H17" i="34" s="1"/>
  <c r="I189" i="37"/>
  <c r="G200" i="34" s="1"/>
  <c r="H200" i="34" s="1"/>
  <c r="I296" i="37"/>
  <c r="G307" i="34" s="1"/>
  <c r="H307" i="34" s="1"/>
  <c r="I306" i="37"/>
  <c r="G317" i="34" s="1"/>
  <c r="H317" i="34" s="1"/>
  <c r="I209" i="37"/>
  <c r="G220" i="34" s="1"/>
  <c r="H220" i="34" s="1"/>
  <c r="I238" i="37"/>
  <c r="G249" i="34" s="1"/>
  <c r="H249" i="34" s="1"/>
  <c r="I52" i="37"/>
  <c r="G63" i="34" s="1"/>
  <c r="H63" i="34" s="1"/>
  <c r="I18" i="37"/>
  <c r="G29" i="34" s="1"/>
  <c r="H29" i="34" s="1"/>
  <c r="I78" i="37"/>
  <c r="G89" i="34" s="1"/>
  <c r="H89" i="34" s="1"/>
  <c r="I151" i="37"/>
  <c r="G162" i="34" s="1"/>
  <c r="H162" i="34" s="1"/>
  <c r="I179" i="37"/>
  <c r="G190" i="34" s="1"/>
  <c r="H190" i="34" s="1"/>
  <c r="I38" i="37"/>
  <c r="G49" i="34" s="1"/>
  <c r="H49" i="34" s="1"/>
  <c r="I286" i="37"/>
  <c r="G297" i="34" s="1"/>
  <c r="H297" i="34" s="1"/>
  <c r="I58" i="37"/>
  <c r="G69" i="34" s="1"/>
  <c r="H69" i="34" s="1"/>
  <c r="I133" i="37"/>
  <c r="G144" i="34" s="1"/>
  <c r="H144" i="34" s="1"/>
  <c r="I163" i="37"/>
  <c r="G174" i="34" s="1"/>
  <c r="H174" i="34" s="1"/>
  <c r="I106" i="37"/>
  <c r="G117" i="34" s="1"/>
  <c r="H117" i="34" s="1"/>
  <c r="I198" i="37"/>
  <c r="G209" i="34" s="1"/>
  <c r="H209" i="34" s="1"/>
  <c r="I180" i="37"/>
  <c r="G191" i="34" s="1"/>
  <c r="H191" i="34" s="1"/>
  <c r="I301" i="37"/>
  <c r="G312" i="34" s="1"/>
  <c r="H312" i="34" s="1"/>
  <c r="I285" i="37"/>
  <c r="G296" i="34" s="1"/>
  <c r="H296" i="34" s="1"/>
  <c r="I269" i="37"/>
  <c r="G280" i="34" s="1"/>
  <c r="H280" i="34" s="1"/>
  <c r="I253" i="37"/>
  <c r="G264" i="34" s="1"/>
  <c r="H264" i="34" s="1"/>
  <c r="I237" i="37"/>
  <c r="G248" i="34" s="1"/>
  <c r="H248" i="34" s="1"/>
  <c r="I220" i="37"/>
  <c r="G231" i="34" s="1"/>
  <c r="H231" i="34" s="1"/>
  <c r="I115" i="37"/>
  <c r="G126" i="34" s="1"/>
  <c r="H126" i="34" s="1"/>
  <c r="I174" i="37"/>
  <c r="G185" i="34" s="1"/>
  <c r="H185" i="34" s="1"/>
  <c r="I158" i="37"/>
  <c r="G169" i="34" s="1"/>
  <c r="H169" i="34" s="1"/>
  <c r="I142" i="37"/>
  <c r="G153" i="34" s="1"/>
  <c r="H153" i="34" s="1"/>
  <c r="I126" i="37"/>
  <c r="G137" i="34" s="1"/>
  <c r="H137" i="34" s="1"/>
  <c r="I97" i="37"/>
  <c r="G108" i="34" s="1"/>
  <c r="H108" i="34" s="1"/>
  <c r="I81" i="37"/>
  <c r="G92" i="34" s="1"/>
  <c r="H92" i="34" s="1"/>
  <c r="I65" i="37"/>
  <c r="G76" i="34" s="1"/>
  <c r="H76" i="34" s="1"/>
  <c r="I49" i="37"/>
  <c r="G60" i="34" s="1"/>
  <c r="H60" i="34" s="1"/>
  <c r="I29" i="37"/>
  <c r="G40" i="34" s="1"/>
  <c r="H40" i="34" s="1"/>
  <c r="I13" i="37"/>
  <c r="G24" i="34" s="1"/>
  <c r="H24" i="34" s="1"/>
  <c r="I112" i="37"/>
  <c r="G123" i="34" s="1"/>
  <c r="H123" i="34" s="1"/>
  <c r="I26" i="37"/>
  <c r="G37" i="34" s="1"/>
  <c r="H37" i="34" s="1"/>
  <c r="I56" i="37"/>
  <c r="G67" i="34" s="1"/>
  <c r="H67" i="34" s="1"/>
  <c r="I230" i="37"/>
  <c r="G241" i="34" s="1"/>
  <c r="H241" i="34" s="1"/>
  <c r="I302" i="37"/>
  <c r="G313" i="34" s="1"/>
  <c r="H313" i="34" s="1"/>
  <c r="I300" i="37"/>
  <c r="G311" i="34" s="1"/>
  <c r="H311" i="34" s="1"/>
  <c r="I219" i="37"/>
  <c r="G230" i="34" s="1"/>
  <c r="H230" i="34" s="1"/>
  <c r="I221" i="37"/>
  <c r="G232" i="34" s="1"/>
  <c r="H232" i="34" s="1"/>
  <c r="I270" i="37"/>
  <c r="G281" i="34" s="1"/>
  <c r="H281" i="34" s="1"/>
  <c r="I260" i="37"/>
  <c r="G271" i="34" s="1"/>
  <c r="H271" i="34" s="1"/>
  <c r="I223" i="37"/>
  <c r="G234" i="34" s="1"/>
  <c r="H234" i="34" s="1"/>
  <c r="I116" i="37"/>
  <c r="G127" i="34" s="1"/>
  <c r="H127" i="34" s="1"/>
  <c r="I34" i="37"/>
  <c r="G45" i="34" s="1"/>
  <c r="H45" i="34" s="1"/>
  <c r="I24" i="37"/>
  <c r="G35" i="34" s="1"/>
  <c r="H35" i="34" s="1"/>
  <c r="I304" i="37"/>
  <c r="G315" i="34" s="1"/>
  <c r="H315" i="34" s="1"/>
  <c r="I22" i="37"/>
  <c r="G33" i="34" s="1"/>
  <c r="H33" i="34" s="1"/>
  <c r="I94" i="37"/>
  <c r="G105" i="34" s="1"/>
  <c r="H105" i="34" s="1"/>
  <c r="I66" i="37"/>
  <c r="G77" i="34" s="1"/>
  <c r="H77" i="34" s="1"/>
  <c r="I8" i="37"/>
  <c r="G19" i="34" s="1"/>
  <c r="H19" i="34" s="1"/>
  <c r="I288" i="37"/>
  <c r="G299" i="34" s="1"/>
  <c r="H299" i="34" s="1"/>
  <c r="I194" i="37"/>
  <c r="G205" i="34" s="1"/>
  <c r="H205" i="34" s="1"/>
  <c r="I178" i="37"/>
  <c r="G189" i="34" s="1"/>
  <c r="H189" i="34" s="1"/>
  <c r="I299" i="37"/>
  <c r="G310" i="34" s="1"/>
  <c r="H310" i="34" s="1"/>
  <c r="I283" i="37"/>
  <c r="G294" i="34" s="1"/>
  <c r="H294" i="34" s="1"/>
  <c r="I267" i="37"/>
  <c r="G278" i="34" s="1"/>
  <c r="H278" i="34" s="1"/>
  <c r="I251" i="37"/>
  <c r="G262" i="34" s="1"/>
  <c r="H262" i="34" s="1"/>
  <c r="I235" i="37"/>
  <c r="G246" i="34" s="1"/>
  <c r="H246" i="34" s="1"/>
  <c r="I216" i="37"/>
  <c r="G227" i="34" s="1"/>
  <c r="H227" i="34" s="1"/>
  <c r="I111" i="37"/>
  <c r="G122" i="34" s="1"/>
  <c r="H122" i="34" s="1"/>
  <c r="I172" i="37"/>
  <c r="G183" i="34" s="1"/>
  <c r="H183" i="34" s="1"/>
  <c r="I156" i="37"/>
  <c r="G167" i="34" s="1"/>
  <c r="H167" i="34" s="1"/>
  <c r="I140" i="37"/>
  <c r="G151" i="34" s="1"/>
  <c r="H151" i="34" s="1"/>
  <c r="I124" i="37"/>
  <c r="G135" i="34" s="1"/>
  <c r="H135" i="34" s="1"/>
  <c r="I95" i="37"/>
  <c r="G106" i="34" s="1"/>
  <c r="H106" i="34" s="1"/>
  <c r="I79" i="37"/>
  <c r="G90" i="34" s="1"/>
  <c r="H90" i="34" s="1"/>
  <c r="I63" i="37"/>
  <c r="G74" i="34" s="1"/>
  <c r="H74" i="34" s="1"/>
  <c r="I45" i="37"/>
  <c r="G56" i="34" s="1"/>
  <c r="H56" i="34" s="1"/>
  <c r="I27" i="37"/>
  <c r="G38" i="34" s="1"/>
  <c r="H38" i="34" s="1"/>
  <c r="I11" i="37"/>
  <c r="G22" i="34" s="1"/>
  <c r="H22" i="34" s="1"/>
  <c r="I62" i="37"/>
  <c r="G73" i="34" s="1"/>
  <c r="H73" i="34" s="1"/>
  <c r="I262" i="37"/>
  <c r="G273" i="34" s="1"/>
  <c r="H273" i="34" s="1"/>
  <c r="I310" i="37"/>
  <c r="G321" i="34" s="1"/>
  <c r="H321" i="34" s="1"/>
  <c r="I48" i="37"/>
  <c r="G59" i="34" s="1"/>
  <c r="H59" i="34" s="1"/>
  <c r="I292" i="37"/>
  <c r="G303" i="34" s="1"/>
  <c r="H303" i="34" s="1"/>
  <c r="I192" i="37"/>
  <c r="G203" i="34" s="1"/>
  <c r="H203" i="34" s="1"/>
  <c r="I297" i="37"/>
  <c r="G308" i="34" s="1"/>
  <c r="H308" i="34" s="1"/>
  <c r="I265" i="37"/>
  <c r="G276" i="34" s="1"/>
  <c r="H276" i="34" s="1"/>
  <c r="I233" i="37"/>
  <c r="G244" i="34" s="1"/>
  <c r="H244" i="34" s="1"/>
  <c r="I170" i="37"/>
  <c r="G181" i="34" s="1"/>
  <c r="H181" i="34" s="1"/>
  <c r="I138" i="37"/>
  <c r="G149" i="34" s="1"/>
  <c r="H149" i="34" s="1"/>
  <c r="I77" i="37"/>
  <c r="G88" i="34" s="1"/>
  <c r="H88" i="34" s="1"/>
  <c r="I25" i="37"/>
  <c r="G36" i="34" s="1"/>
  <c r="H36" i="34" s="1"/>
  <c r="I165" i="37"/>
  <c r="G176" i="34" s="1"/>
  <c r="H176" i="34" s="1"/>
  <c r="I44" i="37"/>
  <c r="G55" i="34" s="1"/>
  <c r="H55" i="34" s="1"/>
  <c r="I16" i="37"/>
  <c r="G27" i="34" s="1"/>
  <c r="H27" i="34" s="1"/>
  <c r="I195" i="37"/>
  <c r="G206" i="34" s="1"/>
  <c r="H206" i="34" s="1"/>
  <c r="I185" i="37"/>
  <c r="G196" i="34" s="1"/>
  <c r="H196" i="34" s="1"/>
  <c r="I92" i="37"/>
  <c r="G103" i="34" s="1"/>
  <c r="H103" i="34" s="1"/>
  <c r="I75" i="37"/>
  <c r="G86" i="34" s="1"/>
  <c r="H86" i="34" s="1"/>
  <c r="I40" i="37"/>
  <c r="G51" i="34" s="1"/>
  <c r="H51" i="34" s="1"/>
  <c r="I137" i="37"/>
  <c r="G148" i="34" s="1"/>
  <c r="H148" i="34" s="1"/>
  <c r="I183" i="37"/>
  <c r="G194" i="34" s="1"/>
  <c r="H194" i="34" s="1"/>
  <c r="I211" i="37"/>
  <c r="G222" i="34" s="1"/>
  <c r="H222" i="34" s="1"/>
  <c r="I90" i="37"/>
  <c r="G101" i="34" s="1"/>
  <c r="H101" i="34" s="1"/>
  <c r="I191" i="37"/>
  <c r="G202" i="34" s="1"/>
  <c r="H202" i="34" s="1"/>
  <c r="I96" i="37"/>
  <c r="G107" i="34" s="1"/>
  <c r="H107" i="34" s="1"/>
  <c r="I12" i="37"/>
  <c r="G23" i="34" s="1"/>
  <c r="H23" i="34" s="1"/>
  <c r="I129" i="37"/>
  <c r="G140" i="34" s="1"/>
  <c r="H140" i="34" s="1"/>
  <c r="I108" i="37"/>
  <c r="G119" i="34" s="1"/>
  <c r="H119" i="34" s="1"/>
  <c r="I274" i="37"/>
  <c r="G285" i="34" s="1"/>
  <c r="H285" i="34" s="1"/>
  <c r="I217" i="37"/>
  <c r="G228" i="34" s="1"/>
  <c r="H228" i="34" s="1"/>
  <c r="I64" i="37"/>
  <c r="G75" i="34" s="1"/>
  <c r="H75" i="34" s="1"/>
  <c r="I14" i="37"/>
  <c r="G25" i="34" s="1"/>
  <c r="H25" i="34" s="1"/>
  <c r="I308" i="37"/>
  <c r="G319" i="34" s="1"/>
  <c r="H319" i="34" s="1"/>
  <c r="I264" i="37"/>
  <c r="G275" i="34" s="1"/>
  <c r="H275" i="34" s="1"/>
  <c r="I193" i="37"/>
  <c r="G204" i="34" s="1"/>
  <c r="H204" i="34" s="1"/>
  <c r="I32" i="37"/>
  <c r="G43" i="34" s="1"/>
  <c r="H43" i="34" s="1"/>
  <c r="I205" i="37"/>
  <c r="G216" i="34" s="1"/>
  <c r="H216" i="34" s="1"/>
  <c r="I214" i="37"/>
  <c r="G225" i="34" s="1"/>
  <c r="H225" i="34" s="1"/>
  <c r="I188" i="37"/>
  <c r="G199" i="34" s="1"/>
  <c r="H199" i="34" s="1"/>
  <c r="I309" i="37"/>
  <c r="G320" i="34" s="1"/>
  <c r="H320" i="34" s="1"/>
  <c r="I293" i="37"/>
  <c r="G304" i="34" s="1"/>
  <c r="H304" i="34" s="1"/>
  <c r="I277" i="37"/>
  <c r="G288" i="34" s="1"/>
  <c r="H288" i="34" s="1"/>
  <c r="I261" i="37"/>
  <c r="G272" i="34" s="1"/>
  <c r="H272" i="34" s="1"/>
  <c r="I245" i="37"/>
  <c r="G256" i="34" s="1"/>
  <c r="H256" i="34" s="1"/>
  <c r="I229" i="37"/>
  <c r="G240" i="34" s="1"/>
  <c r="H240" i="34" s="1"/>
  <c r="I204" i="37"/>
  <c r="G215" i="34" s="1"/>
  <c r="H215" i="34" s="1"/>
  <c r="I99" i="37"/>
  <c r="G110" i="34" s="1"/>
  <c r="H110" i="34" s="1"/>
  <c r="I166" i="37"/>
  <c r="G177" i="34" s="1"/>
  <c r="H177" i="34" s="1"/>
  <c r="I150" i="37"/>
  <c r="G161" i="34" s="1"/>
  <c r="H161" i="34" s="1"/>
  <c r="I134" i="37"/>
  <c r="G145" i="34" s="1"/>
  <c r="H145" i="34" s="1"/>
  <c r="I113" i="37"/>
  <c r="G124" i="34" s="1"/>
  <c r="H124" i="34" s="1"/>
  <c r="I89" i="37"/>
  <c r="G100" i="34" s="1"/>
  <c r="H100" i="34" s="1"/>
  <c r="I73" i="37"/>
  <c r="G84" i="34" s="1"/>
  <c r="H84" i="34" s="1"/>
  <c r="I57" i="37"/>
  <c r="G68" i="34" s="1"/>
  <c r="H68" i="34" s="1"/>
  <c r="I37" i="37"/>
  <c r="G48" i="34" s="1"/>
  <c r="H48" i="34" s="1"/>
  <c r="I21" i="37"/>
  <c r="G32" i="34" s="1"/>
  <c r="H32" i="34" s="1"/>
  <c r="I226" i="37"/>
  <c r="G237" i="34" s="1"/>
  <c r="H237" i="34" s="1"/>
  <c r="I100" i="37"/>
  <c r="G111" i="34" s="1"/>
  <c r="H111" i="34" s="1"/>
  <c r="I60" i="37"/>
  <c r="G71" i="34" s="1"/>
  <c r="H71" i="34" s="1"/>
  <c r="I173" i="37"/>
  <c r="G184" i="34" s="1"/>
  <c r="H184" i="34" s="1"/>
  <c r="I248" i="37"/>
  <c r="G259" i="34" s="1"/>
  <c r="H259" i="34" s="1"/>
  <c r="I202" i="37"/>
  <c r="G213" i="34" s="1"/>
  <c r="H213" i="34" s="1"/>
  <c r="I240" i="37"/>
  <c r="G251" i="34" s="1"/>
  <c r="H251" i="34" s="1"/>
  <c r="I149" i="37"/>
  <c r="G160" i="34" s="1"/>
  <c r="H160" i="34" s="1"/>
  <c r="I298" i="37"/>
  <c r="G309" i="34" s="1"/>
  <c r="H309" i="34" s="1"/>
  <c r="I86" i="37"/>
  <c r="G97" i="34" s="1"/>
  <c r="H97" i="34" s="1"/>
  <c r="I281" i="37"/>
  <c r="G292" i="34" s="1"/>
  <c r="H292" i="34" s="1"/>
  <c r="I212" i="37"/>
  <c r="G223" i="34" s="1"/>
  <c r="H223" i="34" s="1"/>
  <c r="I122" i="37"/>
  <c r="G133" i="34" s="1"/>
  <c r="H133" i="34" s="1"/>
  <c r="I9" i="37"/>
  <c r="G20" i="34" s="1"/>
  <c r="H20" i="34" s="1"/>
  <c r="I203" i="37"/>
  <c r="G214" i="34" s="1"/>
  <c r="H214" i="34" s="1"/>
  <c r="I50" i="37"/>
  <c r="G61" i="34" s="1"/>
  <c r="H61" i="34" s="1"/>
  <c r="I167" i="37"/>
  <c r="G178" i="34" s="1"/>
  <c r="H178" i="34" s="1"/>
  <c r="I242" i="37"/>
  <c r="G253" i="34" s="1"/>
  <c r="H253" i="34" s="1"/>
  <c r="I157" i="37"/>
  <c r="G168" i="34" s="1"/>
  <c r="H168" i="34" s="1"/>
  <c r="I312" i="37"/>
  <c r="G323" i="34" s="1"/>
  <c r="H323" i="34" s="1"/>
  <c r="I282" i="37"/>
  <c r="G293" i="34" s="1"/>
  <c r="H293" i="34" s="1"/>
  <c r="I161" i="37"/>
  <c r="G172" i="34" s="1"/>
  <c r="H172" i="34" s="1"/>
  <c r="I141" i="37"/>
  <c r="G152" i="34" s="1"/>
  <c r="H152" i="34" s="1"/>
  <c r="I190" i="37"/>
  <c r="G201" i="34" s="1"/>
  <c r="H201" i="34" s="1"/>
  <c r="I311" i="37"/>
  <c r="G322" i="34" s="1"/>
  <c r="H322" i="34" s="1"/>
  <c r="I295" i="37"/>
  <c r="G306" i="34" s="1"/>
  <c r="H306" i="34" s="1"/>
  <c r="I279" i="37"/>
  <c r="G290" i="34" s="1"/>
  <c r="H290" i="34" s="1"/>
  <c r="I263" i="37"/>
  <c r="G274" i="34" s="1"/>
  <c r="H274" i="34" s="1"/>
  <c r="I247" i="37"/>
  <c r="G258" i="34" s="1"/>
  <c r="H258" i="34" s="1"/>
  <c r="I231" i="37"/>
  <c r="G242" i="34" s="1"/>
  <c r="H242" i="34" s="1"/>
  <c r="I208" i="37"/>
  <c r="G219" i="34" s="1"/>
  <c r="H219" i="34" s="1"/>
  <c r="I103" i="37"/>
  <c r="G114" i="34" s="1"/>
  <c r="H114" i="34" s="1"/>
  <c r="I168" i="37"/>
  <c r="G179" i="34" s="1"/>
  <c r="H179" i="34" s="1"/>
  <c r="I152" i="37"/>
  <c r="G163" i="34" s="1"/>
  <c r="H163" i="34" s="1"/>
  <c r="I136" i="37"/>
  <c r="G147" i="34" s="1"/>
  <c r="H147" i="34" s="1"/>
  <c r="I117" i="37"/>
  <c r="G128" i="34" s="1"/>
  <c r="H128" i="34" s="1"/>
  <c r="I91" i="37"/>
  <c r="G102" i="34" s="1"/>
  <c r="H102" i="34" s="1"/>
  <c r="I59" i="37"/>
  <c r="G70" i="34" s="1"/>
  <c r="H70" i="34" s="1"/>
  <c r="I39" i="37"/>
  <c r="G50" i="34" s="1"/>
  <c r="H50" i="34" s="1"/>
  <c r="I7" i="37"/>
  <c r="G18" i="34" s="1"/>
  <c r="H18" i="34" s="1"/>
  <c r="I28" i="37"/>
  <c r="G39" i="34" s="1"/>
  <c r="H39" i="34" s="1"/>
  <c r="I76" i="37"/>
  <c r="G87" i="34" s="1"/>
  <c r="H87" i="34" s="1"/>
  <c r="I234" i="37"/>
  <c r="G245" i="34" s="1"/>
  <c r="H245" i="34" s="1"/>
  <c r="I46" i="37"/>
  <c r="G57" i="34" s="1"/>
  <c r="H57" i="34" s="1"/>
  <c r="I104" i="37"/>
  <c r="G115" i="34" s="1"/>
  <c r="H115" i="34" s="1"/>
  <c r="I42" i="37"/>
  <c r="G53" i="34" s="1"/>
  <c r="H53" i="34" s="1"/>
  <c r="I102" i="37"/>
  <c r="G113" i="34" s="1"/>
  <c r="H113" i="34" s="1"/>
  <c r="I232" i="37"/>
  <c r="G243" i="34" s="1"/>
  <c r="H243" i="34" s="1"/>
  <c r="I36" i="37"/>
  <c r="G47" i="34" s="1"/>
  <c r="H47" i="34" s="1"/>
  <c r="I246" i="37"/>
  <c r="G257" i="34" s="1"/>
  <c r="H257" i="34" s="1"/>
  <c r="I207" i="37"/>
  <c r="G218" i="34" s="1"/>
  <c r="H218" i="34" s="1"/>
  <c r="I280" i="37"/>
  <c r="G291" i="34" s="1"/>
  <c r="H291" i="34" s="1"/>
  <c r="I268" i="37"/>
  <c r="G279" i="34" s="1"/>
  <c r="H279" i="34" s="1"/>
  <c r="I30" i="37"/>
  <c r="G41" i="34" s="1"/>
  <c r="H41" i="34" s="1"/>
  <c r="I254" i="37"/>
  <c r="G265" i="34" s="1"/>
  <c r="H265" i="34" s="1"/>
  <c r="I256" i="37"/>
  <c r="G267" i="34" s="1"/>
  <c r="H267" i="34" s="1"/>
  <c r="I210" i="37"/>
  <c r="G221" i="34" s="1"/>
  <c r="H221" i="34" s="1"/>
  <c r="I186" i="37"/>
  <c r="G197" i="34" s="1"/>
  <c r="H197" i="34" s="1"/>
  <c r="I307" i="37"/>
  <c r="G318" i="34" s="1"/>
  <c r="H318" i="34" s="1"/>
  <c r="I291" i="37"/>
  <c r="G302" i="34" s="1"/>
  <c r="H302" i="34" s="1"/>
  <c r="I275" i="37"/>
  <c r="G286" i="34" s="1"/>
  <c r="H286" i="34" s="1"/>
  <c r="I259" i="37"/>
  <c r="G270" i="34" s="1"/>
  <c r="H270" i="34" s="1"/>
  <c r="I243" i="37"/>
  <c r="G254" i="34" s="1"/>
  <c r="H254" i="34" s="1"/>
  <c r="I227" i="37"/>
  <c r="G238" i="34" s="1"/>
  <c r="H238" i="34" s="1"/>
  <c r="I200" i="37"/>
  <c r="G211" i="34" s="1"/>
  <c r="H211" i="34" s="1"/>
  <c r="I47" i="37"/>
  <c r="G58" i="34" s="1"/>
  <c r="H58" i="34" s="1"/>
  <c r="I164" i="37"/>
  <c r="G175" i="34" s="1"/>
  <c r="H175" i="34" s="1"/>
  <c r="I148" i="37"/>
  <c r="G159" i="34" s="1"/>
  <c r="H159" i="34" s="1"/>
  <c r="I132" i="37"/>
  <c r="G143" i="34" s="1"/>
  <c r="H143" i="34" s="1"/>
  <c r="I109" i="37"/>
  <c r="G120" i="34" s="1"/>
  <c r="H120" i="34" s="1"/>
  <c r="I87" i="37"/>
  <c r="G98" i="34" s="1"/>
  <c r="H98" i="34" s="1"/>
  <c r="I71" i="37"/>
  <c r="G82" i="34" s="1"/>
  <c r="H82" i="34" s="1"/>
  <c r="I55" i="37"/>
  <c r="G66" i="34" s="1"/>
  <c r="H66" i="34" s="1"/>
  <c r="I35" i="37"/>
  <c r="G46" i="34" s="1"/>
  <c r="H46" i="34" s="1"/>
  <c r="I19" i="37"/>
  <c r="G30" i="34" s="1"/>
  <c r="H30" i="34" s="1"/>
  <c r="I169" i="37"/>
  <c r="G180" i="34" s="1"/>
  <c r="H180" i="34" s="1"/>
  <c r="I284" i="37"/>
  <c r="G295" i="34" s="1"/>
  <c r="H295" i="34" s="1"/>
  <c r="I123" i="37"/>
  <c r="G134" i="34" s="1"/>
  <c r="H134" i="34" s="1"/>
  <c r="I171" i="37"/>
  <c r="G182" i="34" s="1"/>
  <c r="H182" i="34" s="1"/>
  <c r="I181" i="37"/>
  <c r="G192" i="34" s="1"/>
  <c r="H192" i="34" s="1"/>
  <c r="I287" i="37"/>
  <c r="G298" i="34" s="1"/>
  <c r="H298" i="34" s="1"/>
  <c r="I290" i="37"/>
  <c r="G301" i="34" s="1"/>
  <c r="H301" i="34" s="1"/>
  <c r="I159" i="37"/>
  <c r="G170" i="34" s="1"/>
  <c r="H170" i="34" s="1"/>
  <c r="I155" i="37"/>
  <c r="G166" i="34" s="1"/>
  <c r="H166" i="34" s="1"/>
  <c r="I125" i="37"/>
  <c r="G136" i="34" s="1"/>
  <c r="H136" i="34" s="1"/>
  <c r="I153" i="37"/>
  <c r="G164" i="34" s="1"/>
  <c r="H164" i="34" s="1"/>
  <c r="I82" i="37"/>
  <c r="G93" i="34" s="1"/>
  <c r="H93" i="34" s="1"/>
  <c r="I250" i="37"/>
  <c r="G261" i="34" s="1"/>
  <c r="H261" i="34" s="1"/>
  <c r="I84" i="37"/>
  <c r="G95" i="34" s="1"/>
  <c r="H95" i="34" s="1"/>
  <c r="I98" i="37"/>
  <c r="G109" i="34" s="1"/>
  <c r="H109" i="34" s="1"/>
  <c r="I118" i="37"/>
  <c r="G129" i="34" s="1"/>
  <c r="H129" i="34" s="1"/>
  <c r="I222" i="37"/>
  <c r="G233" i="34" s="1"/>
  <c r="H233" i="34" s="1"/>
  <c r="I313" i="37"/>
  <c r="G324" i="34" s="1"/>
  <c r="H324" i="34" s="1"/>
  <c r="I249" i="37"/>
  <c r="G260" i="34" s="1"/>
  <c r="H260" i="34" s="1"/>
  <c r="I107" i="37"/>
  <c r="G118" i="34" s="1"/>
  <c r="H118" i="34" s="1"/>
  <c r="I154" i="37"/>
  <c r="G165" i="34" s="1"/>
  <c r="H165" i="34" s="1"/>
  <c r="I93" i="37"/>
  <c r="G104" i="34" s="1"/>
  <c r="H104" i="34" s="1"/>
  <c r="I61" i="37"/>
  <c r="G72" i="34" s="1"/>
  <c r="H72" i="34" s="1"/>
  <c r="I41" i="37"/>
  <c r="G52" i="34" s="1"/>
  <c r="H52" i="34" s="1"/>
  <c r="I244" i="37"/>
  <c r="G255" i="34" s="1"/>
  <c r="H255" i="34" s="1"/>
  <c r="I213" i="37"/>
  <c r="G224" i="34" s="1"/>
  <c r="H224" i="34" s="1"/>
  <c r="I74" i="37"/>
  <c r="G85" i="34" s="1"/>
  <c r="H85" i="34" s="1"/>
  <c r="I139" i="37"/>
  <c r="G150" i="34" s="1"/>
  <c r="H150" i="34" s="1"/>
  <c r="I218" i="37"/>
  <c r="G229" i="34" s="1"/>
  <c r="H229" i="34" s="1"/>
  <c r="I23" i="37"/>
  <c r="G34" i="34" s="1"/>
  <c r="H34" i="34" s="1"/>
  <c r="I228" i="37"/>
  <c r="G239" i="34" s="1"/>
  <c r="H239" i="34" s="1"/>
  <c r="I110" i="37"/>
  <c r="G121" i="34" s="1"/>
  <c r="H121" i="34" s="1"/>
  <c r="I147" i="37"/>
  <c r="G158" i="34" s="1"/>
  <c r="H158" i="34" s="1"/>
  <c r="I143" i="37"/>
  <c r="G154" i="34" s="1"/>
  <c r="H154" i="34" s="1"/>
  <c r="I135" i="37"/>
  <c r="G146" i="34" s="1"/>
  <c r="H146" i="34" s="1"/>
  <c r="I72" i="37"/>
  <c r="G83" i="34" s="1"/>
  <c r="H83" i="34" s="1"/>
  <c r="I80" i="37"/>
  <c r="G91" i="34" s="1"/>
  <c r="H91" i="34" s="1"/>
  <c r="I276" i="37"/>
  <c r="G287" i="34" s="1"/>
  <c r="H287" i="34" s="1"/>
  <c r="I266" i="37"/>
  <c r="G277" i="34" s="1"/>
  <c r="H277" i="34" s="1"/>
  <c r="I145" i="37"/>
  <c r="G156" i="34" s="1"/>
  <c r="H156" i="34" s="1"/>
  <c r="I54" i="37"/>
  <c r="G65" i="34" s="1"/>
  <c r="H65" i="34" s="1"/>
  <c r="I68" i="37"/>
  <c r="G79" i="34" s="1"/>
  <c r="H79" i="34" s="1"/>
  <c r="I127" i="37"/>
  <c r="G138" i="34" s="1"/>
  <c r="H138" i="34" s="1"/>
  <c r="I236" i="37"/>
  <c r="G247" i="34" s="1"/>
  <c r="H247" i="34" s="1"/>
  <c r="I294" i="37"/>
  <c r="G305" i="34" s="1"/>
  <c r="H305" i="34" s="1"/>
  <c r="I278" i="37"/>
  <c r="G289" i="34" s="1"/>
  <c r="H289" i="34" s="1"/>
  <c r="I20" i="37"/>
  <c r="G31" i="34" s="1"/>
  <c r="H31" i="34" s="1"/>
  <c r="I70" i="37"/>
  <c r="G81" i="34" s="1"/>
  <c r="H81" i="34" s="1"/>
  <c r="I187" i="37"/>
  <c r="G198" i="34" s="1"/>
  <c r="H198" i="34" s="1"/>
  <c r="I272" i="37"/>
  <c r="G283" i="34" s="1"/>
  <c r="H283" i="34" s="1"/>
  <c r="I10" i="37"/>
  <c r="G21" i="34" s="1"/>
  <c r="H21" i="34" s="1"/>
  <c r="I175" i="37"/>
  <c r="G186" i="34" s="1"/>
  <c r="H186" i="34" s="1"/>
  <c r="I206" i="37"/>
  <c r="G217" i="34" s="1"/>
  <c r="H217" i="34" s="1"/>
  <c r="I184" i="37"/>
  <c r="G195" i="34" s="1"/>
  <c r="H195" i="34" s="1"/>
  <c r="I305" i="37"/>
  <c r="G316" i="34" s="1"/>
  <c r="H316" i="34" s="1"/>
  <c r="I289" i="37"/>
  <c r="G300" i="34" s="1"/>
  <c r="H300" i="34" s="1"/>
  <c r="I273" i="37"/>
  <c r="G284" i="34" s="1"/>
  <c r="H284" i="34" s="1"/>
  <c r="I257" i="37"/>
  <c r="G268" i="34" s="1"/>
  <c r="H268" i="34" s="1"/>
  <c r="I241" i="37"/>
  <c r="G252" i="34" s="1"/>
  <c r="H252" i="34" s="1"/>
  <c r="I225" i="37"/>
  <c r="G236" i="34" s="1"/>
  <c r="H236" i="34" s="1"/>
  <c r="I196" i="37"/>
  <c r="G207" i="34" s="1"/>
  <c r="H207" i="34" s="1"/>
  <c r="I43" i="37"/>
  <c r="G54" i="34" s="1"/>
  <c r="H54" i="34" s="1"/>
  <c r="I162" i="37"/>
  <c r="G173" i="34" s="1"/>
  <c r="H173" i="34" s="1"/>
  <c r="I146" i="37"/>
  <c r="G157" i="34" s="1"/>
  <c r="H157" i="34" s="1"/>
  <c r="I130" i="37"/>
  <c r="G141" i="34" s="1"/>
  <c r="H141" i="34" s="1"/>
  <c r="I105" i="37"/>
  <c r="G116" i="34" s="1"/>
  <c r="H116" i="34" s="1"/>
  <c r="I85" i="37"/>
  <c r="G96" i="34" s="1"/>
  <c r="H96" i="34" s="1"/>
  <c r="I69" i="37"/>
  <c r="G80" i="34" s="1"/>
  <c r="H80" i="34" s="1"/>
  <c r="I53" i="37"/>
  <c r="G64" i="34" s="1"/>
  <c r="H64" i="34" s="1"/>
  <c r="I33" i="37"/>
  <c r="G44" i="34" s="1"/>
  <c r="H44" i="34" s="1"/>
  <c r="I17" i="37"/>
  <c r="G28" i="34" s="1"/>
  <c r="H28" i="34" s="1"/>
  <c r="M314" i="11"/>
  <c r="F10" i="9"/>
  <c r="N256" i="49"/>
  <c r="O256" i="49" s="1"/>
  <c r="N301" i="49"/>
  <c r="O301" i="49" s="1"/>
  <c r="N15" i="49"/>
  <c r="O15" i="49" s="1"/>
  <c r="N58" i="49"/>
  <c r="O58" i="49" s="1"/>
  <c r="N113" i="49"/>
  <c r="O113" i="49" s="1"/>
  <c r="N75" i="49"/>
  <c r="O75" i="49" s="1"/>
  <c r="N210" i="49"/>
  <c r="O210" i="49" s="1"/>
  <c r="N40" i="49"/>
  <c r="O40" i="49" s="1"/>
  <c r="N188" i="49"/>
  <c r="O188" i="49" s="1"/>
  <c r="N300" i="49"/>
  <c r="O300" i="49" s="1"/>
  <c r="N179" i="49"/>
  <c r="O179" i="49" s="1"/>
  <c r="N288" i="49"/>
  <c r="O288" i="49" s="1"/>
  <c r="N273" i="49"/>
  <c r="O273" i="49" s="1"/>
  <c r="N35" i="49"/>
  <c r="O35" i="49" s="1"/>
  <c r="N76" i="49"/>
  <c r="O76" i="49" s="1"/>
  <c r="N245" i="49"/>
  <c r="O245" i="49" s="1"/>
  <c r="N183" i="49"/>
  <c r="O183" i="49" s="1"/>
  <c r="O7" i="49"/>
  <c r="N177" i="49"/>
  <c r="O177" i="49" s="1"/>
  <c r="N17" i="49"/>
  <c r="O17" i="49" s="1"/>
  <c r="N124" i="49"/>
  <c r="O124" i="49" s="1"/>
  <c r="N192" i="49"/>
  <c r="O192" i="49" s="1"/>
  <c r="N110" i="49"/>
  <c r="O110" i="49" s="1"/>
  <c r="N100" i="49"/>
  <c r="O100" i="49" s="1"/>
  <c r="N66" i="49"/>
  <c r="O66" i="49" s="1"/>
  <c r="N241" i="49"/>
  <c r="O241" i="49" s="1"/>
  <c r="N22" i="49"/>
  <c r="O22" i="49" s="1"/>
  <c r="N59" i="49"/>
  <c r="O59" i="49" s="1"/>
  <c r="N181" i="49"/>
  <c r="O181" i="49" s="1"/>
  <c r="N214" i="49"/>
  <c r="O214" i="49" s="1"/>
  <c r="N270" i="49"/>
  <c r="O270" i="49" s="1"/>
  <c r="N129" i="49"/>
  <c r="O129" i="49" s="1"/>
  <c r="N99" i="49"/>
  <c r="O99" i="49" s="1"/>
  <c r="N74" i="49"/>
  <c r="O74" i="49" s="1"/>
  <c r="N225" i="49"/>
  <c r="O225" i="49" s="1"/>
  <c r="N290" i="49"/>
  <c r="O290" i="49" s="1"/>
  <c r="N18" i="49"/>
  <c r="O18" i="49" s="1"/>
  <c r="N312" i="49"/>
  <c r="O312" i="49" s="1"/>
  <c r="N156" i="49"/>
  <c r="O156" i="49" s="1"/>
  <c r="N292" i="49"/>
  <c r="O292" i="49" s="1"/>
  <c r="N291" i="49"/>
  <c r="O291" i="49" s="1"/>
  <c r="N33" i="49"/>
  <c r="O33" i="49" s="1"/>
  <c r="N97" i="49"/>
  <c r="O97" i="49" s="1"/>
  <c r="N272" i="49"/>
  <c r="O272" i="49" s="1"/>
  <c r="N118" i="49"/>
  <c r="O118" i="49" s="1"/>
  <c r="N62" i="49"/>
  <c r="O62" i="49" s="1"/>
  <c r="N178" i="49"/>
  <c r="O178" i="49" s="1"/>
  <c r="N26" i="49"/>
  <c r="O26" i="49" s="1"/>
  <c r="N186" i="49"/>
  <c r="O186" i="49" s="1"/>
  <c r="N274" i="49"/>
  <c r="O274" i="49" s="1"/>
  <c r="N141" i="49"/>
  <c r="O141" i="49" s="1"/>
  <c r="N247" i="49"/>
  <c r="O247" i="49" s="1"/>
  <c r="N80" i="49"/>
  <c r="O80" i="49" s="1"/>
  <c r="N161" i="49"/>
  <c r="O161" i="49" s="1"/>
  <c r="N71" i="49"/>
  <c r="O71" i="49" s="1"/>
  <c r="N304" i="49"/>
  <c r="O304" i="49" s="1"/>
  <c r="N255" i="49"/>
  <c r="O255" i="49" s="1"/>
  <c r="N65" i="49"/>
  <c r="O65" i="49" s="1"/>
  <c r="N289" i="49"/>
  <c r="O289" i="49" s="1"/>
  <c r="N293" i="49"/>
  <c r="O293" i="49" s="1"/>
  <c r="N222" i="49"/>
  <c r="O222" i="49" s="1"/>
  <c r="N253" i="49"/>
  <c r="O253" i="49" s="1"/>
  <c r="N302" i="49"/>
  <c r="O302" i="49" s="1"/>
  <c r="N191" i="49"/>
  <c r="O191" i="49" s="1"/>
  <c r="N132" i="49"/>
  <c r="O132" i="49" s="1"/>
  <c r="N10" i="49"/>
  <c r="O10" i="49" s="1"/>
  <c r="N57" i="49"/>
  <c r="O57" i="49" s="1"/>
  <c r="N45" i="49"/>
  <c r="O45" i="49" s="1"/>
  <c r="N313" i="49"/>
  <c r="O313" i="49" s="1"/>
  <c r="N258" i="49"/>
  <c r="O258" i="49" s="1"/>
  <c r="N64" i="49"/>
  <c r="O64" i="49" s="1"/>
  <c r="N148" i="49"/>
  <c r="O148" i="49" s="1"/>
  <c r="N306" i="49"/>
  <c r="O306" i="49" s="1"/>
  <c r="N82" i="49"/>
  <c r="O82" i="49" s="1"/>
  <c r="N310" i="49"/>
  <c r="O310" i="49" s="1"/>
  <c r="N127" i="49"/>
  <c r="O127" i="49" s="1"/>
  <c r="N164" i="49"/>
  <c r="O164" i="49" s="1"/>
  <c r="N123" i="49"/>
  <c r="O123" i="49" s="1"/>
  <c r="N307" i="49"/>
  <c r="O307" i="49" s="1"/>
  <c r="N128" i="49"/>
  <c r="O128" i="49" s="1"/>
  <c r="N279" i="49"/>
  <c r="O279" i="49" s="1"/>
  <c r="N55" i="49"/>
  <c r="O55" i="49" s="1"/>
  <c r="N261" i="49"/>
  <c r="O261" i="49" s="1"/>
  <c r="N9" i="49"/>
  <c r="O9" i="49" s="1"/>
  <c r="N77" i="49"/>
  <c r="O77" i="49" s="1"/>
  <c r="N16" i="49"/>
  <c r="O16" i="49" s="1"/>
  <c r="N189" i="49"/>
  <c r="O189" i="49" s="1"/>
  <c r="N19" i="49"/>
  <c r="O19" i="49" s="1"/>
  <c r="N104" i="49"/>
  <c r="O104" i="49" s="1"/>
  <c r="N155" i="49"/>
  <c r="O155" i="49" s="1"/>
  <c r="N103" i="49"/>
  <c r="O103" i="49" s="1"/>
  <c r="N199" i="49"/>
  <c r="O199" i="49" s="1"/>
  <c r="N134" i="49"/>
  <c r="O134" i="49" s="1"/>
  <c r="O8" i="49"/>
  <c r="N196" i="49"/>
  <c r="O196" i="49" s="1"/>
  <c r="N32" i="49"/>
  <c r="O32" i="49" s="1"/>
  <c r="N98" i="49"/>
  <c r="O98" i="49" s="1"/>
  <c r="N120" i="49"/>
  <c r="O120" i="49" s="1"/>
  <c r="N38" i="49"/>
  <c r="O38" i="49" s="1"/>
  <c r="N130" i="49"/>
  <c r="O130" i="49" s="1"/>
  <c r="N227" i="49"/>
  <c r="O227" i="49" s="1"/>
  <c r="N91" i="49"/>
  <c r="O91" i="49" s="1"/>
  <c r="N116" i="49"/>
  <c r="O116" i="49" s="1"/>
  <c r="N234" i="49"/>
  <c r="O234" i="49" s="1"/>
  <c r="N79" i="49"/>
  <c r="O79" i="49" s="1"/>
  <c r="N34" i="49"/>
  <c r="O34" i="49" s="1"/>
  <c r="N151" i="49"/>
  <c r="O151" i="49" s="1"/>
  <c r="N239" i="49"/>
  <c r="O239" i="49" s="1"/>
  <c r="N168" i="49"/>
  <c r="O168" i="49" s="1"/>
  <c r="N157" i="49"/>
  <c r="O157" i="49" s="1"/>
  <c r="N14" i="49"/>
  <c r="O14" i="49" s="1"/>
  <c r="N299" i="49"/>
  <c r="O299" i="49" s="1"/>
  <c r="N114" i="49"/>
  <c r="O114" i="49" s="1"/>
  <c r="N257" i="49"/>
  <c r="O257" i="49" s="1"/>
  <c r="N49" i="49"/>
  <c r="O49" i="49" s="1"/>
  <c r="N295" i="49"/>
  <c r="O295" i="49" s="1"/>
  <c r="N217" i="49"/>
  <c r="O217" i="49" s="1"/>
  <c r="N85" i="49"/>
  <c r="O85" i="49" s="1"/>
  <c r="N180" i="49"/>
  <c r="O180" i="49" s="1"/>
  <c r="N86" i="49"/>
  <c r="O86" i="49" s="1"/>
  <c r="N39" i="49"/>
  <c r="O39" i="49" s="1"/>
  <c r="N286" i="49"/>
  <c r="O286" i="49" s="1"/>
  <c r="N240" i="49"/>
  <c r="O240" i="49" s="1"/>
  <c r="N143" i="49"/>
  <c r="O143" i="49" s="1"/>
  <c r="N184" i="49"/>
  <c r="O184" i="49" s="1"/>
  <c r="N21" i="49"/>
  <c r="O21" i="49" s="1"/>
  <c r="N149" i="49"/>
  <c r="O149" i="49" s="1"/>
  <c r="N248" i="49"/>
  <c r="O248" i="49" s="1"/>
  <c r="N193" i="49"/>
  <c r="O193" i="49" s="1"/>
  <c r="N122" i="49"/>
  <c r="O122" i="49" s="1"/>
  <c r="N12" i="49"/>
  <c r="O12" i="49" s="1"/>
  <c r="N95" i="49"/>
  <c r="O95" i="49" s="1"/>
  <c r="N220" i="49"/>
  <c r="O220" i="49" s="1"/>
  <c r="N146" i="49"/>
  <c r="O146" i="49" s="1"/>
  <c r="N81" i="49"/>
  <c r="O81" i="49" s="1"/>
  <c r="N206" i="49"/>
  <c r="O206" i="49" s="1"/>
  <c r="N243" i="49"/>
  <c r="O243" i="49" s="1"/>
  <c r="N125" i="49"/>
  <c r="O125" i="49" s="1"/>
  <c r="N283" i="49"/>
  <c r="O283" i="49" s="1"/>
  <c r="N159" i="49"/>
  <c r="O159" i="49" s="1"/>
  <c r="N137" i="49"/>
  <c r="O137" i="49" s="1"/>
  <c r="N176" i="49"/>
  <c r="O176" i="49" s="1"/>
  <c r="N209" i="49"/>
  <c r="O209" i="49" s="1"/>
  <c r="N287" i="49"/>
  <c r="O287" i="49" s="1"/>
  <c r="N101" i="49"/>
  <c r="O101" i="49" s="1"/>
  <c r="N30" i="49"/>
  <c r="O30" i="49" s="1"/>
  <c r="N166" i="49"/>
  <c r="O166" i="49" s="1"/>
  <c r="N254" i="49"/>
  <c r="O254" i="49" s="1"/>
  <c r="N54" i="49"/>
  <c r="O54" i="49" s="1"/>
  <c r="N36" i="49"/>
  <c r="O36" i="49" s="1"/>
  <c r="N142" i="49"/>
  <c r="O142" i="49" s="1"/>
  <c r="N48" i="49"/>
  <c r="O48" i="49" s="1"/>
  <c r="N153" i="49"/>
  <c r="O153" i="49" s="1"/>
  <c r="N92" i="49"/>
  <c r="O92" i="49" s="1"/>
  <c r="N226" i="49"/>
  <c r="O226" i="49" s="1"/>
  <c r="N20" i="49"/>
  <c r="O20" i="49" s="1"/>
  <c r="N205" i="49"/>
  <c r="O205" i="49" s="1"/>
  <c r="N108" i="49"/>
  <c r="O108" i="49" s="1"/>
  <c r="N78" i="49"/>
  <c r="O78" i="49" s="1"/>
  <c r="N213" i="49"/>
  <c r="O213" i="49" s="1"/>
  <c r="N73" i="49"/>
  <c r="O73" i="49" s="1"/>
  <c r="N207" i="49"/>
  <c r="O207" i="49" s="1"/>
  <c r="N150" i="49"/>
  <c r="O150" i="49" s="1"/>
  <c r="N311" i="49"/>
  <c r="O311" i="49" s="1"/>
  <c r="N51" i="49"/>
  <c r="O51" i="49" s="1"/>
  <c r="N119" i="49"/>
  <c r="O119" i="49" s="1"/>
  <c r="N69" i="49"/>
  <c r="O69" i="49" s="1"/>
  <c r="N115" i="49"/>
  <c r="O115" i="49" s="1"/>
  <c r="N68" i="49"/>
  <c r="O68" i="49" s="1"/>
  <c r="N195" i="49"/>
  <c r="O195" i="49" s="1"/>
  <c r="N203" i="49"/>
  <c r="O203" i="49" s="1"/>
  <c r="N63" i="49"/>
  <c r="O63" i="49" s="1"/>
  <c r="N185" i="49"/>
  <c r="O185" i="49" s="1"/>
  <c r="N251" i="49"/>
  <c r="O251" i="49" s="1"/>
  <c r="N145" i="49"/>
  <c r="O145" i="49" s="1"/>
  <c r="N131" i="49"/>
  <c r="O131" i="49" s="1"/>
  <c r="N281" i="49"/>
  <c r="O281" i="49" s="1"/>
  <c r="N13" i="49"/>
  <c r="O13" i="49" s="1"/>
  <c r="N229" i="49"/>
  <c r="O229" i="49" s="1"/>
  <c r="N67" i="49"/>
  <c r="O67" i="49" s="1"/>
  <c r="N169" i="49"/>
  <c r="O169" i="49" s="1"/>
  <c r="N162" i="49"/>
  <c r="O162" i="49" s="1"/>
  <c r="N44" i="49"/>
  <c r="O44" i="49" s="1"/>
  <c r="N296" i="49"/>
  <c r="O296" i="49" s="1"/>
  <c r="N277" i="49"/>
  <c r="O277" i="49" s="1"/>
  <c r="N278" i="49"/>
  <c r="O278" i="49" s="1"/>
  <c r="N167" i="49"/>
  <c r="O167" i="49" s="1"/>
  <c r="N260" i="49"/>
  <c r="O260" i="49" s="1"/>
  <c r="N117" i="49"/>
  <c r="O117" i="49" s="1"/>
  <c r="N135" i="49"/>
  <c r="O135" i="49" s="1"/>
  <c r="N111" i="49"/>
  <c r="O111" i="49" s="1"/>
  <c r="N235" i="49"/>
  <c r="O235" i="49" s="1"/>
  <c r="N23" i="49"/>
  <c r="O23" i="49" s="1"/>
  <c r="N83" i="49"/>
  <c r="O83" i="49" s="1"/>
  <c r="N37" i="49"/>
  <c r="O37" i="49" s="1"/>
  <c r="N267" i="49"/>
  <c r="O267" i="49" s="1"/>
  <c r="N175" i="49"/>
  <c r="O175" i="49" s="1"/>
  <c r="N72" i="49"/>
  <c r="O72" i="49" s="1"/>
  <c r="N28" i="49"/>
  <c r="O28" i="49" s="1"/>
  <c r="N60" i="49"/>
  <c r="O60" i="49" s="1"/>
  <c r="N29" i="49"/>
  <c r="O29" i="49" s="1"/>
  <c r="N42" i="49"/>
  <c r="O42" i="49" s="1"/>
  <c r="N297" i="49"/>
  <c r="O297" i="49" s="1"/>
  <c r="N126" i="49"/>
  <c r="O126" i="49" s="1"/>
  <c r="N223" i="49"/>
  <c r="O223" i="49" s="1"/>
  <c r="N89" i="49"/>
  <c r="O89" i="49" s="1"/>
  <c r="N298" i="49"/>
  <c r="O298" i="49" s="1"/>
  <c r="N198" i="49"/>
  <c r="O198" i="49" s="1"/>
  <c r="N284" i="49"/>
  <c r="O284" i="49" s="1"/>
  <c r="N204" i="49"/>
  <c r="O204" i="49" s="1"/>
  <c r="N201" i="49"/>
  <c r="O201" i="49" s="1"/>
  <c r="N109" i="49"/>
  <c r="O109" i="49" s="1"/>
  <c r="N208" i="49"/>
  <c r="O208" i="49" s="1"/>
  <c r="N27" i="49"/>
  <c r="O27" i="49" s="1"/>
  <c r="N52" i="49"/>
  <c r="O52" i="49" s="1"/>
  <c r="N112" i="49"/>
  <c r="O112" i="49" s="1"/>
  <c r="N212" i="49"/>
  <c r="O212" i="49" s="1"/>
  <c r="N25" i="49"/>
  <c r="O25" i="49" s="1"/>
  <c r="N56" i="49"/>
  <c r="O56" i="49" s="1"/>
  <c r="N106" i="49"/>
  <c r="O106" i="49" s="1"/>
  <c r="N303" i="49"/>
  <c r="O303" i="49" s="1"/>
  <c r="N238" i="49"/>
  <c r="O238" i="49" s="1"/>
  <c r="N216" i="49"/>
  <c r="O216" i="49" s="1"/>
  <c r="N61" i="49"/>
  <c r="O61" i="49" s="1"/>
  <c r="N140" i="49"/>
  <c r="O140" i="49" s="1"/>
  <c r="N41" i="49"/>
  <c r="O41" i="49" s="1"/>
  <c r="N70" i="49"/>
  <c r="O70" i="49" s="1"/>
  <c r="N309" i="49"/>
  <c r="O309" i="49" s="1"/>
  <c r="N266" i="49"/>
  <c r="O266" i="49" s="1"/>
  <c r="N46" i="49"/>
  <c r="O46" i="49" s="1"/>
  <c r="N194" i="49"/>
  <c r="O194" i="49" s="1"/>
  <c r="N246" i="49"/>
  <c r="O246" i="49" s="1"/>
  <c r="N154" i="49"/>
  <c r="O154" i="49" s="1"/>
  <c r="N308" i="49"/>
  <c r="O308" i="49" s="1"/>
  <c r="N50" i="49"/>
  <c r="O50" i="49" s="1"/>
  <c r="N197" i="49"/>
  <c r="O197" i="49" s="1"/>
  <c r="N250" i="49"/>
  <c r="O250" i="49" s="1"/>
  <c r="N200" i="49"/>
  <c r="O200" i="49" s="1"/>
  <c r="N314" i="49"/>
  <c r="O314" i="49" s="1"/>
  <c r="N173" i="49"/>
  <c r="O173" i="49" s="1"/>
  <c r="N87" i="49"/>
  <c r="O87" i="49" s="1"/>
  <c r="N268" i="49"/>
  <c r="O268" i="49" s="1"/>
  <c r="N94" i="49"/>
  <c r="O94" i="49" s="1"/>
  <c r="N107" i="49"/>
  <c r="O107" i="49" s="1"/>
  <c r="N88" i="49"/>
  <c r="O88" i="49" s="1"/>
  <c r="N269" i="49"/>
  <c r="O269" i="49" s="1"/>
  <c r="N230" i="49"/>
  <c r="O230" i="49" s="1"/>
  <c r="N249" i="49"/>
  <c r="O249" i="49" s="1"/>
  <c r="N305" i="49"/>
  <c r="O305" i="49" s="1"/>
  <c r="N252" i="49"/>
  <c r="O252" i="49" s="1"/>
  <c r="N24" i="49"/>
  <c r="O24" i="49" s="1"/>
  <c r="N265" i="49"/>
  <c r="O265" i="49" s="1"/>
  <c r="N163" i="49"/>
  <c r="O163" i="49" s="1"/>
  <c r="N236" i="49"/>
  <c r="O236" i="49" s="1"/>
  <c r="N259" i="49"/>
  <c r="O259" i="49" s="1"/>
  <c r="N233" i="49"/>
  <c r="O233" i="49" s="1"/>
  <c r="N47" i="49"/>
  <c r="O47" i="49" s="1"/>
  <c r="N221" i="49"/>
  <c r="O221" i="49" s="1"/>
  <c r="N172" i="49"/>
  <c r="O172" i="49" s="1"/>
  <c r="N53" i="49"/>
  <c r="O53" i="49" s="1"/>
  <c r="N31" i="49"/>
  <c r="O31" i="49" s="1"/>
  <c r="N228" i="49"/>
  <c r="O228" i="49" s="1"/>
  <c r="N215" i="49"/>
  <c r="O215" i="49" s="1"/>
  <c r="N202" i="49"/>
  <c r="O202" i="49" s="1"/>
  <c r="N232" i="49"/>
  <c r="O232" i="49" s="1"/>
  <c r="N271" i="49"/>
  <c r="O271" i="49" s="1"/>
  <c r="N182" i="49"/>
  <c r="O182" i="49" s="1"/>
  <c r="B21" i="48"/>
  <c r="N152" i="49"/>
  <c r="O152" i="49" s="1"/>
  <c r="N121" i="49"/>
  <c r="O121" i="49" s="1"/>
  <c r="N276" i="49"/>
  <c r="O276" i="49" s="1"/>
  <c r="N174" i="49"/>
  <c r="O174" i="49" s="1"/>
  <c r="N275" i="49"/>
  <c r="O275" i="49" s="1"/>
  <c r="N96" i="49"/>
  <c r="O96" i="49" s="1"/>
  <c r="N218" i="49"/>
  <c r="O218" i="49" s="1"/>
  <c r="N160" i="49"/>
  <c r="O160" i="49" s="1"/>
  <c r="N144" i="49"/>
  <c r="O144" i="49" s="1"/>
  <c r="N294" i="49"/>
  <c r="O294" i="49" s="1"/>
  <c r="N43" i="49"/>
  <c r="O43" i="49" s="1"/>
  <c r="N147" i="49"/>
  <c r="O147" i="49" s="1"/>
  <c r="N102" i="49"/>
  <c r="O102" i="49" s="1"/>
  <c r="N262" i="49"/>
  <c r="O262" i="49" s="1"/>
  <c r="N285" i="49"/>
  <c r="O285" i="49" s="1"/>
  <c r="N138" i="49"/>
  <c r="O138" i="49" s="1"/>
  <c r="N158" i="49"/>
  <c r="O158" i="49" s="1"/>
  <c r="N139" i="49"/>
  <c r="O139" i="49" s="1"/>
  <c r="N224" i="49"/>
  <c r="O224" i="49" s="1"/>
  <c r="N84" i="49"/>
  <c r="O84" i="49" s="1"/>
  <c r="N165" i="49"/>
  <c r="O165" i="49" s="1"/>
  <c r="N133" i="49"/>
  <c r="O133" i="49" s="1"/>
  <c r="N231" i="49"/>
  <c r="O231" i="49" s="1"/>
  <c r="N136" i="49"/>
  <c r="O136" i="49" s="1"/>
  <c r="N237" i="49"/>
  <c r="O237" i="49" s="1"/>
  <c r="N264" i="49"/>
  <c r="O264" i="49" s="1"/>
  <c r="N11" i="49"/>
  <c r="O11" i="49" s="1"/>
  <c r="N282" i="49"/>
  <c r="O282" i="49" s="1"/>
  <c r="N190" i="49"/>
  <c r="O190" i="49" s="1"/>
  <c r="N187" i="49"/>
  <c r="O187" i="49" s="1"/>
  <c r="N93" i="49"/>
  <c r="O93" i="49" s="1"/>
  <c r="N171" i="49"/>
  <c r="O171" i="49" s="1"/>
  <c r="N280" i="49"/>
  <c r="O280" i="49" s="1"/>
  <c r="N263" i="49"/>
  <c r="O263" i="49" s="1"/>
  <c r="N211" i="49"/>
  <c r="O211" i="49" s="1"/>
  <c r="N90" i="49"/>
  <c r="O90" i="49" s="1"/>
  <c r="N242" i="49"/>
  <c r="O242" i="49" s="1"/>
  <c r="G16" i="34"/>
  <c r="H16" i="34" s="1"/>
  <c r="M211" i="25" l="1"/>
  <c r="J211" i="54"/>
  <c r="K211" i="54" s="1"/>
  <c r="M231" i="25"/>
  <c r="J231" i="54"/>
  <c r="K231" i="54" s="1"/>
  <c r="M43" i="25"/>
  <c r="J43" i="54"/>
  <c r="K43" i="54" s="1"/>
  <c r="M215" i="25"/>
  <c r="J215" i="54"/>
  <c r="K215" i="54" s="1"/>
  <c r="M24" i="25"/>
  <c r="J24" i="54"/>
  <c r="K24" i="54" s="1"/>
  <c r="M314" i="25"/>
  <c r="J314" i="54"/>
  <c r="K314" i="54" s="1"/>
  <c r="M70" i="25"/>
  <c r="J70" i="54"/>
  <c r="K70" i="54" s="1"/>
  <c r="M52" i="25"/>
  <c r="J52" i="54"/>
  <c r="K52" i="54" s="1"/>
  <c r="M297" i="25"/>
  <c r="J297" i="54"/>
  <c r="K297" i="54" s="1"/>
  <c r="M37" i="25"/>
  <c r="J37" i="54"/>
  <c r="K37" i="54" s="1"/>
  <c r="M167" i="25"/>
  <c r="J167" i="54"/>
  <c r="K167" i="54" s="1"/>
  <c r="M145" i="25"/>
  <c r="J145" i="54"/>
  <c r="K145" i="54" s="1"/>
  <c r="M150" i="25"/>
  <c r="J150" i="54"/>
  <c r="K150" i="54" s="1"/>
  <c r="M142" i="25"/>
  <c r="J142" i="54"/>
  <c r="K142" i="54" s="1"/>
  <c r="M283" i="25"/>
  <c r="J283" i="54"/>
  <c r="K283" i="54" s="1"/>
  <c r="M149" i="25"/>
  <c r="J149" i="54"/>
  <c r="K149" i="54" s="1"/>
  <c r="M151" i="25"/>
  <c r="J151" i="54"/>
  <c r="K151" i="54" s="1"/>
  <c r="M196" i="25"/>
  <c r="J196" i="54"/>
  <c r="K196" i="54" s="1"/>
  <c r="M261" i="25"/>
  <c r="J261" i="54"/>
  <c r="K261" i="54" s="1"/>
  <c r="M71" i="25"/>
  <c r="J71" i="54"/>
  <c r="K71" i="54" s="1"/>
  <c r="M263" i="25"/>
  <c r="J263" i="54"/>
  <c r="K263" i="54" s="1"/>
  <c r="M187" i="25"/>
  <c r="J187" i="54"/>
  <c r="K187" i="54" s="1"/>
  <c r="M264" i="25"/>
  <c r="J264" i="54"/>
  <c r="K264" i="54" s="1"/>
  <c r="M133" i="25"/>
  <c r="J133" i="54"/>
  <c r="K133" i="54" s="1"/>
  <c r="M139" i="25"/>
  <c r="J139" i="54"/>
  <c r="K139" i="54" s="1"/>
  <c r="M262" i="25"/>
  <c r="J262" i="54"/>
  <c r="K262" i="54" s="1"/>
  <c r="M294" i="25"/>
  <c r="J294" i="54"/>
  <c r="K294" i="54" s="1"/>
  <c r="M96" i="25"/>
  <c r="J96" i="54"/>
  <c r="K96" i="54" s="1"/>
  <c r="M121" i="25"/>
  <c r="J121" i="54"/>
  <c r="K121" i="54" s="1"/>
  <c r="M271" i="25"/>
  <c r="J271" i="54"/>
  <c r="K271" i="54" s="1"/>
  <c r="M228" i="25"/>
  <c r="J228" i="54"/>
  <c r="K228" i="54" s="1"/>
  <c r="M221" i="25"/>
  <c r="J221" i="54"/>
  <c r="K221" i="54" s="1"/>
  <c r="M236" i="25"/>
  <c r="J236" i="54"/>
  <c r="K236" i="54" s="1"/>
  <c r="M252" i="25"/>
  <c r="J252" i="54"/>
  <c r="K252" i="54" s="1"/>
  <c r="M269" i="25"/>
  <c r="J269" i="54"/>
  <c r="K269" i="54" s="1"/>
  <c r="M268" i="25"/>
  <c r="J268" i="54"/>
  <c r="K268" i="54" s="1"/>
  <c r="M200" i="25"/>
  <c r="J200" i="54"/>
  <c r="K200" i="54" s="1"/>
  <c r="M308" i="25"/>
  <c r="J308" i="54"/>
  <c r="K308" i="54" s="1"/>
  <c r="M46" i="25"/>
  <c r="J46" i="54"/>
  <c r="K46" i="54" s="1"/>
  <c r="M41" i="25"/>
  <c r="J41" i="54"/>
  <c r="K41" i="54" s="1"/>
  <c r="M238" i="25"/>
  <c r="J238" i="54"/>
  <c r="K238" i="54" s="1"/>
  <c r="M25" i="25"/>
  <c r="J25" i="54"/>
  <c r="K25" i="54" s="1"/>
  <c r="M27" i="25"/>
  <c r="J27" i="54"/>
  <c r="K27" i="54" s="1"/>
  <c r="M204" i="25"/>
  <c r="J204" i="54"/>
  <c r="K204" i="54" s="1"/>
  <c r="M89" i="25"/>
  <c r="J89" i="54"/>
  <c r="K89" i="54" s="1"/>
  <c r="M42" i="25"/>
  <c r="J42" i="54"/>
  <c r="K42" i="54" s="1"/>
  <c r="M72" i="25"/>
  <c r="J72" i="54"/>
  <c r="K72" i="54" s="1"/>
  <c r="M83" i="25"/>
  <c r="J83" i="54"/>
  <c r="K83" i="54" s="1"/>
  <c r="M135" i="25"/>
  <c r="J135" i="54"/>
  <c r="K135" i="54" s="1"/>
  <c r="M278" i="25"/>
  <c r="J278" i="54"/>
  <c r="K278" i="54" s="1"/>
  <c r="M162" i="25"/>
  <c r="J162" i="54"/>
  <c r="K162" i="54" s="1"/>
  <c r="M13" i="25"/>
  <c r="J13" i="54"/>
  <c r="K13" i="54" s="1"/>
  <c r="M251" i="25"/>
  <c r="J251" i="54"/>
  <c r="K251" i="54" s="1"/>
  <c r="M195" i="25"/>
  <c r="J195" i="54"/>
  <c r="K195" i="54" s="1"/>
  <c r="M119" i="25"/>
  <c r="J119" i="54"/>
  <c r="K119" i="54" s="1"/>
  <c r="M207" i="25"/>
  <c r="J207" i="54"/>
  <c r="K207" i="54" s="1"/>
  <c r="M108" i="25"/>
  <c r="J108" i="54"/>
  <c r="K108" i="54" s="1"/>
  <c r="M92" i="25"/>
  <c r="J92" i="54"/>
  <c r="K92" i="54" s="1"/>
  <c r="M36" i="25"/>
  <c r="J36" i="54"/>
  <c r="K36" i="54" s="1"/>
  <c r="M30" i="25"/>
  <c r="J30" i="54"/>
  <c r="K30" i="54" s="1"/>
  <c r="M176" i="25"/>
  <c r="J176" i="54"/>
  <c r="K176" i="54" s="1"/>
  <c r="M125" i="25"/>
  <c r="J125" i="54"/>
  <c r="K125" i="54" s="1"/>
  <c r="M146" i="25"/>
  <c r="J146" i="54"/>
  <c r="K146" i="54" s="1"/>
  <c r="M122" i="25"/>
  <c r="J122" i="54"/>
  <c r="K122" i="54" s="1"/>
  <c r="M21" i="25"/>
  <c r="J21" i="54"/>
  <c r="K21" i="54" s="1"/>
  <c r="M286" i="25"/>
  <c r="J286" i="54"/>
  <c r="K286" i="54" s="1"/>
  <c r="M85" i="25"/>
  <c r="J85" i="54"/>
  <c r="K85" i="54" s="1"/>
  <c r="M257" i="25"/>
  <c r="J257" i="54"/>
  <c r="K257" i="54" s="1"/>
  <c r="M157" i="25"/>
  <c r="J157" i="54"/>
  <c r="K157" i="54" s="1"/>
  <c r="M34" i="25"/>
  <c r="J34" i="54"/>
  <c r="K34" i="54" s="1"/>
  <c r="M91" i="25"/>
  <c r="J91" i="54"/>
  <c r="K91" i="54" s="1"/>
  <c r="M120" i="25"/>
  <c r="J120" i="54"/>
  <c r="K120" i="54" s="1"/>
  <c r="M8" i="25"/>
  <c r="J8" i="54"/>
  <c r="K8" i="54" s="1"/>
  <c r="M155" i="25"/>
  <c r="J155" i="54"/>
  <c r="K155" i="54" s="1"/>
  <c r="M16" i="25"/>
  <c r="J16" i="54"/>
  <c r="K16" i="54" s="1"/>
  <c r="M55" i="25"/>
  <c r="J55" i="54"/>
  <c r="K55" i="54" s="1"/>
  <c r="M123" i="25"/>
  <c r="J123" i="54"/>
  <c r="K123" i="54" s="1"/>
  <c r="M82" i="25"/>
  <c r="J82" i="54"/>
  <c r="K82" i="54" s="1"/>
  <c r="M258" i="25"/>
  <c r="J258" i="54"/>
  <c r="K258" i="54" s="1"/>
  <c r="M10" i="25"/>
  <c r="J10" i="54"/>
  <c r="K10" i="54" s="1"/>
  <c r="M253" i="25"/>
  <c r="J253" i="54"/>
  <c r="K253" i="54" s="1"/>
  <c r="M65" i="25"/>
  <c r="J65" i="54"/>
  <c r="K65" i="54" s="1"/>
  <c r="M161" i="25"/>
  <c r="J161" i="54"/>
  <c r="K161" i="54" s="1"/>
  <c r="M274" i="25"/>
  <c r="J274" i="54"/>
  <c r="K274" i="54" s="1"/>
  <c r="M62" i="25"/>
  <c r="J62" i="54"/>
  <c r="K62" i="54" s="1"/>
  <c r="M33" i="25"/>
  <c r="J33" i="54"/>
  <c r="K33" i="54" s="1"/>
  <c r="M312" i="25"/>
  <c r="J312" i="54"/>
  <c r="K312" i="54" s="1"/>
  <c r="M74" i="25"/>
  <c r="J74" i="54"/>
  <c r="K74" i="54" s="1"/>
  <c r="M214" i="25"/>
  <c r="J214" i="54"/>
  <c r="K214" i="54" s="1"/>
  <c r="M241" i="25"/>
  <c r="J241" i="54"/>
  <c r="K241" i="54" s="1"/>
  <c r="M192" i="25"/>
  <c r="J192" i="54"/>
  <c r="K192" i="54" s="1"/>
  <c r="M7" i="25"/>
  <c r="J7" i="54"/>
  <c r="K7" i="54" s="1"/>
  <c r="M35" i="25"/>
  <c r="J35" i="54"/>
  <c r="K35" i="54" s="1"/>
  <c r="M300" i="25"/>
  <c r="J300" i="54"/>
  <c r="K300" i="54" s="1"/>
  <c r="M75" i="25"/>
  <c r="J75" i="54"/>
  <c r="K75" i="54" s="1"/>
  <c r="M301" i="25"/>
  <c r="J301" i="54"/>
  <c r="K301" i="54" s="1"/>
  <c r="M11" i="25"/>
  <c r="J11" i="54"/>
  <c r="K11" i="54" s="1"/>
  <c r="M285" i="25"/>
  <c r="J285" i="54"/>
  <c r="K285" i="54" s="1"/>
  <c r="M276" i="25"/>
  <c r="J276" i="54"/>
  <c r="K276" i="54" s="1"/>
  <c r="M172" i="25"/>
  <c r="J172" i="54"/>
  <c r="K172" i="54" s="1"/>
  <c r="M94" i="25"/>
  <c r="J94" i="54"/>
  <c r="K94" i="54" s="1"/>
  <c r="M194" i="25"/>
  <c r="J194" i="54"/>
  <c r="K194" i="54" s="1"/>
  <c r="M56" i="25"/>
  <c r="J56" i="54"/>
  <c r="K56" i="54" s="1"/>
  <c r="M201" i="25"/>
  <c r="J201" i="54"/>
  <c r="K201" i="54" s="1"/>
  <c r="M28" i="25"/>
  <c r="J28" i="54"/>
  <c r="K28" i="54" s="1"/>
  <c r="M44" i="25"/>
  <c r="J44" i="54"/>
  <c r="K44" i="54" s="1"/>
  <c r="M203" i="25"/>
  <c r="J203" i="54"/>
  <c r="K203" i="54" s="1"/>
  <c r="M78" i="25"/>
  <c r="J78" i="54"/>
  <c r="K78" i="54" s="1"/>
  <c r="M166" i="25"/>
  <c r="J166" i="54"/>
  <c r="K166" i="54" s="1"/>
  <c r="M81" i="25"/>
  <c r="J81" i="54"/>
  <c r="K81" i="54" s="1"/>
  <c r="M240" i="25"/>
  <c r="J240" i="54"/>
  <c r="K240" i="54" s="1"/>
  <c r="M49" i="25"/>
  <c r="J49" i="54"/>
  <c r="K49" i="54" s="1"/>
  <c r="M116" i="25"/>
  <c r="J116" i="54"/>
  <c r="K116" i="54" s="1"/>
  <c r="M189" i="25"/>
  <c r="J189" i="54"/>
  <c r="K189" i="54" s="1"/>
  <c r="M310" i="25"/>
  <c r="J310" i="54"/>
  <c r="K310" i="54" s="1"/>
  <c r="M64" i="25"/>
  <c r="J64" i="54"/>
  <c r="K64" i="54" s="1"/>
  <c r="M302" i="25"/>
  <c r="J302" i="54"/>
  <c r="K302" i="54" s="1"/>
  <c r="M178" i="25"/>
  <c r="J178" i="54"/>
  <c r="K178" i="54" s="1"/>
  <c r="M156" i="25"/>
  <c r="J156" i="54"/>
  <c r="K156" i="54" s="1"/>
  <c r="M270" i="25"/>
  <c r="J270" i="54"/>
  <c r="K270" i="54" s="1"/>
  <c r="M22" i="25"/>
  <c r="J22" i="54"/>
  <c r="K22" i="54" s="1"/>
  <c r="M177" i="25"/>
  <c r="J177" i="54"/>
  <c r="K177" i="54" s="1"/>
  <c r="M179" i="25"/>
  <c r="J179" i="54"/>
  <c r="K179" i="54" s="1"/>
  <c r="M15" i="25"/>
  <c r="J15" i="54"/>
  <c r="K15" i="54" s="1"/>
  <c r="M242" i="25"/>
  <c r="J242" i="54"/>
  <c r="K242" i="54" s="1"/>
  <c r="M280" i="25"/>
  <c r="J280" i="54"/>
  <c r="K280" i="54" s="1"/>
  <c r="M190" i="25"/>
  <c r="J190" i="54"/>
  <c r="K190" i="54" s="1"/>
  <c r="M237" i="25"/>
  <c r="J237" i="54"/>
  <c r="K237" i="54" s="1"/>
  <c r="M165" i="25"/>
  <c r="J165" i="54"/>
  <c r="K165" i="54" s="1"/>
  <c r="M158" i="25"/>
  <c r="J158" i="54"/>
  <c r="K158" i="54" s="1"/>
  <c r="M102" i="25"/>
  <c r="J102" i="54"/>
  <c r="K102" i="54" s="1"/>
  <c r="M144" i="25"/>
  <c r="J144" i="54"/>
  <c r="K144" i="54" s="1"/>
  <c r="M275" i="25"/>
  <c r="J275" i="54"/>
  <c r="K275" i="54" s="1"/>
  <c r="M152" i="25"/>
  <c r="J152" i="54"/>
  <c r="K152" i="54" s="1"/>
  <c r="M232" i="25"/>
  <c r="J232" i="54"/>
  <c r="K232" i="54" s="1"/>
  <c r="M31" i="25"/>
  <c r="J31" i="54"/>
  <c r="K31" i="54" s="1"/>
  <c r="M47" i="25"/>
  <c r="J47" i="54"/>
  <c r="K47" i="54" s="1"/>
  <c r="M163" i="25"/>
  <c r="J163" i="54"/>
  <c r="K163" i="54" s="1"/>
  <c r="M305" i="25"/>
  <c r="J305" i="54"/>
  <c r="K305" i="54" s="1"/>
  <c r="M88" i="25"/>
  <c r="J88" i="54"/>
  <c r="K88" i="54" s="1"/>
  <c r="M87" i="25"/>
  <c r="J87" i="54"/>
  <c r="K87" i="54" s="1"/>
  <c r="M250" i="25"/>
  <c r="J250" i="54"/>
  <c r="K250" i="54" s="1"/>
  <c r="M154" i="25"/>
  <c r="J154" i="54"/>
  <c r="K154" i="54" s="1"/>
  <c r="M266" i="25"/>
  <c r="J266" i="54"/>
  <c r="K266" i="54" s="1"/>
  <c r="M140" i="25"/>
  <c r="J140" i="54"/>
  <c r="K140" i="54" s="1"/>
  <c r="M303" i="25"/>
  <c r="J303" i="54"/>
  <c r="K303" i="54" s="1"/>
  <c r="M212" i="25"/>
  <c r="J212" i="54"/>
  <c r="K212" i="54" s="1"/>
  <c r="M208" i="25"/>
  <c r="J208" i="54"/>
  <c r="K208" i="54" s="1"/>
  <c r="M284" i="25"/>
  <c r="J284" i="54"/>
  <c r="K284" i="54" s="1"/>
  <c r="M223" i="25"/>
  <c r="J223" i="54"/>
  <c r="K223" i="54" s="1"/>
  <c r="M29" i="25"/>
  <c r="J29" i="54"/>
  <c r="K29" i="54" s="1"/>
  <c r="M175" i="25"/>
  <c r="J175" i="54"/>
  <c r="K175" i="54" s="1"/>
  <c r="M23" i="25"/>
  <c r="J23" i="54"/>
  <c r="K23" i="54" s="1"/>
  <c r="M117" i="25"/>
  <c r="J117" i="54"/>
  <c r="K117" i="54" s="1"/>
  <c r="M277" i="25"/>
  <c r="J277" i="54"/>
  <c r="K277" i="54" s="1"/>
  <c r="M169" i="25"/>
  <c r="J169" i="54"/>
  <c r="K169" i="54" s="1"/>
  <c r="M281" i="25"/>
  <c r="J281" i="54"/>
  <c r="K281" i="54" s="1"/>
  <c r="M185" i="25"/>
  <c r="J185" i="54"/>
  <c r="K185" i="54" s="1"/>
  <c r="M68" i="25"/>
  <c r="J68" i="54"/>
  <c r="K68" i="54" s="1"/>
  <c r="M51" i="25"/>
  <c r="J51" i="54"/>
  <c r="K51" i="54" s="1"/>
  <c r="M73" i="25"/>
  <c r="J73" i="54"/>
  <c r="K73" i="54" s="1"/>
  <c r="M205" i="25"/>
  <c r="J205" i="54"/>
  <c r="K205" i="54" s="1"/>
  <c r="M153" i="25"/>
  <c r="J153" i="54"/>
  <c r="K153" i="54" s="1"/>
  <c r="M54" i="25"/>
  <c r="J54" i="54"/>
  <c r="K54" i="54" s="1"/>
  <c r="M101" i="25"/>
  <c r="J101" i="54"/>
  <c r="K101" i="54" s="1"/>
  <c r="M137" i="25"/>
  <c r="J137" i="54"/>
  <c r="K137" i="54" s="1"/>
  <c r="M243" i="25"/>
  <c r="J243" i="54"/>
  <c r="K243" i="54" s="1"/>
  <c r="M220" i="25"/>
  <c r="J220" i="54"/>
  <c r="K220" i="54" s="1"/>
  <c r="M193" i="25"/>
  <c r="J193" i="54"/>
  <c r="K193" i="54" s="1"/>
  <c r="M184" i="25"/>
  <c r="J184" i="54"/>
  <c r="K184" i="54" s="1"/>
  <c r="M39" i="25"/>
  <c r="J39" i="54"/>
  <c r="K39" i="54" s="1"/>
  <c r="M217" i="25"/>
  <c r="J217" i="54"/>
  <c r="K217" i="54" s="1"/>
  <c r="M114" i="25"/>
  <c r="J114" i="54"/>
  <c r="K114" i="54" s="1"/>
  <c r="M168" i="25"/>
  <c r="J168" i="54"/>
  <c r="K168" i="54" s="1"/>
  <c r="M79" i="25"/>
  <c r="J79" i="54"/>
  <c r="K79" i="54" s="1"/>
  <c r="M227" i="25"/>
  <c r="J227" i="54"/>
  <c r="K227" i="54" s="1"/>
  <c r="M98" i="25"/>
  <c r="J98" i="54"/>
  <c r="K98" i="54" s="1"/>
  <c r="M134" i="25"/>
  <c r="J134" i="54"/>
  <c r="K134" i="54" s="1"/>
  <c r="M104" i="25"/>
  <c r="J104" i="54"/>
  <c r="K104" i="54" s="1"/>
  <c r="M77" i="25"/>
  <c r="J77" i="54"/>
  <c r="K77" i="54" s="1"/>
  <c r="M279" i="25"/>
  <c r="J279" i="54"/>
  <c r="K279" i="54" s="1"/>
  <c r="M164" i="25"/>
  <c r="J164" i="54"/>
  <c r="K164" i="54" s="1"/>
  <c r="M306" i="25"/>
  <c r="J306" i="54"/>
  <c r="K306" i="54" s="1"/>
  <c r="M313" i="25"/>
  <c r="J313" i="54"/>
  <c r="K313" i="54" s="1"/>
  <c r="M132" i="25"/>
  <c r="J132" i="54"/>
  <c r="K132" i="54" s="1"/>
  <c r="M222" i="25"/>
  <c r="J222" i="54"/>
  <c r="K222" i="54" s="1"/>
  <c r="M255" i="25"/>
  <c r="J255" i="54"/>
  <c r="K255" i="54" s="1"/>
  <c r="M80" i="25"/>
  <c r="J80" i="54"/>
  <c r="K80" i="54" s="1"/>
  <c r="M186" i="25"/>
  <c r="J186" i="54"/>
  <c r="K186" i="54" s="1"/>
  <c r="M118" i="25"/>
  <c r="J118" i="54"/>
  <c r="K118" i="54" s="1"/>
  <c r="M291" i="25"/>
  <c r="J291" i="54"/>
  <c r="K291" i="54" s="1"/>
  <c r="M18" i="25"/>
  <c r="J18" i="54"/>
  <c r="K18" i="54" s="1"/>
  <c r="M99" i="25"/>
  <c r="J99" i="54"/>
  <c r="K99" i="54" s="1"/>
  <c r="M181" i="25"/>
  <c r="J181" i="54"/>
  <c r="K181" i="54" s="1"/>
  <c r="M66" i="25"/>
  <c r="J66" i="54"/>
  <c r="K66" i="54" s="1"/>
  <c r="M124" i="25"/>
  <c r="J124" i="54"/>
  <c r="K124" i="54" s="1"/>
  <c r="M183" i="25"/>
  <c r="J183" i="54"/>
  <c r="K183" i="54" s="1"/>
  <c r="M273" i="25"/>
  <c r="J273" i="54"/>
  <c r="K273" i="54" s="1"/>
  <c r="M188" i="25"/>
  <c r="J188" i="54"/>
  <c r="K188" i="54" s="1"/>
  <c r="M113" i="25"/>
  <c r="J113" i="54"/>
  <c r="K113" i="54" s="1"/>
  <c r="M256" i="25"/>
  <c r="J256" i="54"/>
  <c r="K256" i="54" s="1"/>
  <c r="M93" i="25"/>
  <c r="J93" i="54"/>
  <c r="K93" i="54" s="1"/>
  <c r="M224" i="25"/>
  <c r="J224" i="54"/>
  <c r="K224" i="54" s="1"/>
  <c r="M218" i="25"/>
  <c r="J218" i="54"/>
  <c r="K218" i="54" s="1"/>
  <c r="M182" i="25"/>
  <c r="J182" i="54"/>
  <c r="K182" i="54" s="1"/>
  <c r="M259" i="25"/>
  <c r="J259" i="54"/>
  <c r="K259" i="54" s="1"/>
  <c r="M230" i="25"/>
  <c r="J230" i="54"/>
  <c r="K230" i="54" s="1"/>
  <c r="M50" i="25"/>
  <c r="J50" i="54"/>
  <c r="K50" i="54" s="1"/>
  <c r="M216" i="25"/>
  <c r="J216" i="54"/>
  <c r="K216" i="54" s="1"/>
  <c r="M298" i="25"/>
  <c r="J298" i="54"/>
  <c r="K298" i="54" s="1"/>
  <c r="M111" i="25"/>
  <c r="J111" i="54"/>
  <c r="K111" i="54" s="1"/>
  <c r="M229" i="25"/>
  <c r="J229" i="54"/>
  <c r="K229" i="54" s="1"/>
  <c r="M69" i="25"/>
  <c r="J69" i="54"/>
  <c r="K69" i="54" s="1"/>
  <c r="M226" i="25"/>
  <c r="J226" i="54"/>
  <c r="K226" i="54" s="1"/>
  <c r="M209" i="25"/>
  <c r="J209" i="54"/>
  <c r="K209" i="54" s="1"/>
  <c r="M12" i="25"/>
  <c r="J12" i="54"/>
  <c r="K12" i="54" s="1"/>
  <c r="M180" i="25"/>
  <c r="J180" i="54"/>
  <c r="K180" i="54" s="1"/>
  <c r="M14" i="25"/>
  <c r="J14" i="54"/>
  <c r="K14" i="54" s="1"/>
  <c r="M38" i="25"/>
  <c r="J38" i="54"/>
  <c r="K38" i="54" s="1"/>
  <c r="M103" i="25"/>
  <c r="J103" i="54"/>
  <c r="K103" i="54" s="1"/>
  <c r="M307" i="25"/>
  <c r="J307" i="54"/>
  <c r="K307" i="54" s="1"/>
  <c r="M57" i="25"/>
  <c r="J57" i="54"/>
  <c r="K57" i="54" s="1"/>
  <c r="M289" i="25"/>
  <c r="J289" i="54"/>
  <c r="K289" i="54" s="1"/>
  <c r="M141" i="25"/>
  <c r="J141" i="54"/>
  <c r="K141" i="54" s="1"/>
  <c r="M97" i="25"/>
  <c r="J97" i="54"/>
  <c r="K97" i="54" s="1"/>
  <c r="M225" i="25"/>
  <c r="J225" i="54"/>
  <c r="K225" i="54" s="1"/>
  <c r="M110" i="25"/>
  <c r="J110" i="54"/>
  <c r="K110" i="54" s="1"/>
  <c r="M76" i="25"/>
  <c r="J76" i="54"/>
  <c r="K76" i="54" s="1"/>
  <c r="M210" i="25"/>
  <c r="J210" i="54"/>
  <c r="K210" i="54" s="1"/>
  <c r="M90" i="25"/>
  <c r="J90" i="54"/>
  <c r="K90" i="54" s="1"/>
  <c r="M171" i="25"/>
  <c r="J171" i="54"/>
  <c r="K171" i="54" s="1"/>
  <c r="M282" i="25"/>
  <c r="J282" i="54"/>
  <c r="K282" i="54" s="1"/>
  <c r="M136" i="25"/>
  <c r="J136" i="54"/>
  <c r="K136" i="54" s="1"/>
  <c r="M84" i="25"/>
  <c r="J84" i="54"/>
  <c r="K84" i="54" s="1"/>
  <c r="M138" i="25"/>
  <c r="J138" i="54"/>
  <c r="K138" i="54" s="1"/>
  <c r="M147" i="25"/>
  <c r="J147" i="54"/>
  <c r="K147" i="54" s="1"/>
  <c r="M160" i="25"/>
  <c r="J160" i="54"/>
  <c r="K160" i="54" s="1"/>
  <c r="M174" i="25"/>
  <c r="J174" i="54"/>
  <c r="K174" i="54" s="1"/>
  <c r="M202" i="25"/>
  <c r="J202" i="54"/>
  <c r="K202" i="54" s="1"/>
  <c r="M53" i="25"/>
  <c r="J53" i="54"/>
  <c r="K53" i="54" s="1"/>
  <c r="M233" i="25"/>
  <c r="J233" i="54"/>
  <c r="K233" i="54" s="1"/>
  <c r="M265" i="25"/>
  <c r="J265" i="54"/>
  <c r="K265" i="54" s="1"/>
  <c r="M249" i="25"/>
  <c r="J249" i="54"/>
  <c r="K249" i="54" s="1"/>
  <c r="M107" i="25"/>
  <c r="J107" i="54"/>
  <c r="K107" i="54" s="1"/>
  <c r="M173" i="25"/>
  <c r="J173" i="54"/>
  <c r="K173" i="54" s="1"/>
  <c r="M197" i="25"/>
  <c r="J197" i="54"/>
  <c r="K197" i="54" s="1"/>
  <c r="M246" i="25"/>
  <c r="J246" i="54"/>
  <c r="K246" i="54" s="1"/>
  <c r="M309" i="25"/>
  <c r="J309" i="54"/>
  <c r="K309" i="54" s="1"/>
  <c r="M61" i="25"/>
  <c r="J61" i="54"/>
  <c r="K61" i="54" s="1"/>
  <c r="M106" i="25"/>
  <c r="J106" i="54"/>
  <c r="K106" i="54" s="1"/>
  <c r="M112" i="25"/>
  <c r="J112" i="54"/>
  <c r="K112" i="54" s="1"/>
  <c r="M109" i="25"/>
  <c r="J109" i="54"/>
  <c r="K109" i="54" s="1"/>
  <c r="M198" i="25"/>
  <c r="J198" i="54"/>
  <c r="K198" i="54" s="1"/>
  <c r="M126" i="25"/>
  <c r="J126" i="54"/>
  <c r="K126" i="54" s="1"/>
  <c r="M60" i="25"/>
  <c r="J60" i="54"/>
  <c r="K60" i="54" s="1"/>
  <c r="M267" i="25"/>
  <c r="J267" i="54"/>
  <c r="K267" i="54" s="1"/>
  <c r="M235" i="25"/>
  <c r="J235" i="54"/>
  <c r="K235" i="54" s="1"/>
  <c r="M260" i="25"/>
  <c r="J260" i="54"/>
  <c r="K260" i="54" s="1"/>
  <c r="M296" i="25"/>
  <c r="J296" i="54"/>
  <c r="K296" i="54" s="1"/>
  <c r="M67" i="25"/>
  <c r="J67" i="54"/>
  <c r="K67" i="54" s="1"/>
  <c r="M131" i="25"/>
  <c r="J131" i="54"/>
  <c r="K131" i="54" s="1"/>
  <c r="M63" i="25"/>
  <c r="J63" i="54"/>
  <c r="K63" i="54" s="1"/>
  <c r="M115" i="25"/>
  <c r="J115" i="54"/>
  <c r="K115" i="54" s="1"/>
  <c r="M311" i="25"/>
  <c r="J311" i="54"/>
  <c r="K311" i="54" s="1"/>
  <c r="M213" i="25"/>
  <c r="J213" i="54"/>
  <c r="K213" i="54" s="1"/>
  <c r="M20" i="25"/>
  <c r="J20" i="54"/>
  <c r="K20" i="54" s="1"/>
  <c r="M48" i="25"/>
  <c r="J48" i="54"/>
  <c r="K48" i="54" s="1"/>
  <c r="M254" i="25"/>
  <c r="J254" i="54"/>
  <c r="K254" i="54" s="1"/>
  <c r="M287" i="25"/>
  <c r="J287" i="54"/>
  <c r="K287" i="54" s="1"/>
  <c r="M159" i="25"/>
  <c r="J159" i="54"/>
  <c r="K159" i="54" s="1"/>
  <c r="M206" i="25"/>
  <c r="J206" i="54"/>
  <c r="K206" i="54" s="1"/>
  <c r="M95" i="25"/>
  <c r="J95" i="54"/>
  <c r="K95" i="54" s="1"/>
  <c r="M248" i="25"/>
  <c r="J248" i="54"/>
  <c r="K248" i="54" s="1"/>
  <c r="M143" i="25"/>
  <c r="J143" i="54"/>
  <c r="K143" i="54" s="1"/>
  <c r="M86" i="25"/>
  <c r="J86" i="54"/>
  <c r="K86" i="54" s="1"/>
  <c r="M295" i="25"/>
  <c r="J295" i="54"/>
  <c r="K295" i="54" s="1"/>
  <c r="M299" i="25"/>
  <c r="J299" i="54"/>
  <c r="K299" i="54" s="1"/>
  <c r="M239" i="25"/>
  <c r="J239" i="54"/>
  <c r="K239" i="54" s="1"/>
  <c r="M234" i="25"/>
  <c r="J234" i="54"/>
  <c r="K234" i="54" s="1"/>
  <c r="M130" i="25"/>
  <c r="J130" i="54"/>
  <c r="K130" i="54" s="1"/>
  <c r="M32" i="25"/>
  <c r="J32" i="54"/>
  <c r="K32" i="54" s="1"/>
  <c r="M199" i="25"/>
  <c r="J199" i="54"/>
  <c r="K199" i="54" s="1"/>
  <c r="M19" i="25"/>
  <c r="J19" i="54"/>
  <c r="K19" i="54" s="1"/>
  <c r="M9" i="25"/>
  <c r="J9" i="54"/>
  <c r="K9" i="54" s="1"/>
  <c r="M128" i="25"/>
  <c r="J128" i="54"/>
  <c r="K128" i="54" s="1"/>
  <c r="M127" i="25"/>
  <c r="J127" i="54"/>
  <c r="K127" i="54" s="1"/>
  <c r="M148" i="25"/>
  <c r="J148" i="54"/>
  <c r="K148" i="54" s="1"/>
  <c r="M45" i="25"/>
  <c r="J45" i="54"/>
  <c r="K45" i="54" s="1"/>
  <c r="M191" i="25"/>
  <c r="J191" i="54"/>
  <c r="K191" i="54" s="1"/>
  <c r="M293" i="25"/>
  <c r="J293" i="54"/>
  <c r="K293" i="54" s="1"/>
  <c r="M304" i="25"/>
  <c r="J304" i="54"/>
  <c r="K304" i="54" s="1"/>
  <c r="M247" i="25"/>
  <c r="J247" i="54"/>
  <c r="K247" i="54" s="1"/>
  <c r="M26" i="25"/>
  <c r="J26" i="54"/>
  <c r="K26" i="54" s="1"/>
  <c r="M272" i="25"/>
  <c r="J272" i="54"/>
  <c r="K272" i="54" s="1"/>
  <c r="M292" i="25"/>
  <c r="J292" i="54"/>
  <c r="K292" i="54" s="1"/>
  <c r="M290" i="25"/>
  <c r="J290" i="54"/>
  <c r="K290" i="54" s="1"/>
  <c r="M129" i="25"/>
  <c r="J129" i="54"/>
  <c r="K129" i="54" s="1"/>
  <c r="M59" i="25"/>
  <c r="J59" i="54"/>
  <c r="K59" i="54" s="1"/>
  <c r="M100" i="25"/>
  <c r="J100" i="54"/>
  <c r="K100" i="54" s="1"/>
  <c r="M17" i="25"/>
  <c r="J17" i="54"/>
  <c r="K17" i="54" s="1"/>
  <c r="M245" i="25"/>
  <c r="J245" i="54"/>
  <c r="K245" i="54" s="1"/>
  <c r="M288" i="25"/>
  <c r="J288" i="54"/>
  <c r="K288" i="54" s="1"/>
  <c r="M40" i="25"/>
  <c r="J40" i="54"/>
  <c r="K40" i="54" s="1"/>
  <c r="M58" i="25"/>
  <c r="J58" i="54"/>
  <c r="K58" i="54" s="1"/>
  <c r="K41" i="40"/>
  <c r="K42" i="40" s="1"/>
  <c r="H42" i="40" s="1"/>
  <c r="C42" i="40" s="1"/>
  <c r="F13" i="9"/>
  <c r="G13" i="9" s="1"/>
  <c r="F15" i="9"/>
  <c r="G15" i="9" s="1"/>
  <c r="F17" i="9"/>
  <c r="G17" i="9" s="1"/>
  <c r="F19" i="9"/>
  <c r="G19" i="9" s="1"/>
  <c r="F21" i="9"/>
  <c r="G21" i="9" s="1"/>
  <c r="F23" i="9"/>
  <c r="G23" i="9" s="1"/>
  <c r="F25" i="9"/>
  <c r="G25" i="9" s="1"/>
  <c r="F27" i="9"/>
  <c r="G27" i="9" s="1"/>
  <c r="F29" i="9"/>
  <c r="G29" i="9" s="1"/>
  <c r="F31" i="9"/>
  <c r="G31" i="9" s="1"/>
  <c r="F33" i="9"/>
  <c r="G33" i="9" s="1"/>
  <c r="F35" i="9"/>
  <c r="G35" i="9" s="1"/>
  <c r="F37" i="9"/>
  <c r="G37" i="9" s="1"/>
  <c r="F39" i="9"/>
  <c r="G39" i="9" s="1"/>
  <c r="F41" i="9"/>
  <c r="G41" i="9" s="1"/>
  <c r="F43" i="9"/>
  <c r="G43" i="9" s="1"/>
  <c r="F45" i="9"/>
  <c r="G45" i="9" s="1"/>
  <c r="F47" i="9"/>
  <c r="G47" i="9" s="1"/>
  <c r="F49" i="9"/>
  <c r="G49" i="9" s="1"/>
  <c r="F51" i="9"/>
  <c r="G51" i="9" s="1"/>
  <c r="F53" i="9"/>
  <c r="G53" i="9" s="1"/>
  <c r="F55" i="9"/>
  <c r="G55" i="9" s="1"/>
  <c r="F57" i="9"/>
  <c r="G57" i="9" s="1"/>
  <c r="F59" i="9"/>
  <c r="G59" i="9" s="1"/>
  <c r="F61" i="9"/>
  <c r="G61" i="9" s="1"/>
  <c r="F63" i="9"/>
  <c r="G63" i="9" s="1"/>
  <c r="F65" i="9"/>
  <c r="G65" i="9" s="1"/>
  <c r="F67" i="9"/>
  <c r="G67" i="9" s="1"/>
  <c r="F69" i="9"/>
  <c r="G69" i="9" s="1"/>
  <c r="F71" i="9"/>
  <c r="G71" i="9" s="1"/>
  <c r="F73" i="9"/>
  <c r="G73" i="9" s="1"/>
  <c r="F75" i="9"/>
  <c r="G75" i="9" s="1"/>
  <c r="F77" i="9"/>
  <c r="G77" i="9" s="1"/>
  <c r="F79" i="9"/>
  <c r="G79" i="9" s="1"/>
  <c r="F81" i="9"/>
  <c r="G81" i="9" s="1"/>
  <c r="F83" i="9"/>
  <c r="G83" i="9" s="1"/>
  <c r="F85" i="9"/>
  <c r="G85" i="9" s="1"/>
  <c r="F87" i="9"/>
  <c r="G87" i="9" s="1"/>
  <c r="F89" i="9"/>
  <c r="G89" i="9" s="1"/>
  <c r="F91" i="9"/>
  <c r="G91" i="9" s="1"/>
  <c r="F93" i="9"/>
  <c r="G93" i="9" s="1"/>
  <c r="F95" i="9"/>
  <c r="G95" i="9" s="1"/>
  <c r="F26" i="9"/>
  <c r="G26" i="9" s="1"/>
  <c r="F42" i="9"/>
  <c r="G42" i="9" s="1"/>
  <c r="F60" i="9"/>
  <c r="G60" i="9" s="1"/>
  <c r="F76" i="9"/>
  <c r="G76" i="9" s="1"/>
  <c r="F92" i="9"/>
  <c r="G92" i="9" s="1"/>
  <c r="F24" i="9"/>
  <c r="G24" i="9" s="1"/>
  <c r="F70" i="9"/>
  <c r="G70" i="9" s="1"/>
  <c r="F20" i="9"/>
  <c r="G20" i="9" s="1"/>
  <c r="F36" i="9"/>
  <c r="G36" i="9" s="1"/>
  <c r="F58" i="9"/>
  <c r="G58" i="9" s="1"/>
  <c r="F74" i="9"/>
  <c r="G74" i="9" s="1"/>
  <c r="F90" i="9"/>
  <c r="G90" i="9" s="1"/>
  <c r="F14" i="9"/>
  <c r="G14" i="9" s="1"/>
  <c r="F30" i="9"/>
  <c r="G30" i="9" s="1"/>
  <c r="F46" i="9"/>
  <c r="G46" i="9" s="1"/>
  <c r="F56" i="9"/>
  <c r="G56" i="9" s="1"/>
  <c r="F72" i="9"/>
  <c r="G72" i="9" s="1"/>
  <c r="F88" i="9"/>
  <c r="G88" i="9" s="1"/>
  <c r="F97" i="9"/>
  <c r="G97" i="9" s="1"/>
  <c r="F99" i="9"/>
  <c r="G99" i="9" s="1"/>
  <c r="F101" i="9"/>
  <c r="G101" i="9" s="1"/>
  <c r="F103" i="9"/>
  <c r="G103" i="9" s="1"/>
  <c r="F105" i="9"/>
  <c r="G105" i="9" s="1"/>
  <c r="F107" i="9"/>
  <c r="G107" i="9" s="1"/>
  <c r="F109" i="9"/>
  <c r="G109" i="9" s="1"/>
  <c r="F111" i="9"/>
  <c r="G111" i="9" s="1"/>
  <c r="F113" i="9"/>
  <c r="G113" i="9" s="1"/>
  <c r="F115" i="9"/>
  <c r="G115" i="9" s="1"/>
  <c r="F117" i="9"/>
  <c r="G117" i="9" s="1"/>
  <c r="F119" i="9"/>
  <c r="G119" i="9" s="1"/>
  <c r="F121" i="9"/>
  <c r="G121" i="9" s="1"/>
  <c r="F123" i="9"/>
  <c r="G123" i="9" s="1"/>
  <c r="F125" i="9"/>
  <c r="G125" i="9" s="1"/>
  <c r="F127" i="9"/>
  <c r="G127" i="9" s="1"/>
  <c r="F129" i="9"/>
  <c r="G129" i="9" s="1"/>
  <c r="F131" i="9"/>
  <c r="G131" i="9" s="1"/>
  <c r="F133" i="9"/>
  <c r="G133" i="9" s="1"/>
  <c r="F135" i="9"/>
  <c r="G135" i="9" s="1"/>
  <c r="F137" i="9"/>
  <c r="G137" i="9" s="1"/>
  <c r="F139" i="9"/>
  <c r="G139" i="9" s="1"/>
  <c r="F141" i="9"/>
  <c r="G141" i="9" s="1"/>
  <c r="F143" i="9"/>
  <c r="G143" i="9" s="1"/>
  <c r="F145" i="9"/>
  <c r="G145" i="9" s="1"/>
  <c r="F147" i="9"/>
  <c r="G147" i="9" s="1"/>
  <c r="F149" i="9"/>
  <c r="G149" i="9" s="1"/>
  <c r="F151" i="9"/>
  <c r="G151" i="9" s="1"/>
  <c r="F153" i="9"/>
  <c r="G153" i="9" s="1"/>
  <c r="F155" i="9"/>
  <c r="G155" i="9" s="1"/>
  <c r="F157" i="9"/>
  <c r="G157" i="9" s="1"/>
  <c r="F159" i="9"/>
  <c r="G159" i="9" s="1"/>
  <c r="F161" i="9"/>
  <c r="G161" i="9" s="1"/>
  <c r="F163" i="9"/>
  <c r="G163" i="9" s="1"/>
  <c r="F165" i="9"/>
  <c r="G165" i="9" s="1"/>
  <c r="F167" i="9"/>
  <c r="G167" i="9" s="1"/>
  <c r="F169" i="9"/>
  <c r="G169" i="9" s="1"/>
  <c r="F171" i="9"/>
  <c r="G171" i="9" s="1"/>
  <c r="F173" i="9"/>
  <c r="G173" i="9" s="1"/>
  <c r="F175" i="9"/>
  <c r="G175" i="9" s="1"/>
  <c r="F177" i="9"/>
  <c r="G177" i="9" s="1"/>
  <c r="F179" i="9"/>
  <c r="G179" i="9" s="1"/>
  <c r="F181" i="9"/>
  <c r="G181" i="9" s="1"/>
  <c r="F183" i="9"/>
  <c r="G183" i="9" s="1"/>
  <c r="F185" i="9"/>
  <c r="G185" i="9" s="1"/>
  <c r="F187" i="9"/>
  <c r="G187" i="9" s="1"/>
  <c r="F189" i="9"/>
  <c r="G189" i="9" s="1"/>
  <c r="F191" i="9"/>
  <c r="G191" i="9" s="1"/>
  <c r="F193" i="9"/>
  <c r="G193" i="9" s="1"/>
  <c r="F195" i="9"/>
  <c r="G195" i="9" s="1"/>
  <c r="F197" i="9"/>
  <c r="G197" i="9" s="1"/>
  <c r="F199" i="9"/>
  <c r="G199" i="9" s="1"/>
  <c r="F201" i="9"/>
  <c r="G201" i="9" s="1"/>
  <c r="F203" i="9"/>
  <c r="G203" i="9" s="1"/>
  <c r="F205" i="9"/>
  <c r="G205" i="9" s="1"/>
  <c r="F207" i="9"/>
  <c r="G207" i="9" s="1"/>
  <c r="F209" i="9"/>
  <c r="G209" i="9" s="1"/>
  <c r="F211" i="9"/>
  <c r="G211" i="9" s="1"/>
  <c r="F213" i="9"/>
  <c r="G213" i="9" s="1"/>
  <c r="F215" i="9"/>
  <c r="G215" i="9" s="1"/>
  <c r="F217" i="9"/>
  <c r="G217" i="9" s="1"/>
  <c r="F219" i="9"/>
  <c r="G219" i="9" s="1"/>
  <c r="F221" i="9"/>
  <c r="G221" i="9" s="1"/>
  <c r="F223" i="9"/>
  <c r="G223" i="9" s="1"/>
  <c r="F225" i="9"/>
  <c r="G225" i="9" s="1"/>
  <c r="F227" i="9"/>
  <c r="G227" i="9" s="1"/>
  <c r="F229" i="9"/>
  <c r="G229" i="9" s="1"/>
  <c r="F231" i="9"/>
  <c r="G231" i="9" s="1"/>
  <c r="F233" i="9"/>
  <c r="G233" i="9" s="1"/>
  <c r="F235" i="9"/>
  <c r="G235" i="9" s="1"/>
  <c r="F237" i="9"/>
  <c r="G237" i="9" s="1"/>
  <c r="F239" i="9"/>
  <c r="G239" i="9" s="1"/>
  <c r="F241" i="9"/>
  <c r="G241" i="9" s="1"/>
  <c r="F243" i="9"/>
  <c r="G243" i="9" s="1"/>
  <c r="F245" i="9"/>
  <c r="G245" i="9" s="1"/>
  <c r="F247" i="9"/>
  <c r="G247" i="9" s="1"/>
  <c r="F249" i="9"/>
  <c r="G249" i="9" s="1"/>
  <c r="F251" i="9"/>
  <c r="G251" i="9" s="1"/>
  <c r="F253" i="9"/>
  <c r="G253" i="9" s="1"/>
  <c r="F255" i="9"/>
  <c r="G255" i="9" s="1"/>
  <c r="F257" i="9"/>
  <c r="G257" i="9" s="1"/>
  <c r="F259" i="9"/>
  <c r="G259" i="9" s="1"/>
  <c r="F261" i="9"/>
  <c r="G261" i="9" s="1"/>
  <c r="F263" i="9"/>
  <c r="G263" i="9" s="1"/>
  <c r="F265" i="9"/>
  <c r="G265" i="9" s="1"/>
  <c r="F267" i="9"/>
  <c r="G267" i="9" s="1"/>
  <c r="F269" i="9"/>
  <c r="G269" i="9" s="1"/>
  <c r="F271" i="9"/>
  <c r="G271" i="9" s="1"/>
  <c r="F273" i="9"/>
  <c r="G273" i="9" s="1"/>
  <c r="F275" i="9"/>
  <c r="G275" i="9" s="1"/>
  <c r="F277" i="9"/>
  <c r="G277" i="9" s="1"/>
  <c r="F279" i="9"/>
  <c r="G279" i="9" s="1"/>
  <c r="F281" i="9"/>
  <c r="G281" i="9" s="1"/>
  <c r="F283" i="9"/>
  <c r="G283" i="9" s="1"/>
  <c r="F285" i="9"/>
  <c r="G285" i="9" s="1"/>
  <c r="F287" i="9"/>
  <c r="G287" i="9" s="1"/>
  <c r="F289" i="9"/>
  <c r="G289" i="9" s="1"/>
  <c r="F291" i="9"/>
  <c r="G291" i="9" s="1"/>
  <c r="F293" i="9"/>
  <c r="G293" i="9" s="1"/>
  <c r="F295" i="9"/>
  <c r="G295" i="9" s="1"/>
  <c r="F297" i="9"/>
  <c r="G297" i="9" s="1"/>
  <c r="F299" i="9"/>
  <c r="G299" i="9" s="1"/>
  <c r="F301" i="9"/>
  <c r="G301" i="9" s="1"/>
  <c r="F303" i="9"/>
  <c r="G303" i="9" s="1"/>
  <c r="F305" i="9"/>
  <c r="G305" i="9" s="1"/>
  <c r="F307" i="9"/>
  <c r="G307" i="9" s="1"/>
  <c r="F309" i="9"/>
  <c r="G309" i="9" s="1"/>
  <c r="F311" i="9"/>
  <c r="G311" i="9" s="1"/>
  <c r="F313" i="9"/>
  <c r="G313" i="9" s="1"/>
  <c r="F315" i="9"/>
  <c r="G315" i="9" s="1"/>
  <c r="F317" i="9"/>
  <c r="G317" i="9" s="1"/>
  <c r="F319" i="9"/>
  <c r="G319" i="9" s="1"/>
  <c r="F40" i="9"/>
  <c r="G40" i="9" s="1"/>
  <c r="F54" i="9"/>
  <c r="G54" i="9" s="1"/>
  <c r="F86" i="9"/>
  <c r="G86" i="9" s="1"/>
  <c r="F18" i="9"/>
  <c r="G18" i="9" s="1"/>
  <c r="F34" i="9"/>
  <c r="G34" i="9" s="1"/>
  <c r="F52" i="9"/>
  <c r="G52" i="9" s="1"/>
  <c r="F68" i="9"/>
  <c r="G68" i="9" s="1"/>
  <c r="F84" i="9"/>
  <c r="G84" i="9" s="1"/>
  <c r="F12" i="9"/>
  <c r="G12" i="9" s="1"/>
  <c r="F28" i="9"/>
  <c r="G28" i="9" s="1"/>
  <c r="F44" i="9"/>
  <c r="G44" i="9" s="1"/>
  <c r="F50" i="9"/>
  <c r="G50" i="9" s="1"/>
  <c r="F66" i="9"/>
  <c r="G66" i="9" s="1"/>
  <c r="F82" i="9"/>
  <c r="G82" i="9" s="1"/>
  <c r="F22" i="9"/>
  <c r="G22" i="9" s="1"/>
  <c r="F62" i="9"/>
  <c r="G62" i="9" s="1"/>
  <c r="F102" i="9"/>
  <c r="G102" i="9" s="1"/>
  <c r="F118" i="9"/>
  <c r="G118" i="9" s="1"/>
  <c r="F122" i="9"/>
  <c r="G122" i="9" s="1"/>
  <c r="F218" i="9"/>
  <c r="G218" i="9" s="1"/>
  <c r="F226" i="9"/>
  <c r="G226" i="9" s="1"/>
  <c r="F274" i="9"/>
  <c r="G274" i="9" s="1"/>
  <c r="F314" i="9"/>
  <c r="G314" i="9" s="1"/>
  <c r="F48" i="9"/>
  <c r="G48" i="9" s="1"/>
  <c r="F214" i="9"/>
  <c r="G214" i="9" s="1"/>
  <c r="F230" i="9"/>
  <c r="G230" i="9" s="1"/>
  <c r="F278" i="9"/>
  <c r="G278" i="9" s="1"/>
  <c r="F294" i="9"/>
  <c r="G294" i="9" s="1"/>
  <c r="F96" i="9"/>
  <c r="G96" i="9" s="1"/>
  <c r="F112" i="9"/>
  <c r="G112" i="9" s="1"/>
  <c r="F124" i="9"/>
  <c r="G124" i="9" s="1"/>
  <c r="F132" i="9"/>
  <c r="G132" i="9" s="1"/>
  <c r="F140" i="9"/>
  <c r="G140" i="9" s="1"/>
  <c r="F148" i="9"/>
  <c r="G148" i="9" s="1"/>
  <c r="F156" i="9"/>
  <c r="G156" i="9" s="1"/>
  <c r="F164" i="9"/>
  <c r="G164" i="9" s="1"/>
  <c r="F172" i="9"/>
  <c r="G172" i="9" s="1"/>
  <c r="F180" i="9"/>
  <c r="G180" i="9" s="1"/>
  <c r="F188" i="9"/>
  <c r="G188" i="9" s="1"/>
  <c r="F196" i="9"/>
  <c r="G196" i="9" s="1"/>
  <c r="F204" i="9"/>
  <c r="G204" i="9" s="1"/>
  <c r="F212" i="9"/>
  <c r="G212" i="9" s="1"/>
  <c r="F220" i="9"/>
  <c r="G220" i="9" s="1"/>
  <c r="F228" i="9"/>
  <c r="G228" i="9" s="1"/>
  <c r="F236" i="9"/>
  <c r="G236" i="9" s="1"/>
  <c r="F244" i="9"/>
  <c r="G244" i="9" s="1"/>
  <c r="F252" i="9"/>
  <c r="G252" i="9" s="1"/>
  <c r="F260" i="9"/>
  <c r="G260" i="9" s="1"/>
  <c r="F268" i="9"/>
  <c r="G268" i="9" s="1"/>
  <c r="F276" i="9"/>
  <c r="G276" i="9" s="1"/>
  <c r="F284" i="9"/>
  <c r="G284" i="9" s="1"/>
  <c r="F292" i="9"/>
  <c r="G292" i="9" s="1"/>
  <c r="F300" i="9"/>
  <c r="G300" i="9" s="1"/>
  <c r="F308" i="9"/>
  <c r="G308" i="9" s="1"/>
  <c r="F316" i="9"/>
  <c r="G316" i="9" s="1"/>
  <c r="F80" i="9"/>
  <c r="G80" i="9" s="1"/>
  <c r="F100" i="9"/>
  <c r="G100" i="9" s="1"/>
  <c r="F130" i="9"/>
  <c r="G130" i="9" s="1"/>
  <c r="F138" i="9"/>
  <c r="G138" i="9" s="1"/>
  <c r="F162" i="9"/>
  <c r="G162" i="9" s="1"/>
  <c r="F170" i="9"/>
  <c r="G170" i="9" s="1"/>
  <c r="F178" i="9"/>
  <c r="G178" i="9" s="1"/>
  <c r="F202" i="9"/>
  <c r="G202" i="9" s="1"/>
  <c r="F234" i="9"/>
  <c r="G234" i="9" s="1"/>
  <c r="F242" i="9"/>
  <c r="G242" i="9" s="1"/>
  <c r="F290" i="9"/>
  <c r="G290" i="9" s="1"/>
  <c r="F298" i="9"/>
  <c r="G298" i="9" s="1"/>
  <c r="F108" i="9"/>
  <c r="G108" i="9" s="1"/>
  <c r="F142" i="9"/>
  <c r="G142" i="9" s="1"/>
  <c r="F166" i="9"/>
  <c r="G166" i="9" s="1"/>
  <c r="F174" i="9"/>
  <c r="G174" i="9" s="1"/>
  <c r="F182" i="9"/>
  <c r="G182" i="9" s="1"/>
  <c r="F198" i="9"/>
  <c r="G198" i="9" s="1"/>
  <c r="F254" i="9"/>
  <c r="G254" i="9" s="1"/>
  <c r="F38" i="9"/>
  <c r="G38" i="9" s="1"/>
  <c r="F106" i="9"/>
  <c r="G106" i="9" s="1"/>
  <c r="F16" i="9"/>
  <c r="G16" i="9" s="1"/>
  <c r="F116" i="9"/>
  <c r="G116" i="9" s="1"/>
  <c r="F146" i="9"/>
  <c r="G146" i="9" s="1"/>
  <c r="F154" i="9"/>
  <c r="G154" i="9" s="1"/>
  <c r="F186" i="9"/>
  <c r="G186" i="9" s="1"/>
  <c r="F194" i="9"/>
  <c r="G194" i="9" s="1"/>
  <c r="F210" i="9"/>
  <c r="G210" i="9" s="1"/>
  <c r="F250" i="9"/>
  <c r="G250" i="9" s="1"/>
  <c r="F258" i="9"/>
  <c r="G258" i="9" s="1"/>
  <c r="F266" i="9"/>
  <c r="G266" i="9" s="1"/>
  <c r="F282" i="9"/>
  <c r="G282" i="9" s="1"/>
  <c r="F306" i="9"/>
  <c r="G306" i="9" s="1"/>
  <c r="F78" i="9"/>
  <c r="G78" i="9" s="1"/>
  <c r="F98" i="9"/>
  <c r="G98" i="9" s="1"/>
  <c r="F134" i="9"/>
  <c r="G134" i="9" s="1"/>
  <c r="F158" i="9"/>
  <c r="G158" i="9" s="1"/>
  <c r="F190" i="9"/>
  <c r="G190" i="9" s="1"/>
  <c r="F206" i="9"/>
  <c r="G206" i="9" s="1"/>
  <c r="F246" i="9"/>
  <c r="G246" i="9" s="1"/>
  <c r="F262" i="9"/>
  <c r="G262" i="9" s="1"/>
  <c r="F286" i="9"/>
  <c r="G286" i="9" s="1"/>
  <c r="F302" i="9"/>
  <c r="G302" i="9" s="1"/>
  <c r="F318" i="9"/>
  <c r="G318" i="9" s="1"/>
  <c r="F94" i="9"/>
  <c r="G94" i="9" s="1"/>
  <c r="F110" i="9"/>
  <c r="G110" i="9" s="1"/>
  <c r="F32" i="9"/>
  <c r="G32" i="9" s="1"/>
  <c r="F64" i="9"/>
  <c r="G64" i="9" s="1"/>
  <c r="F104" i="9"/>
  <c r="G104" i="9" s="1"/>
  <c r="F120" i="9"/>
  <c r="G120" i="9" s="1"/>
  <c r="F128" i="9"/>
  <c r="G128" i="9" s="1"/>
  <c r="F136" i="9"/>
  <c r="G136" i="9" s="1"/>
  <c r="F144" i="9"/>
  <c r="G144" i="9" s="1"/>
  <c r="F152" i="9"/>
  <c r="G152" i="9" s="1"/>
  <c r="F160" i="9"/>
  <c r="G160" i="9" s="1"/>
  <c r="F168" i="9"/>
  <c r="G168" i="9" s="1"/>
  <c r="F176" i="9"/>
  <c r="G176" i="9" s="1"/>
  <c r="F184" i="9"/>
  <c r="G184" i="9" s="1"/>
  <c r="F192" i="9"/>
  <c r="G192" i="9" s="1"/>
  <c r="F200" i="9"/>
  <c r="G200" i="9" s="1"/>
  <c r="F208" i="9"/>
  <c r="G208" i="9" s="1"/>
  <c r="F216" i="9"/>
  <c r="G216" i="9" s="1"/>
  <c r="F224" i="9"/>
  <c r="G224" i="9" s="1"/>
  <c r="F232" i="9"/>
  <c r="G232" i="9" s="1"/>
  <c r="F240" i="9"/>
  <c r="G240" i="9" s="1"/>
  <c r="F248" i="9"/>
  <c r="G248" i="9" s="1"/>
  <c r="F256" i="9"/>
  <c r="G256" i="9" s="1"/>
  <c r="F264" i="9"/>
  <c r="G264" i="9" s="1"/>
  <c r="F272" i="9"/>
  <c r="G272" i="9" s="1"/>
  <c r="F280" i="9"/>
  <c r="G280" i="9" s="1"/>
  <c r="F288" i="9"/>
  <c r="G288" i="9" s="1"/>
  <c r="F296" i="9"/>
  <c r="G296" i="9" s="1"/>
  <c r="F304" i="9"/>
  <c r="G304" i="9" s="1"/>
  <c r="F312" i="9"/>
  <c r="G312" i="9" s="1"/>
  <c r="F114" i="9"/>
  <c r="G114" i="9" s="1"/>
  <c r="F126" i="9"/>
  <c r="G126" i="9" s="1"/>
  <c r="F150" i="9"/>
  <c r="G150" i="9" s="1"/>
  <c r="F222" i="9"/>
  <c r="G222" i="9" s="1"/>
  <c r="F238" i="9"/>
  <c r="G238" i="9" s="1"/>
  <c r="F270" i="9"/>
  <c r="G270" i="9" s="1"/>
  <c r="F310" i="9"/>
  <c r="G310" i="9" s="1"/>
  <c r="I314" i="37"/>
  <c r="F30" i="48"/>
  <c r="F314" i="37"/>
  <c r="F11" i="9"/>
  <c r="O6" i="49"/>
  <c r="E48" i="48"/>
  <c r="F48" i="48" s="1"/>
  <c r="F50" i="48" s="1"/>
  <c r="M6" i="25" l="1"/>
  <c r="M315" i="25" s="1"/>
  <c r="J6" i="54"/>
  <c r="J315" i="54" s="1"/>
  <c r="C41" i="40"/>
  <c r="J4" i="11" s="1"/>
  <c r="F145" i="25"/>
  <c r="D145" i="54" s="1"/>
  <c r="D144" i="39"/>
  <c r="D144" i="12"/>
  <c r="D158" i="12"/>
  <c r="F159" i="25"/>
  <c r="D159" i="54" s="1"/>
  <c r="D158" i="39"/>
  <c r="F289" i="25"/>
  <c r="D289" i="54" s="1"/>
  <c r="D288" i="39"/>
  <c r="D288" i="12"/>
  <c r="D305" i="12"/>
  <c r="F306" i="25"/>
  <c r="D306" i="54" s="1"/>
  <c r="D305" i="39"/>
  <c r="D289" i="12"/>
  <c r="F290" i="25"/>
  <c r="D290" i="54" s="1"/>
  <c r="D289" i="39"/>
  <c r="D273" i="12"/>
  <c r="F274" i="25"/>
  <c r="D274" i="54" s="1"/>
  <c r="D273" i="39"/>
  <c r="D18" i="12"/>
  <c r="D18" i="39"/>
  <c r="F19" i="25"/>
  <c r="D19" i="54" s="1"/>
  <c r="D85" i="12"/>
  <c r="F86" i="25"/>
  <c r="D86" i="54" s="1"/>
  <c r="D85" i="39"/>
  <c r="D69" i="12"/>
  <c r="F70" i="25"/>
  <c r="D70" i="54" s="1"/>
  <c r="D69" i="39"/>
  <c r="D53" i="12"/>
  <c r="F54" i="25"/>
  <c r="D54" i="54" s="1"/>
  <c r="D53" i="39"/>
  <c r="D37" i="12"/>
  <c r="F38" i="25"/>
  <c r="D38" i="54" s="1"/>
  <c r="D37" i="39"/>
  <c r="D21" i="12"/>
  <c r="F22" i="25"/>
  <c r="D22" i="54" s="1"/>
  <c r="D21" i="39"/>
  <c r="F259" i="25"/>
  <c r="D259" i="54" s="1"/>
  <c r="D258" i="12"/>
  <c r="D258" i="39"/>
  <c r="D194" i="12"/>
  <c r="D194" i="39"/>
  <c r="F195" i="25"/>
  <c r="D195" i="54" s="1"/>
  <c r="D130" i="39"/>
  <c r="F131" i="25"/>
  <c r="D131" i="54" s="1"/>
  <c r="D130" i="12"/>
  <c r="D204" i="12"/>
  <c r="F205" i="25"/>
  <c r="D205" i="54" s="1"/>
  <c r="D204" i="39"/>
  <c r="F133" i="25"/>
  <c r="D133" i="54" s="1"/>
  <c r="D132" i="12"/>
  <c r="D132" i="39"/>
  <c r="D214" i="39"/>
  <c r="D214" i="12"/>
  <c r="F215" i="25"/>
  <c r="D215" i="54" s="1"/>
  <c r="F151" i="25"/>
  <c r="D151" i="54" s="1"/>
  <c r="D150" i="12"/>
  <c r="D150" i="39"/>
  <c r="D272" i="39"/>
  <c r="F273" i="25"/>
  <c r="D273" i="54" s="1"/>
  <c r="D272" i="12"/>
  <c r="F117" i="25"/>
  <c r="D117" i="54" s="1"/>
  <c r="D116" i="39"/>
  <c r="D116" i="12"/>
  <c r="D38" i="12"/>
  <c r="D38" i="39"/>
  <c r="F39" i="25"/>
  <c r="D39" i="54" s="1"/>
  <c r="D303" i="12"/>
  <c r="D303" i="39"/>
  <c r="F304" i="25"/>
  <c r="D304" i="54" s="1"/>
  <c r="D287" i="12"/>
  <c r="D287" i="39"/>
  <c r="F288" i="25"/>
  <c r="D288" i="54" s="1"/>
  <c r="F256" i="25"/>
  <c r="D256" i="54" s="1"/>
  <c r="D255" i="12"/>
  <c r="D255" i="39"/>
  <c r="F240" i="25"/>
  <c r="D240" i="54" s="1"/>
  <c r="D239" i="39"/>
  <c r="D239" i="12"/>
  <c r="D223" i="12"/>
  <c r="F224" i="25"/>
  <c r="D224" i="54" s="1"/>
  <c r="D223" i="39"/>
  <c r="D207" i="12"/>
  <c r="F208" i="25"/>
  <c r="D208" i="54" s="1"/>
  <c r="D207" i="39"/>
  <c r="D191" i="12"/>
  <c r="F192" i="25"/>
  <c r="D192" i="54" s="1"/>
  <c r="D191" i="39"/>
  <c r="D175" i="12"/>
  <c r="F176" i="25"/>
  <c r="D176" i="54" s="1"/>
  <c r="D175" i="39"/>
  <c r="D159" i="12"/>
  <c r="F160" i="25"/>
  <c r="D160" i="54" s="1"/>
  <c r="D159" i="39"/>
  <c r="D143" i="12"/>
  <c r="F144" i="25"/>
  <c r="D144" i="54" s="1"/>
  <c r="D143" i="39"/>
  <c r="D127" i="12"/>
  <c r="F128" i="25"/>
  <c r="D128" i="54" s="1"/>
  <c r="D127" i="39"/>
  <c r="D111" i="12"/>
  <c r="F112" i="25"/>
  <c r="D112" i="54" s="1"/>
  <c r="D111" i="39"/>
  <c r="F96" i="25"/>
  <c r="D96" i="54" s="1"/>
  <c r="D95" i="39"/>
  <c r="D95" i="12"/>
  <c r="F9" i="25"/>
  <c r="D9" i="54" s="1"/>
  <c r="D8" i="12"/>
  <c r="D8" i="39"/>
  <c r="F87" i="25"/>
  <c r="D87" i="54" s="1"/>
  <c r="D86" i="39"/>
  <c r="D86" i="12"/>
  <c r="F139" i="25"/>
  <c r="D139" i="54" s="1"/>
  <c r="D138" i="39"/>
  <c r="D138" i="12"/>
  <c r="F45" i="25"/>
  <c r="D45" i="54" s="1"/>
  <c r="D44" i="12"/>
  <c r="D44" i="39"/>
  <c r="D306" i="39"/>
  <c r="F307" i="25"/>
  <c r="D307" i="54" s="1"/>
  <c r="D306" i="12"/>
  <c r="D178" i="12"/>
  <c r="D178" i="39"/>
  <c r="F179" i="25"/>
  <c r="D179" i="54" s="1"/>
  <c r="F193" i="25"/>
  <c r="D193" i="54" s="1"/>
  <c r="D192" i="39"/>
  <c r="D192" i="12"/>
  <c r="D262" i="39"/>
  <c r="F263" i="25"/>
  <c r="D263" i="54" s="1"/>
  <c r="D262" i="12"/>
  <c r="F209" i="25"/>
  <c r="D209" i="54" s="1"/>
  <c r="D208" i="39"/>
  <c r="D208" i="12"/>
  <c r="D251" i="12"/>
  <c r="F252" i="25"/>
  <c r="D252" i="54" s="1"/>
  <c r="D251" i="39"/>
  <c r="D203" i="12"/>
  <c r="F204" i="25"/>
  <c r="D204" i="54" s="1"/>
  <c r="D203" i="39"/>
  <c r="D155" i="12"/>
  <c r="F156" i="25"/>
  <c r="D156" i="54" s="1"/>
  <c r="D155" i="39"/>
  <c r="F108" i="25"/>
  <c r="D108" i="54" s="1"/>
  <c r="D107" i="39"/>
  <c r="D107" i="12"/>
  <c r="D54" i="12"/>
  <c r="D54" i="39"/>
  <c r="F55" i="25"/>
  <c r="D55" i="54" s="1"/>
  <c r="F48" i="25"/>
  <c r="D48" i="54" s="1"/>
  <c r="D47" i="12"/>
  <c r="D47" i="39"/>
  <c r="F299" i="25"/>
  <c r="D299" i="54" s="1"/>
  <c r="D298" i="12"/>
  <c r="D298" i="39"/>
  <c r="D228" i="12"/>
  <c r="D228" i="39"/>
  <c r="F229" i="25"/>
  <c r="D229" i="54" s="1"/>
  <c r="F53" i="25"/>
  <c r="D53" i="54" s="1"/>
  <c r="D52" i="39"/>
  <c r="D52" i="12"/>
  <c r="D61" i="12"/>
  <c r="F62" i="25"/>
  <c r="D62" i="54" s="1"/>
  <c r="D61" i="39"/>
  <c r="D13" i="12"/>
  <c r="F14" i="25"/>
  <c r="D14" i="54" s="1"/>
  <c r="D13" i="39"/>
  <c r="F267" i="25"/>
  <c r="D267" i="54" s="1"/>
  <c r="D266" i="39"/>
  <c r="D266" i="12"/>
  <c r="F245" i="25"/>
  <c r="D245" i="54" s="1"/>
  <c r="D244" i="39"/>
  <c r="D244" i="12"/>
  <c r="D212" i="12"/>
  <c r="F213" i="25"/>
  <c r="D213" i="54" s="1"/>
  <c r="D212" i="39"/>
  <c r="D236" i="12"/>
  <c r="F237" i="25"/>
  <c r="D237" i="54" s="1"/>
  <c r="D236" i="39"/>
  <c r="D198" i="12"/>
  <c r="F199" i="25"/>
  <c r="D199" i="54" s="1"/>
  <c r="D198" i="39"/>
  <c r="D96" i="39"/>
  <c r="F97" i="25"/>
  <c r="D97" i="54" s="1"/>
  <c r="D96" i="12"/>
  <c r="D267" i="12"/>
  <c r="F268" i="25"/>
  <c r="D268" i="54" s="1"/>
  <c r="D267" i="39"/>
  <c r="F236" i="25"/>
  <c r="D236" i="54" s="1"/>
  <c r="D235" i="12"/>
  <c r="D235" i="39"/>
  <c r="D171" i="12"/>
  <c r="F172" i="25"/>
  <c r="D172" i="54" s="1"/>
  <c r="D171" i="39"/>
  <c r="F140" i="25"/>
  <c r="D140" i="54" s="1"/>
  <c r="D139" i="12"/>
  <c r="D139" i="39"/>
  <c r="D91" i="12"/>
  <c r="F92" i="25"/>
  <c r="D92" i="54" s="1"/>
  <c r="D91" i="39"/>
  <c r="D79" i="12"/>
  <c r="F80" i="25"/>
  <c r="D80" i="54" s="1"/>
  <c r="D79" i="39"/>
  <c r="F16" i="25"/>
  <c r="D16" i="54" s="1"/>
  <c r="D15" i="12"/>
  <c r="D15" i="39"/>
  <c r="F305" i="25"/>
  <c r="D305" i="54" s="1"/>
  <c r="D304" i="39"/>
  <c r="D304" i="12"/>
  <c r="F149" i="25"/>
  <c r="D149" i="54" s="1"/>
  <c r="D148" i="39"/>
  <c r="D148" i="12"/>
  <c r="D82" i="39"/>
  <c r="F83" i="25"/>
  <c r="D83" i="54" s="1"/>
  <c r="D82" i="12"/>
  <c r="D77" i="12"/>
  <c r="F78" i="25"/>
  <c r="D78" i="54" s="1"/>
  <c r="D77" i="39"/>
  <c r="D29" i="12"/>
  <c r="F30" i="25"/>
  <c r="D30" i="54" s="1"/>
  <c r="D29" i="39"/>
  <c r="D202" i="12"/>
  <c r="F203" i="25"/>
  <c r="D203" i="54" s="1"/>
  <c r="D202" i="39"/>
  <c r="F101" i="25"/>
  <c r="D101" i="54" s="1"/>
  <c r="D100" i="39"/>
  <c r="D100" i="12"/>
  <c r="D102" i="39"/>
  <c r="F103" i="25"/>
  <c r="D103" i="54" s="1"/>
  <c r="D102" i="12"/>
  <c r="F157" i="25"/>
  <c r="D157" i="54" s="1"/>
  <c r="D156" i="39"/>
  <c r="D156" i="12"/>
  <c r="D222" i="12"/>
  <c r="D222" i="39"/>
  <c r="F223" i="25"/>
  <c r="D223" i="54" s="1"/>
  <c r="F13" i="25"/>
  <c r="D13" i="54" s="1"/>
  <c r="D12" i="12"/>
  <c r="D12" i="39"/>
  <c r="F243" i="25"/>
  <c r="D243" i="54" s="1"/>
  <c r="D242" i="39"/>
  <c r="D242" i="12"/>
  <c r="D114" i="39"/>
  <c r="F115" i="25"/>
  <c r="D115" i="54" s="1"/>
  <c r="D114" i="12"/>
  <c r="F181" i="25"/>
  <c r="D181" i="54" s="1"/>
  <c r="D180" i="39"/>
  <c r="D180" i="12"/>
  <c r="F95" i="25"/>
  <c r="D95" i="54" s="1"/>
  <c r="D94" i="39"/>
  <c r="D94" i="12"/>
  <c r="F135" i="25"/>
  <c r="D135" i="54" s="1"/>
  <c r="D134" i="39"/>
  <c r="D134" i="12"/>
  <c r="D34" i="12"/>
  <c r="D34" i="39"/>
  <c r="F35" i="25"/>
  <c r="D35" i="54" s="1"/>
  <c r="F220" i="25"/>
  <c r="D220" i="54" s="1"/>
  <c r="D219" i="12"/>
  <c r="D219" i="39"/>
  <c r="D187" i="12"/>
  <c r="F188" i="25"/>
  <c r="D188" i="54" s="1"/>
  <c r="D187" i="39"/>
  <c r="F124" i="25"/>
  <c r="D124" i="54" s="1"/>
  <c r="D123" i="12"/>
  <c r="D123" i="39"/>
  <c r="F69" i="25"/>
  <c r="D69" i="54" s="1"/>
  <c r="D68" i="12"/>
  <c r="D68" i="39"/>
  <c r="F64" i="25"/>
  <c r="D64" i="54" s="1"/>
  <c r="D63" i="12"/>
  <c r="D63" i="39"/>
  <c r="F32" i="25"/>
  <c r="D32" i="54" s="1"/>
  <c r="D31" i="12"/>
  <c r="D31" i="39"/>
  <c r="D98" i="39"/>
  <c r="F99" i="25"/>
  <c r="D99" i="54" s="1"/>
  <c r="D98" i="12"/>
  <c r="F301" i="25"/>
  <c r="D301" i="54" s="1"/>
  <c r="D300" i="39"/>
  <c r="D300" i="12"/>
  <c r="F37" i="25"/>
  <c r="D37" i="54" s="1"/>
  <c r="D36" i="39"/>
  <c r="D36" i="12"/>
  <c r="D45" i="12"/>
  <c r="F46" i="25"/>
  <c r="D46" i="54" s="1"/>
  <c r="D45" i="39"/>
  <c r="D216" i="12"/>
  <c r="F217" i="25"/>
  <c r="D217" i="54" s="1"/>
  <c r="D216" i="39"/>
  <c r="F210" i="25"/>
  <c r="D210" i="54" s="1"/>
  <c r="D209" i="39"/>
  <c r="D209" i="12"/>
  <c r="D301" i="12"/>
  <c r="F302" i="25"/>
  <c r="D302" i="54" s="1"/>
  <c r="D301" i="39"/>
  <c r="D285" i="12"/>
  <c r="F286" i="25"/>
  <c r="D286" i="54" s="1"/>
  <c r="D285" i="39"/>
  <c r="F313" i="25"/>
  <c r="D313" i="54" s="1"/>
  <c r="D312" i="39"/>
  <c r="D312" i="12"/>
  <c r="D296" i="39"/>
  <c r="F297" i="25"/>
  <c r="D297" i="54" s="1"/>
  <c r="D296" i="12"/>
  <c r="F281" i="25"/>
  <c r="D281" i="54" s="1"/>
  <c r="D280" i="39"/>
  <c r="D280" i="12"/>
  <c r="D263" i="12"/>
  <c r="F264" i="25"/>
  <c r="D264" i="54" s="1"/>
  <c r="D263" i="39"/>
  <c r="D247" i="12"/>
  <c r="F248" i="25"/>
  <c r="D248" i="54" s="1"/>
  <c r="D247" i="39"/>
  <c r="D231" i="12"/>
  <c r="F232" i="25"/>
  <c r="D232" i="54" s="1"/>
  <c r="D231" i="39"/>
  <c r="D215" i="12"/>
  <c r="F216" i="25"/>
  <c r="D216" i="54" s="1"/>
  <c r="D215" i="39"/>
  <c r="D199" i="12"/>
  <c r="F200" i="25"/>
  <c r="D200" i="54" s="1"/>
  <c r="D199" i="39"/>
  <c r="D183" i="12"/>
  <c r="F184" i="25"/>
  <c r="D184" i="54" s="1"/>
  <c r="D183" i="39"/>
  <c r="F168" i="25"/>
  <c r="D168" i="54" s="1"/>
  <c r="D167" i="39"/>
  <c r="D167" i="12"/>
  <c r="D151" i="12"/>
  <c r="F152" i="25"/>
  <c r="D152" i="54" s="1"/>
  <c r="D151" i="39"/>
  <c r="F136" i="25"/>
  <c r="D136" i="54" s="1"/>
  <c r="D135" i="12"/>
  <c r="D135" i="39"/>
  <c r="D119" i="12"/>
  <c r="F120" i="25"/>
  <c r="D120" i="54" s="1"/>
  <c r="D119" i="39"/>
  <c r="F104" i="25"/>
  <c r="D104" i="54" s="1"/>
  <c r="D103" i="39"/>
  <c r="D103" i="12"/>
  <c r="F88" i="25"/>
  <c r="D88" i="54" s="1"/>
  <c r="D87" i="39"/>
  <c r="D87" i="12"/>
  <c r="D71" i="12"/>
  <c r="F72" i="25"/>
  <c r="D72" i="54" s="1"/>
  <c r="D71" i="39"/>
  <c r="D55" i="12"/>
  <c r="F56" i="25"/>
  <c r="D56" i="54" s="1"/>
  <c r="D55" i="39"/>
  <c r="D39" i="12"/>
  <c r="F40" i="25"/>
  <c r="D40" i="54" s="1"/>
  <c r="D39" i="39"/>
  <c r="D23" i="12"/>
  <c r="F24" i="25"/>
  <c r="D24" i="54" s="1"/>
  <c r="D23" i="39"/>
  <c r="F271" i="25"/>
  <c r="D271" i="54" s="1"/>
  <c r="D270" i="12"/>
  <c r="D270" i="39"/>
  <c r="F255" i="25"/>
  <c r="D255" i="54" s="1"/>
  <c r="D254" i="39"/>
  <c r="D254" i="12"/>
  <c r="D238" i="12"/>
  <c r="F239" i="25"/>
  <c r="D239" i="54" s="1"/>
  <c r="D238" i="39"/>
  <c r="D206" i="12"/>
  <c r="D206" i="39"/>
  <c r="F207" i="25"/>
  <c r="D207" i="54" s="1"/>
  <c r="D190" i="12"/>
  <c r="F191" i="25"/>
  <c r="D191" i="54" s="1"/>
  <c r="D190" i="39"/>
  <c r="F175" i="25"/>
  <c r="D175" i="54" s="1"/>
  <c r="D174" i="12"/>
  <c r="D174" i="39"/>
  <c r="F143" i="25"/>
  <c r="D143" i="54" s="1"/>
  <c r="D142" i="12"/>
  <c r="D142" i="39"/>
  <c r="D126" i="39"/>
  <c r="F127" i="25"/>
  <c r="D127" i="54" s="1"/>
  <c r="D126" i="12"/>
  <c r="F111" i="25"/>
  <c r="D111" i="54" s="1"/>
  <c r="D110" i="12"/>
  <c r="D110" i="39"/>
  <c r="D78" i="39"/>
  <c r="F79" i="25"/>
  <c r="D79" i="54" s="1"/>
  <c r="D78" i="12"/>
  <c r="D62" i="12"/>
  <c r="D62" i="39"/>
  <c r="F63" i="25"/>
  <c r="D63" i="54" s="1"/>
  <c r="D46" i="12"/>
  <c r="F47" i="25"/>
  <c r="D47" i="54" s="1"/>
  <c r="D46" i="39"/>
  <c r="D30" i="12"/>
  <c r="D30" i="39"/>
  <c r="F31" i="25"/>
  <c r="D31" i="54" s="1"/>
  <c r="D14" i="12"/>
  <c r="F15" i="25"/>
  <c r="D15" i="54" s="1"/>
  <c r="D14" i="39"/>
  <c r="D282" i="39"/>
  <c r="F283" i="25"/>
  <c r="D283" i="54" s="1"/>
  <c r="D282" i="12"/>
  <c r="D311" i="12"/>
  <c r="D311" i="39"/>
  <c r="F312" i="25"/>
  <c r="D312" i="54" s="1"/>
  <c r="D295" i="12"/>
  <c r="F296" i="25"/>
  <c r="D296" i="54" s="1"/>
  <c r="D295" i="39"/>
  <c r="D279" i="12"/>
  <c r="F280" i="25"/>
  <c r="D280" i="54" s="1"/>
  <c r="D279" i="39"/>
  <c r="F261" i="25"/>
  <c r="D261" i="54" s="1"/>
  <c r="D260" i="39"/>
  <c r="D260" i="12"/>
  <c r="D196" i="12"/>
  <c r="F197" i="25"/>
  <c r="D197" i="54" s="1"/>
  <c r="D196" i="39"/>
  <c r="F165" i="25"/>
  <c r="D165" i="54" s="1"/>
  <c r="D164" i="39"/>
  <c r="D164" i="12"/>
  <c r="F85" i="25"/>
  <c r="D85" i="54" s="1"/>
  <c r="D84" i="39"/>
  <c r="D84" i="12"/>
  <c r="F21" i="25"/>
  <c r="D21" i="54" s="1"/>
  <c r="D20" i="39"/>
  <c r="D20" i="12"/>
  <c r="D269" i="12"/>
  <c r="F270" i="25"/>
  <c r="D270" i="54" s="1"/>
  <c r="D269" i="39"/>
  <c r="D253" i="12"/>
  <c r="F254" i="25"/>
  <c r="D254" i="54" s="1"/>
  <c r="D253" i="39"/>
  <c r="F238" i="25"/>
  <c r="D238" i="54" s="1"/>
  <c r="D237" i="39"/>
  <c r="D237" i="12"/>
  <c r="F222" i="25"/>
  <c r="D222" i="54" s="1"/>
  <c r="D221" i="39"/>
  <c r="D221" i="12"/>
  <c r="F206" i="25"/>
  <c r="D206" i="54" s="1"/>
  <c r="D205" i="12"/>
  <c r="D205" i="39"/>
  <c r="F190" i="25"/>
  <c r="D190" i="54" s="1"/>
  <c r="D189" i="39"/>
  <c r="D189" i="12"/>
  <c r="D173" i="12"/>
  <c r="F174" i="25"/>
  <c r="D174" i="54" s="1"/>
  <c r="D173" i="39"/>
  <c r="D157" i="12"/>
  <c r="F158" i="25"/>
  <c r="D158" i="54" s="1"/>
  <c r="D157" i="39"/>
  <c r="F142" i="25"/>
  <c r="D142" i="54" s="1"/>
  <c r="D141" i="39"/>
  <c r="D141" i="12"/>
  <c r="F126" i="25"/>
  <c r="D126" i="54" s="1"/>
  <c r="D125" i="39"/>
  <c r="D125" i="12"/>
  <c r="D109" i="12"/>
  <c r="F110" i="25"/>
  <c r="D110" i="54" s="1"/>
  <c r="D109" i="39"/>
  <c r="D93" i="12"/>
  <c r="F94" i="25"/>
  <c r="D94" i="54" s="1"/>
  <c r="D93" i="39"/>
  <c r="D286" i="39"/>
  <c r="F287" i="25"/>
  <c r="D287" i="54" s="1"/>
  <c r="D286" i="12"/>
  <c r="F300" i="25"/>
  <c r="D300" i="54" s="1"/>
  <c r="D299" i="12"/>
  <c r="D299" i="39"/>
  <c r="F265" i="25"/>
  <c r="D265" i="54" s="1"/>
  <c r="D264" i="12"/>
  <c r="D264" i="39"/>
  <c r="D232" i="12"/>
  <c r="F233" i="25"/>
  <c r="D233" i="54" s="1"/>
  <c r="D232" i="39"/>
  <c r="D184" i="12"/>
  <c r="D184" i="39"/>
  <c r="F185" i="25"/>
  <c r="D185" i="54" s="1"/>
  <c r="F153" i="25"/>
  <c r="D153" i="54" s="1"/>
  <c r="D152" i="12"/>
  <c r="D152" i="39"/>
  <c r="F121" i="25"/>
  <c r="D121" i="54" s="1"/>
  <c r="D120" i="39"/>
  <c r="D120" i="12"/>
  <c r="F105" i="25"/>
  <c r="D105" i="54" s="1"/>
  <c r="D104" i="39"/>
  <c r="D104" i="12"/>
  <c r="F73" i="25"/>
  <c r="D73" i="54" s="1"/>
  <c r="D72" i="39"/>
  <c r="D72" i="12"/>
  <c r="F41" i="25"/>
  <c r="D41" i="54" s="1"/>
  <c r="D40" i="39"/>
  <c r="D40" i="12"/>
  <c r="D6" i="12"/>
  <c r="D6" i="39"/>
  <c r="F7" i="25"/>
  <c r="D7" i="54" s="1"/>
  <c r="F226" i="25"/>
  <c r="D226" i="54" s="1"/>
  <c r="D225" i="39"/>
  <c r="D225" i="12"/>
  <c r="F178" i="25"/>
  <c r="D178" i="54" s="1"/>
  <c r="D177" i="39"/>
  <c r="D177" i="12"/>
  <c r="F146" i="25"/>
  <c r="D146" i="54" s="1"/>
  <c r="D145" i="39"/>
  <c r="D145" i="12"/>
  <c r="F114" i="25"/>
  <c r="D114" i="54" s="1"/>
  <c r="D113" i="12"/>
  <c r="D113" i="39"/>
  <c r="D81" i="12"/>
  <c r="F82" i="25"/>
  <c r="D82" i="54" s="1"/>
  <c r="D81" i="39"/>
  <c r="F50" i="25"/>
  <c r="D50" i="54" s="1"/>
  <c r="D49" i="12"/>
  <c r="D49" i="39"/>
  <c r="D33" i="12"/>
  <c r="F34" i="25"/>
  <c r="D34" i="54" s="1"/>
  <c r="D33" i="39"/>
  <c r="D313" i="12"/>
  <c r="F314" i="25"/>
  <c r="D314" i="54" s="1"/>
  <c r="D313" i="39"/>
  <c r="F309" i="25"/>
  <c r="D309" i="54" s="1"/>
  <c r="D308" i="39"/>
  <c r="D308" i="12"/>
  <c r="D259" i="12"/>
  <c r="F260" i="25"/>
  <c r="D260" i="54" s="1"/>
  <c r="D259" i="39"/>
  <c r="D211" i="12"/>
  <c r="F212" i="25"/>
  <c r="D212" i="54" s="1"/>
  <c r="D211" i="39"/>
  <c r="F148" i="25"/>
  <c r="D148" i="54" s="1"/>
  <c r="D147" i="12"/>
  <c r="D147" i="39"/>
  <c r="D99" i="12"/>
  <c r="F100" i="25"/>
  <c r="D100" i="54" s="1"/>
  <c r="D99" i="39"/>
  <c r="D51" i="12"/>
  <c r="F52" i="25"/>
  <c r="D52" i="54" s="1"/>
  <c r="D51" i="39"/>
  <c r="F219" i="25"/>
  <c r="D219" i="54" s="1"/>
  <c r="D218" i="39"/>
  <c r="D218" i="12"/>
  <c r="D170" i="12"/>
  <c r="F171" i="25"/>
  <c r="D171" i="54" s="1"/>
  <c r="D170" i="39"/>
  <c r="D122" i="39"/>
  <c r="F123" i="25"/>
  <c r="D123" i="54" s="1"/>
  <c r="D122" i="12"/>
  <c r="D74" i="39"/>
  <c r="F75" i="25"/>
  <c r="D75" i="54" s="1"/>
  <c r="D74" i="12"/>
  <c r="D26" i="12"/>
  <c r="F27" i="25"/>
  <c r="D27" i="54" s="1"/>
  <c r="D26" i="39"/>
  <c r="F311" i="25"/>
  <c r="D311" i="54" s="1"/>
  <c r="D310" i="39"/>
  <c r="D310" i="12"/>
  <c r="D291" i="12"/>
  <c r="D291" i="39"/>
  <c r="F292" i="25"/>
  <c r="D292" i="54" s="1"/>
  <c r="F241" i="25"/>
  <c r="D241" i="54" s="1"/>
  <c r="D240" i="39"/>
  <c r="D240" i="12"/>
  <c r="F129" i="25"/>
  <c r="D129" i="54" s="1"/>
  <c r="D128" i="39"/>
  <c r="D128" i="12"/>
  <c r="F65" i="25"/>
  <c r="D65" i="54" s="1"/>
  <c r="D64" i="39"/>
  <c r="D64" i="12"/>
  <c r="D265" i="12"/>
  <c r="F266" i="25"/>
  <c r="D266" i="54" s="1"/>
  <c r="D265" i="39"/>
  <c r="F186" i="25"/>
  <c r="D186" i="54" s="1"/>
  <c r="D185" i="39"/>
  <c r="D185" i="12"/>
  <c r="D105" i="12"/>
  <c r="F106" i="25"/>
  <c r="D106" i="54" s="1"/>
  <c r="D105" i="39"/>
  <c r="D57" i="12"/>
  <c r="F58" i="25"/>
  <c r="D58" i="54" s="1"/>
  <c r="D57" i="39"/>
  <c r="D9" i="12"/>
  <c r="F10" i="25"/>
  <c r="D10" i="54" s="1"/>
  <c r="D9" i="39"/>
  <c r="D309" i="12"/>
  <c r="F310" i="25"/>
  <c r="D310" i="54" s="1"/>
  <c r="D309" i="39"/>
  <c r="D293" i="12"/>
  <c r="F294" i="25"/>
  <c r="D294" i="54" s="1"/>
  <c r="D293" i="39"/>
  <c r="D277" i="12"/>
  <c r="F278" i="25"/>
  <c r="D278" i="54" s="1"/>
  <c r="D277" i="39"/>
  <c r="F247" i="25"/>
  <c r="D247" i="54" s="1"/>
  <c r="D246" i="39"/>
  <c r="D246" i="12"/>
  <c r="D230" i="12"/>
  <c r="F231" i="25"/>
  <c r="D231" i="54" s="1"/>
  <c r="D230" i="39"/>
  <c r="D182" i="12"/>
  <c r="F183" i="25"/>
  <c r="D183" i="54" s="1"/>
  <c r="D182" i="39"/>
  <c r="F167" i="25"/>
  <c r="D167" i="54" s="1"/>
  <c r="D166" i="39"/>
  <c r="D166" i="12"/>
  <c r="F119" i="25"/>
  <c r="D119" i="54" s="1"/>
  <c r="D118" i="12"/>
  <c r="D118" i="39"/>
  <c r="D70" i="39"/>
  <c r="F71" i="25"/>
  <c r="D71" i="54" s="1"/>
  <c r="D70" i="12"/>
  <c r="D22" i="12"/>
  <c r="D22" i="39"/>
  <c r="F23" i="25"/>
  <c r="D23" i="54" s="1"/>
  <c r="D302" i="39"/>
  <c r="F303" i="25"/>
  <c r="D303" i="54" s="1"/>
  <c r="D302" i="12"/>
  <c r="D271" i="12"/>
  <c r="F272" i="25"/>
  <c r="D272" i="54" s="1"/>
  <c r="D271" i="39"/>
  <c r="D283" i="12"/>
  <c r="D283" i="39"/>
  <c r="F284" i="25"/>
  <c r="D284" i="54" s="1"/>
  <c r="F249" i="25"/>
  <c r="D249" i="54" s="1"/>
  <c r="D248" i="39"/>
  <c r="D248" i="12"/>
  <c r="D200" i="12"/>
  <c r="F201" i="25"/>
  <c r="D201" i="54" s="1"/>
  <c r="D200" i="39"/>
  <c r="F169" i="25"/>
  <c r="D169" i="54" s="1"/>
  <c r="D168" i="39"/>
  <c r="D168" i="12"/>
  <c r="F137" i="25"/>
  <c r="D137" i="54" s="1"/>
  <c r="D136" i="39"/>
  <c r="D136" i="12"/>
  <c r="F89" i="25"/>
  <c r="D89" i="54" s="1"/>
  <c r="D88" i="39"/>
  <c r="D88" i="12"/>
  <c r="F57" i="25"/>
  <c r="D57" i="54" s="1"/>
  <c r="D56" i="12"/>
  <c r="D56" i="39"/>
  <c r="F25" i="25"/>
  <c r="D25" i="54" s="1"/>
  <c r="D24" i="12"/>
  <c r="D24" i="39"/>
  <c r="D257" i="12"/>
  <c r="D257" i="39"/>
  <c r="F258" i="25"/>
  <c r="D258" i="54" s="1"/>
  <c r="F242" i="25"/>
  <c r="D242" i="54" s="1"/>
  <c r="D241" i="39"/>
  <c r="D241" i="12"/>
  <c r="F194" i="25"/>
  <c r="D194" i="54" s="1"/>
  <c r="D193" i="39"/>
  <c r="D193" i="12"/>
  <c r="D161" i="12"/>
  <c r="F162" i="25"/>
  <c r="D162" i="54" s="1"/>
  <c r="D161" i="39"/>
  <c r="F130" i="25"/>
  <c r="D130" i="54" s="1"/>
  <c r="D129" i="12"/>
  <c r="D129" i="39"/>
  <c r="D97" i="12"/>
  <c r="F98" i="25"/>
  <c r="D98" i="54" s="1"/>
  <c r="D97" i="39"/>
  <c r="D65" i="12"/>
  <c r="F66" i="25"/>
  <c r="D66" i="54" s="1"/>
  <c r="D65" i="39"/>
  <c r="D17" i="12"/>
  <c r="F18" i="25"/>
  <c r="D18" i="54" s="1"/>
  <c r="D17" i="39"/>
  <c r="D281" i="12"/>
  <c r="F282" i="25"/>
  <c r="D282" i="54" s="1"/>
  <c r="D281" i="39"/>
  <c r="F277" i="25"/>
  <c r="D277" i="54" s="1"/>
  <c r="D276" i="39"/>
  <c r="D276" i="12"/>
  <c r="D227" i="12"/>
  <c r="F228" i="25"/>
  <c r="D228" i="54" s="1"/>
  <c r="D227" i="39"/>
  <c r="D179" i="12"/>
  <c r="F180" i="25"/>
  <c r="D180" i="54" s="1"/>
  <c r="D179" i="39"/>
  <c r="F132" i="25"/>
  <c r="D132" i="54" s="1"/>
  <c r="D131" i="39"/>
  <c r="D131" i="12"/>
  <c r="F84" i="25"/>
  <c r="D84" i="54" s="1"/>
  <c r="D83" i="12"/>
  <c r="D83" i="39"/>
  <c r="F36" i="25"/>
  <c r="D36" i="54" s="1"/>
  <c r="D35" i="12"/>
  <c r="D35" i="39"/>
  <c r="F251" i="25"/>
  <c r="D251" i="54" s="1"/>
  <c r="D250" i="39"/>
  <c r="D250" i="12"/>
  <c r="D154" i="12"/>
  <c r="F155" i="25"/>
  <c r="D155" i="54" s="1"/>
  <c r="D154" i="39"/>
  <c r="F107" i="25"/>
  <c r="D107" i="54" s="1"/>
  <c r="D106" i="39"/>
  <c r="D106" i="12"/>
  <c r="D58" i="12"/>
  <c r="F59" i="25"/>
  <c r="D59" i="54" s="1"/>
  <c r="D58" i="39"/>
  <c r="D10" i="12"/>
  <c r="D10" i="39"/>
  <c r="F11" i="25"/>
  <c r="D11" i="54" s="1"/>
  <c r="F279" i="25"/>
  <c r="D279" i="54" s="1"/>
  <c r="D278" i="39"/>
  <c r="D278" i="12"/>
  <c r="D275" i="12"/>
  <c r="D275" i="39"/>
  <c r="F276" i="25"/>
  <c r="D276" i="54" s="1"/>
  <c r="D224" i="12"/>
  <c r="F225" i="25"/>
  <c r="D225" i="54" s="1"/>
  <c r="D224" i="39"/>
  <c r="D176" i="12"/>
  <c r="F177" i="25"/>
  <c r="D177" i="54" s="1"/>
  <c r="D176" i="39"/>
  <c r="D80" i="39"/>
  <c r="F81" i="25"/>
  <c r="D81" i="54" s="1"/>
  <c r="D80" i="12"/>
  <c r="D32" i="39"/>
  <c r="F33" i="25"/>
  <c r="D33" i="54" s="1"/>
  <c r="D32" i="12"/>
  <c r="F250" i="25"/>
  <c r="D250" i="54" s="1"/>
  <c r="D249" i="12"/>
  <c r="D249" i="39"/>
  <c r="F202" i="25"/>
  <c r="D202" i="54" s="1"/>
  <c r="D201" i="39"/>
  <c r="D201" i="12"/>
  <c r="F138" i="25"/>
  <c r="D138" i="54" s="1"/>
  <c r="D137" i="39"/>
  <c r="D137" i="12"/>
  <c r="D73" i="12"/>
  <c r="F74" i="25"/>
  <c r="D74" i="54" s="1"/>
  <c r="D73" i="39"/>
  <c r="D25" i="12"/>
  <c r="F26" i="25"/>
  <c r="D26" i="54" s="1"/>
  <c r="D25" i="39"/>
  <c r="D290" i="39"/>
  <c r="F291" i="25"/>
  <c r="D291" i="54" s="1"/>
  <c r="D290" i="12"/>
  <c r="D274" i="39"/>
  <c r="F275" i="25"/>
  <c r="D275" i="54" s="1"/>
  <c r="D274" i="12"/>
  <c r="F269" i="25"/>
  <c r="D269" i="54" s="1"/>
  <c r="D268" i="39"/>
  <c r="D268" i="12"/>
  <c r="F253" i="25"/>
  <c r="D253" i="54" s="1"/>
  <c r="D252" i="39"/>
  <c r="D252" i="12"/>
  <c r="D220" i="12"/>
  <c r="F221" i="25"/>
  <c r="D221" i="54" s="1"/>
  <c r="D220" i="39"/>
  <c r="F189" i="25"/>
  <c r="D189" i="54" s="1"/>
  <c r="D188" i="12"/>
  <c r="D188" i="39"/>
  <c r="F173" i="25"/>
  <c r="D173" i="54" s="1"/>
  <c r="D172" i="39"/>
  <c r="D172" i="12"/>
  <c r="F141" i="25"/>
  <c r="D141" i="54" s="1"/>
  <c r="D140" i="39"/>
  <c r="D140" i="12"/>
  <c r="F125" i="25"/>
  <c r="D125" i="54" s="1"/>
  <c r="D124" i="12"/>
  <c r="D124" i="39"/>
  <c r="F109" i="25"/>
  <c r="D109" i="54" s="1"/>
  <c r="D108" i="39"/>
  <c r="D108" i="12"/>
  <c r="F93" i="25"/>
  <c r="D93" i="54" s="1"/>
  <c r="D92" i="12"/>
  <c r="D92" i="39"/>
  <c r="F77" i="25"/>
  <c r="D77" i="54" s="1"/>
  <c r="D76" i="12"/>
  <c r="D76" i="39"/>
  <c r="F61" i="25"/>
  <c r="D61" i="54" s="1"/>
  <c r="D60" i="12"/>
  <c r="D60" i="39"/>
  <c r="F29" i="25"/>
  <c r="D29" i="54" s="1"/>
  <c r="D28" i="12"/>
  <c r="D28" i="39"/>
  <c r="D261" i="12"/>
  <c r="F262" i="25"/>
  <c r="D262" i="54" s="1"/>
  <c r="D261" i="39"/>
  <c r="D245" i="12"/>
  <c r="F246" i="25"/>
  <c r="D246" i="54" s="1"/>
  <c r="D245" i="39"/>
  <c r="F230" i="25"/>
  <c r="D230" i="54" s="1"/>
  <c r="D229" i="39"/>
  <c r="D229" i="12"/>
  <c r="F214" i="25"/>
  <c r="D214" i="54" s="1"/>
  <c r="D213" i="39"/>
  <c r="D213" i="12"/>
  <c r="F198" i="25"/>
  <c r="D198" i="54" s="1"/>
  <c r="D197" i="12"/>
  <c r="D197" i="39"/>
  <c r="F182" i="25"/>
  <c r="D182" i="54" s="1"/>
  <c r="D181" i="39"/>
  <c r="D181" i="12"/>
  <c r="F166" i="25"/>
  <c r="D166" i="54" s="1"/>
  <c r="D165" i="39"/>
  <c r="D165" i="12"/>
  <c r="F150" i="25"/>
  <c r="D150" i="54" s="1"/>
  <c r="D149" i="39"/>
  <c r="D149" i="12"/>
  <c r="F134" i="25"/>
  <c r="D134" i="54" s="1"/>
  <c r="D133" i="39"/>
  <c r="D133" i="12"/>
  <c r="F118" i="25"/>
  <c r="D118" i="54" s="1"/>
  <c r="D117" i="12"/>
  <c r="D117" i="39"/>
  <c r="D101" i="12"/>
  <c r="F102" i="25"/>
  <c r="D102" i="54" s="1"/>
  <c r="D101" i="39"/>
  <c r="D7" i="12"/>
  <c r="F8" i="25"/>
  <c r="D8" i="54" s="1"/>
  <c r="D7" i="39"/>
  <c r="D297" i="12"/>
  <c r="F298" i="25"/>
  <c r="D298" i="54" s="1"/>
  <c r="D297" i="39"/>
  <c r="F293" i="25"/>
  <c r="D293" i="54" s="1"/>
  <c r="D292" i="39"/>
  <c r="D292" i="12"/>
  <c r="D243" i="12"/>
  <c r="F244" i="25"/>
  <c r="D244" i="54" s="1"/>
  <c r="D243" i="39"/>
  <c r="D195" i="12"/>
  <c r="F196" i="25"/>
  <c r="D196" i="54" s="1"/>
  <c r="D195" i="39"/>
  <c r="D163" i="12"/>
  <c r="F164" i="25"/>
  <c r="D164" i="54" s="1"/>
  <c r="D163" i="39"/>
  <c r="F116" i="25"/>
  <c r="D116" i="54" s="1"/>
  <c r="D115" i="12"/>
  <c r="D115" i="39"/>
  <c r="D67" i="12"/>
  <c r="F68" i="25"/>
  <c r="D68" i="54" s="1"/>
  <c r="D67" i="39"/>
  <c r="D19" i="12"/>
  <c r="F20" i="25"/>
  <c r="D20" i="54" s="1"/>
  <c r="D19" i="39"/>
  <c r="D234" i="39"/>
  <c r="F235" i="25"/>
  <c r="D235" i="54" s="1"/>
  <c r="D234" i="12"/>
  <c r="D186" i="12"/>
  <c r="F187" i="25"/>
  <c r="D187" i="54" s="1"/>
  <c r="D186" i="39"/>
  <c r="D90" i="39"/>
  <c r="F91" i="25"/>
  <c r="D91" i="54" s="1"/>
  <c r="D90" i="12"/>
  <c r="D42" i="12"/>
  <c r="D42" i="39"/>
  <c r="F43" i="25"/>
  <c r="D43" i="54" s="1"/>
  <c r="D294" i="39"/>
  <c r="F295" i="25"/>
  <c r="D295" i="54" s="1"/>
  <c r="D294" i="12"/>
  <c r="D307" i="12"/>
  <c r="F308" i="25"/>
  <c r="D308" i="54" s="1"/>
  <c r="D307" i="39"/>
  <c r="F257" i="25"/>
  <c r="D257" i="54" s="1"/>
  <c r="D256" i="39"/>
  <c r="D256" i="12"/>
  <c r="F161" i="25"/>
  <c r="D161" i="54" s="1"/>
  <c r="D160" i="12"/>
  <c r="D160" i="39"/>
  <c r="F113" i="25"/>
  <c r="D113" i="54" s="1"/>
  <c r="D112" i="12"/>
  <c r="D112" i="39"/>
  <c r="F49" i="25"/>
  <c r="D49" i="54" s="1"/>
  <c r="D48" i="12"/>
  <c r="D48" i="39"/>
  <c r="F17" i="25"/>
  <c r="D17" i="54" s="1"/>
  <c r="D16" i="39"/>
  <c r="D16" i="12"/>
  <c r="F234" i="25"/>
  <c r="D234" i="54" s="1"/>
  <c r="D233" i="39"/>
  <c r="D233" i="12"/>
  <c r="F218" i="25"/>
  <c r="D218" i="54" s="1"/>
  <c r="D217" i="39"/>
  <c r="D217" i="12"/>
  <c r="F170" i="25"/>
  <c r="D170" i="54" s="1"/>
  <c r="D169" i="39"/>
  <c r="D169" i="12"/>
  <c r="F154" i="25"/>
  <c r="D154" i="54" s="1"/>
  <c r="D153" i="39"/>
  <c r="D153" i="12"/>
  <c r="F122" i="25"/>
  <c r="D122" i="54" s="1"/>
  <c r="D121" i="39"/>
  <c r="D121" i="12"/>
  <c r="F90" i="25"/>
  <c r="D90" i="54" s="1"/>
  <c r="D89" i="12"/>
  <c r="D89" i="39"/>
  <c r="D41" i="12"/>
  <c r="F42" i="25"/>
  <c r="D42" i="54" s="1"/>
  <c r="D41" i="39"/>
  <c r="F285" i="25"/>
  <c r="D285" i="54" s="1"/>
  <c r="D284" i="39"/>
  <c r="D284" i="12"/>
  <c r="F76" i="25"/>
  <c r="D76" i="54" s="1"/>
  <c r="D75" i="39"/>
  <c r="D75" i="12"/>
  <c r="F60" i="25"/>
  <c r="D60" i="54" s="1"/>
  <c r="D59" i="39"/>
  <c r="D59" i="12"/>
  <c r="F44" i="25"/>
  <c r="D44" i="54" s="1"/>
  <c r="D43" i="12"/>
  <c r="D43" i="39"/>
  <c r="F28" i="25"/>
  <c r="D28" i="54" s="1"/>
  <c r="D27" i="39"/>
  <c r="D27" i="12"/>
  <c r="F12" i="25"/>
  <c r="D12" i="54" s="1"/>
  <c r="D11" i="39"/>
  <c r="D11" i="12"/>
  <c r="F227" i="25"/>
  <c r="D227" i="54" s="1"/>
  <c r="D226" i="12"/>
  <c r="D226" i="39"/>
  <c r="D210" i="12"/>
  <c r="F211" i="25"/>
  <c r="D211" i="54" s="1"/>
  <c r="D210" i="39"/>
  <c r="F163" i="25"/>
  <c r="D163" i="54" s="1"/>
  <c r="D162" i="39"/>
  <c r="D162" i="12"/>
  <c r="D146" i="39"/>
  <c r="F147" i="25"/>
  <c r="D147" i="54" s="1"/>
  <c r="D146" i="12"/>
  <c r="D66" i="39"/>
  <c r="F67" i="25"/>
  <c r="D67" i="54" s="1"/>
  <c r="D66" i="12"/>
  <c r="D50" i="12"/>
  <c r="D50" i="39"/>
  <c r="F51" i="25"/>
  <c r="D51" i="54" s="1"/>
  <c r="G325" i="34"/>
  <c r="H325" i="34" s="1"/>
  <c r="F22" i="48"/>
  <c r="F24" i="48" s="1"/>
  <c r="N4" i="11"/>
  <c r="G11" i="9"/>
  <c r="F6" i="25" s="1"/>
  <c r="D6" i="54" s="1"/>
  <c r="F320" i="9"/>
  <c r="O315" i="49"/>
  <c r="E147" i="54" l="1"/>
  <c r="E163" i="54"/>
  <c r="E28" i="54"/>
  <c r="E285" i="54"/>
  <c r="E154" i="54"/>
  <c r="E17" i="54"/>
  <c r="E257" i="54"/>
  <c r="E20" i="54"/>
  <c r="E196" i="54"/>
  <c r="E8" i="54"/>
  <c r="E166" i="54"/>
  <c r="E230" i="54"/>
  <c r="E61" i="54"/>
  <c r="E125" i="54"/>
  <c r="E275" i="54"/>
  <c r="E202" i="54"/>
  <c r="E81" i="54"/>
  <c r="E276" i="54"/>
  <c r="E155" i="54"/>
  <c r="E251" i="54"/>
  <c r="E282" i="54"/>
  <c r="E25" i="54"/>
  <c r="E169" i="54"/>
  <c r="E23" i="54"/>
  <c r="E71" i="54"/>
  <c r="E119" i="54"/>
  <c r="E231" i="54"/>
  <c r="E247" i="54"/>
  <c r="E310" i="54"/>
  <c r="E75" i="54"/>
  <c r="E52" i="54"/>
  <c r="E260" i="54"/>
  <c r="E309" i="54"/>
  <c r="E226" i="54"/>
  <c r="E105" i="54"/>
  <c r="E287" i="54"/>
  <c r="E222" i="54"/>
  <c r="E270" i="54"/>
  <c r="E21" i="54"/>
  <c r="E197" i="54"/>
  <c r="E261" i="54"/>
  <c r="E31" i="54"/>
  <c r="E47" i="54"/>
  <c r="E127" i="54"/>
  <c r="E143" i="54"/>
  <c r="E24" i="54"/>
  <c r="E104" i="54"/>
  <c r="E152" i="54"/>
  <c r="E168" i="54"/>
  <c r="E216" i="54"/>
  <c r="E302" i="54"/>
  <c r="E210" i="54"/>
  <c r="E301" i="54"/>
  <c r="E69" i="54"/>
  <c r="E157" i="54"/>
  <c r="E203" i="54"/>
  <c r="E305" i="54"/>
  <c r="E92" i="54"/>
  <c r="E140" i="54"/>
  <c r="E268" i="54"/>
  <c r="E213" i="54"/>
  <c r="E245" i="54"/>
  <c r="E62" i="54"/>
  <c r="E53" i="54"/>
  <c r="E204" i="54"/>
  <c r="E87" i="54"/>
  <c r="E112" i="54"/>
  <c r="E176" i="54"/>
  <c r="E256" i="54"/>
  <c r="E304" i="54"/>
  <c r="E117" i="54"/>
  <c r="E133" i="54"/>
  <c r="E259" i="54"/>
  <c r="E54" i="54"/>
  <c r="E19" i="54"/>
  <c r="E274" i="54"/>
  <c r="E159" i="54"/>
  <c r="E145" i="54"/>
  <c r="D315" i="54"/>
  <c r="E51" i="54"/>
  <c r="E67" i="54"/>
  <c r="E12" i="54"/>
  <c r="E76" i="54"/>
  <c r="E122" i="54"/>
  <c r="E234" i="54"/>
  <c r="E161" i="54"/>
  <c r="E295" i="54"/>
  <c r="E235" i="54"/>
  <c r="E164" i="54"/>
  <c r="E298" i="54"/>
  <c r="E150" i="54"/>
  <c r="E214" i="54"/>
  <c r="E262" i="54"/>
  <c r="E29" i="54"/>
  <c r="E109" i="54"/>
  <c r="E189" i="54"/>
  <c r="E74" i="54"/>
  <c r="E138" i="54"/>
  <c r="E33" i="54"/>
  <c r="E279" i="54"/>
  <c r="E132" i="54"/>
  <c r="E98" i="54"/>
  <c r="E130" i="54"/>
  <c r="E137" i="54"/>
  <c r="E183" i="54"/>
  <c r="E294" i="54"/>
  <c r="E106" i="54"/>
  <c r="E186" i="54"/>
  <c r="E241" i="54"/>
  <c r="E27" i="54"/>
  <c r="E212" i="54"/>
  <c r="E34" i="54"/>
  <c r="E50" i="54"/>
  <c r="E178" i="54"/>
  <c r="E7" i="54"/>
  <c r="E73" i="54"/>
  <c r="E142" i="54"/>
  <c r="E206" i="54"/>
  <c r="E254" i="54"/>
  <c r="E296" i="54"/>
  <c r="E191" i="54"/>
  <c r="E72" i="54"/>
  <c r="E88" i="54"/>
  <c r="E200" i="54"/>
  <c r="E264" i="54"/>
  <c r="E281" i="54"/>
  <c r="E286" i="54"/>
  <c r="E46" i="54"/>
  <c r="E37" i="54"/>
  <c r="E64" i="54"/>
  <c r="E188" i="54"/>
  <c r="E220" i="54"/>
  <c r="E181" i="54"/>
  <c r="E83" i="54"/>
  <c r="E149" i="54"/>
  <c r="E80" i="54"/>
  <c r="E237" i="54"/>
  <c r="E14" i="54"/>
  <c r="E229" i="54"/>
  <c r="E48" i="54"/>
  <c r="E156" i="54"/>
  <c r="E263" i="54"/>
  <c r="E193" i="54"/>
  <c r="E139" i="54"/>
  <c r="E160" i="54"/>
  <c r="E224" i="54"/>
  <c r="E240" i="54"/>
  <c r="E288" i="54"/>
  <c r="E131" i="54"/>
  <c r="E38" i="54"/>
  <c r="E211" i="54"/>
  <c r="E227" i="54"/>
  <c r="E60" i="54"/>
  <c r="E42" i="54"/>
  <c r="E90" i="54"/>
  <c r="E218" i="54"/>
  <c r="E113" i="54"/>
  <c r="E308" i="54"/>
  <c r="E187" i="54"/>
  <c r="E134" i="54"/>
  <c r="E198" i="54"/>
  <c r="E246" i="54"/>
  <c r="E93" i="54"/>
  <c r="E173" i="54"/>
  <c r="E269" i="54"/>
  <c r="E26" i="54"/>
  <c r="E225" i="54"/>
  <c r="E11" i="54"/>
  <c r="E59" i="54"/>
  <c r="E107" i="54"/>
  <c r="E84" i="54"/>
  <c r="E228" i="54"/>
  <c r="E277" i="54"/>
  <c r="E66" i="54"/>
  <c r="E242" i="54"/>
  <c r="E89" i="54"/>
  <c r="E201" i="54"/>
  <c r="E249" i="54"/>
  <c r="E303" i="54"/>
  <c r="E278" i="54"/>
  <c r="E58" i="54"/>
  <c r="E129" i="54"/>
  <c r="E292" i="54"/>
  <c r="E171" i="54"/>
  <c r="E219" i="54"/>
  <c r="E314" i="54"/>
  <c r="E146" i="54"/>
  <c r="E41" i="54"/>
  <c r="E153" i="54"/>
  <c r="E300" i="54"/>
  <c r="E110" i="54"/>
  <c r="E126" i="54"/>
  <c r="E174" i="54"/>
  <c r="E190" i="54"/>
  <c r="E165" i="54"/>
  <c r="E280" i="54"/>
  <c r="E15" i="54"/>
  <c r="E63" i="54"/>
  <c r="E79" i="54"/>
  <c r="E111" i="54"/>
  <c r="E271" i="54"/>
  <c r="E56" i="54"/>
  <c r="E120" i="54"/>
  <c r="E136" i="54"/>
  <c r="E184" i="54"/>
  <c r="E248" i="54"/>
  <c r="E217" i="54"/>
  <c r="E99" i="54"/>
  <c r="E32" i="54"/>
  <c r="E35" i="54"/>
  <c r="E95" i="54"/>
  <c r="E13" i="54"/>
  <c r="E103" i="54"/>
  <c r="E101" i="54"/>
  <c r="E78" i="54"/>
  <c r="E172" i="54"/>
  <c r="E236" i="54"/>
  <c r="E199" i="54"/>
  <c r="E299" i="54"/>
  <c r="E55" i="54"/>
  <c r="E179" i="54"/>
  <c r="E307" i="54"/>
  <c r="E45" i="54"/>
  <c r="E96" i="54"/>
  <c r="E144" i="54"/>
  <c r="E208" i="54"/>
  <c r="E273" i="54"/>
  <c r="E151" i="54"/>
  <c r="E205" i="54"/>
  <c r="E22" i="54"/>
  <c r="E86" i="54"/>
  <c r="E306" i="54"/>
  <c r="E289" i="54"/>
  <c r="E44" i="54"/>
  <c r="E170" i="54"/>
  <c r="E49" i="54"/>
  <c r="E43" i="54"/>
  <c r="E91" i="54"/>
  <c r="E68" i="54"/>
  <c r="E116" i="54"/>
  <c r="E244" i="54"/>
  <c r="E293" i="54"/>
  <c r="E102" i="54"/>
  <c r="E118" i="54"/>
  <c r="E182" i="54"/>
  <c r="E77" i="54"/>
  <c r="E141" i="54"/>
  <c r="E221" i="54"/>
  <c r="E253" i="54"/>
  <c r="E291" i="54"/>
  <c r="E250" i="54"/>
  <c r="E177" i="54"/>
  <c r="E36" i="54"/>
  <c r="E180" i="54"/>
  <c r="E18" i="54"/>
  <c r="E162" i="54"/>
  <c r="E194" i="54"/>
  <c r="E258" i="54"/>
  <c r="E57" i="54"/>
  <c r="E284" i="54"/>
  <c r="E272" i="54"/>
  <c r="E167" i="54"/>
  <c r="E10" i="54"/>
  <c r="E266" i="54"/>
  <c r="E65" i="54"/>
  <c r="E311" i="54"/>
  <c r="E123" i="54"/>
  <c r="E100" i="54"/>
  <c r="E148" i="54"/>
  <c r="E82" i="54"/>
  <c r="E114" i="54"/>
  <c r="E121" i="54"/>
  <c r="E185" i="54"/>
  <c r="E233" i="54"/>
  <c r="E265" i="54"/>
  <c r="E94" i="54"/>
  <c r="E158" i="54"/>
  <c r="E238" i="54"/>
  <c r="E85" i="54"/>
  <c r="E312" i="54"/>
  <c r="E283" i="54"/>
  <c r="E175" i="54"/>
  <c r="E207" i="54"/>
  <c r="E239" i="54"/>
  <c r="E255" i="54"/>
  <c r="E40" i="54"/>
  <c r="E232" i="54"/>
  <c r="E297" i="54"/>
  <c r="E313" i="54"/>
  <c r="E124" i="54"/>
  <c r="E135" i="54"/>
  <c r="E115" i="54"/>
  <c r="E243" i="54"/>
  <c r="E223" i="54"/>
  <c r="E30" i="54"/>
  <c r="E16" i="54"/>
  <c r="E97" i="54"/>
  <c r="E267" i="54"/>
  <c r="E108" i="54"/>
  <c r="E252" i="54"/>
  <c r="E209" i="54"/>
  <c r="E9" i="54"/>
  <c r="E128" i="54"/>
  <c r="E192" i="54"/>
  <c r="E39" i="54"/>
  <c r="E215" i="54"/>
  <c r="E195" i="54"/>
  <c r="E70" i="54"/>
  <c r="E290" i="54"/>
  <c r="E6" i="54"/>
  <c r="D60" i="48"/>
  <c r="D61" i="48" s="1"/>
  <c r="K6" i="54"/>
  <c r="K315" i="54" s="1"/>
  <c r="F60" i="48"/>
  <c r="F61" i="48" s="1"/>
  <c r="N217" i="11"/>
  <c r="N242" i="11"/>
  <c r="J217" i="11"/>
  <c r="J242" i="11"/>
  <c r="G15" i="34"/>
  <c r="D5" i="12"/>
  <c r="J168" i="11"/>
  <c r="J243" i="11"/>
  <c r="N168" i="11"/>
  <c r="N243" i="11"/>
  <c r="J46" i="11"/>
  <c r="J313" i="11"/>
  <c r="J311" i="11"/>
  <c r="J309" i="11"/>
  <c r="J307" i="11"/>
  <c r="J305" i="11"/>
  <c r="J303" i="11"/>
  <c r="J301" i="11"/>
  <c r="J299" i="11"/>
  <c r="J297" i="11"/>
  <c r="J295" i="11"/>
  <c r="J293" i="11"/>
  <c r="J291" i="11"/>
  <c r="J289" i="11"/>
  <c r="J287" i="11"/>
  <c r="J285" i="11"/>
  <c r="J283" i="11"/>
  <c r="J281" i="11"/>
  <c r="J279" i="11"/>
  <c r="J277" i="11"/>
  <c r="J275" i="11"/>
  <c r="J273" i="11"/>
  <c r="J271" i="11"/>
  <c r="J269" i="11"/>
  <c r="J267" i="11"/>
  <c r="J265" i="11"/>
  <c r="J263" i="11"/>
  <c r="J261" i="11"/>
  <c r="J259" i="11"/>
  <c r="J257" i="11"/>
  <c r="J255" i="11"/>
  <c r="J253" i="11"/>
  <c r="J251" i="11"/>
  <c r="J249" i="11"/>
  <c r="J247" i="11"/>
  <c r="J245" i="11"/>
  <c r="J241" i="11"/>
  <c r="J239" i="11"/>
  <c r="J237" i="11"/>
  <c r="J235" i="11"/>
  <c r="J233" i="11"/>
  <c r="J229" i="11"/>
  <c r="J225" i="11"/>
  <c r="J221" i="11"/>
  <c r="J216" i="11"/>
  <c r="J212" i="11"/>
  <c r="J208" i="11"/>
  <c r="J204" i="11"/>
  <c r="J232" i="11"/>
  <c r="J228" i="11"/>
  <c r="J224" i="11"/>
  <c r="J220" i="11"/>
  <c r="J215" i="11"/>
  <c r="J211" i="11"/>
  <c r="J207" i="11"/>
  <c r="J203" i="11"/>
  <c r="J201" i="11"/>
  <c r="J199" i="11"/>
  <c r="J197" i="11"/>
  <c r="J195" i="11"/>
  <c r="J193" i="11"/>
  <c r="J191" i="11"/>
  <c r="J189" i="11"/>
  <c r="J187" i="11"/>
  <c r="J185" i="11"/>
  <c r="J183" i="11"/>
  <c r="J181" i="11"/>
  <c r="J179" i="11"/>
  <c r="J177" i="11"/>
  <c r="J175" i="11"/>
  <c r="J173" i="11"/>
  <c r="J171" i="11"/>
  <c r="J169" i="11"/>
  <c r="J166" i="11"/>
  <c r="J164" i="11"/>
  <c r="J162" i="11"/>
  <c r="J160" i="11"/>
  <c r="J158" i="11"/>
  <c r="J156" i="11"/>
  <c r="J154" i="11"/>
  <c r="J152" i="11"/>
  <c r="J150" i="11"/>
  <c r="J148" i="11"/>
  <c r="J146" i="11"/>
  <c r="J144" i="11"/>
  <c r="J142" i="11"/>
  <c r="J140" i="11"/>
  <c r="J138" i="11"/>
  <c r="J136" i="11"/>
  <c r="J134" i="11"/>
  <c r="J132" i="11"/>
  <c r="J130" i="11"/>
  <c r="J128" i="11"/>
  <c r="J126" i="11"/>
  <c r="J124" i="11"/>
  <c r="J123" i="11"/>
  <c r="J121" i="11"/>
  <c r="J119" i="11"/>
  <c r="J117" i="11"/>
  <c r="J115" i="11"/>
  <c r="J113" i="11"/>
  <c r="J111" i="11"/>
  <c r="J109" i="11"/>
  <c r="J107" i="11"/>
  <c r="J105" i="11"/>
  <c r="J103" i="11"/>
  <c r="J101" i="11"/>
  <c r="J99" i="11"/>
  <c r="J122" i="11"/>
  <c r="J120" i="11"/>
  <c r="J118" i="11"/>
  <c r="J116" i="11"/>
  <c r="J114" i="11"/>
  <c r="J112" i="11"/>
  <c r="J110" i="11"/>
  <c r="J108" i="11"/>
  <c r="J106" i="11"/>
  <c r="J104" i="11"/>
  <c r="J102" i="11"/>
  <c r="J100" i="11"/>
  <c r="J98" i="11"/>
  <c r="J94" i="11"/>
  <c r="J90" i="11"/>
  <c r="J86" i="11"/>
  <c r="J84" i="11"/>
  <c r="J82" i="11"/>
  <c r="J80" i="11"/>
  <c r="J78" i="11"/>
  <c r="J76" i="11"/>
  <c r="J74" i="11"/>
  <c r="J72" i="11"/>
  <c r="J70" i="11"/>
  <c r="J68" i="11"/>
  <c r="J66" i="11"/>
  <c r="J64" i="11"/>
  <c r="J62" i="11"/>
  <c r="J60" i="11"/>
  <c r="J58" i="11"/>
  <c r="J56" i="11"/>
  <c r="J54" i="11"/>
  <c r="J52" i="11"/>
  <c r="J50" i="11"/>
  <c r="J48" i="11"/>
  <c r="J97" i="11"/>
  <c r="J93" i="11"/>
  <c r="J89" i="11"/>
  <c r="J85" i="11"/>
  <c r="J83" i="11"/>
  <c r="J81" i="11"/>
  <c r="J79" i="11"/>
  <c r="J77" i="11"/>
  <c r="J75" i="11"/>
  <c r="J73" i="11"/>
  <c r="J71" i="11"/>
  <c r="J69" i="11"/>
  <c r="J67" i="11"/>
  <c r="J65" i="11"/>
  <c r="J63" i="11"/>
  <c r="J61" i="11"/>
  <c r="J59" i="11"/>
  <c r="J57" i="11"/>
  <c r="J55" i="11"/>
  <c r="J53" i="11"/>
  <c r="J51" i="11"/>
  <c r="J49" i="11"/>
  <c r="J47" i="11"/>
  <c r="J44" i="11"/>
  <c r="J42" i="11"/>
  <c r="J40" i="11"/>
  <c r="J38" i="11"/>
  <c r="J36" i="11"/>
  <c r="J45" i="11"/>
  <c r="J32" i="11"/>
  <c r="J28" i="11"/>
  <c r="J24" i="11"/>
  <c r="J33" i="11"/>
  <c r="J29" i="11"/>
  <c r="J25" i="11"/>
  <c r="J22" i="11"/>
  <c r="J20" i="11"/>
  <c r="J19" i="11"/>
  <c r="J17" i="11"/>
  <c r="J15" i="11"/>
  <c r="J13" i="11"/>
  <c r="J11" i="11"/>
  <c r="J9" i="11"/>
  <c r="J7" i="11"/>
  <c r="J312" i="11"/>
  <c r="J310" i="11"/>
  <c r="J308" i="11"/>
  <c r="J306" i="11"/>
  <c r="J304" i="11"/>
  <c r="J302" i="11"/>
  <c r="J300" i="11"/>
  <c r="J298" i="11"/>
  <c r="J296" i="11"/>
  <c r="J294" i="11"/>
  <c r="J292" i="11"/>
  <c r="J290" i="11"/>
  <c r="J288" i="11"/>
  <c r="J286" i="11"/>
  <c r="J284" i="11"/>
  <c r="J282" i="11"/>
  <c r="J280" i="11"/>
  <c r="J278" i="11"/>
  <c r="J276" i="11"/>
  <c r="J274" i="11"/>
  <c r="J272" i="11"/>
  <c r="J270" i="11"/>
  <c r="J268" i="11"/>
  <c r="J266" i="11"/>
  <c r="J264" i="11"/>
  <c r="J262" i="11"/>
  <c r="J260" i="11"/>
  <c r="J258" i="11"/>
  <c r="J256" i="11"/>
  <c r="J254" i="11"/>
  <c r="J252" i="11"/>
  <c r="J250" i="11"/>
  <c r="J248" i="11"/>
  <c r="J246" i="11"/>
  <c r="J244" i="11"/>
  <c r="J240" i="11"/>
  <c r="J238" i="11"/>
  <c r="J236" i="11"/>
  <c r="J234" i="11"/>
  <c r="J231" i="11"/>
  <c r="J227" i="11"/>
  <c r="J223" i="11"/>
  <c r="J219" i="11"/>
  <c r="J214" i="11"/>
  <c r="J210" i="11"/>
  <c r="J206" i="11"/>
  <c r="J202" i="11"/>
  <c r="J200" i="11"/>
  <c r="J198" i="11"/>
  <c r="J196" i="11"/>
  <c r="J194" i="11"/>
  <c r="J192" i="11"/>
  <c r="J190" i="11"/>
  <c r="J188" i="11"/>
  <c r="J186" i="11"/>
  <c r="J184" i="11"/>
  <c r="J182" i="11"/>
  <c r="J180" i="11"/>
  <c r="J178" i="11"/>
  <c r="J176" i="11"/>
  <c r="J174" i="11"/>
  <c r="J172" i="11"/>
  <c r="J170" i="11"/>
  <c r="J167" i="11"/>
  <c r="J165" i="11"/>
  <c r="J163" i="11"/>
  <c r="J161" i="11"/>
  <c r="J159" i="11"/>
  <c r="J157" i="11"/>
  <c r="J155" i="11"/>
  <c r="J153" i="11"/>
  <c r="J151" i="11"/>
  <c r="J149" i="11"/>
  <c r="J147" i="11"/>
  <c r="J145" i="11"/>
  <c r="J143" i="11"/>
  <c r="J141" i="11"/>
  <c r="J139" i="11"/>
  <c r="J137" i="11"/>
  <c r="J135" i="11"/>
  <c r="J133" i="11"/>
  <c r="J131" i="11"/>
  <c r="J129" i="11"/>
  <c r="J127" i="11"/>
  <c r="J230" i="11"/>
  <c r="J226" i="11"/>
  <c r="J222" i="11"/>
  <c r="J218" i="11"/>
  <c r="J213" i="11"/>
  <c r="J209" i="11"/>
  <c r="J205" i="11"/>
  <c r="J125" i="11"/>
  <c r="J96" i="11"/>
  <c r="J92" i="11"/>
  <c r="J88" i="11"/>
  <c r="J95" i="11"/>
  <c r="J91" i="11"/>
  <c r="J87" i="11"/>
  <c r="J34" i="11"/>
  <c r="J43" i="11"/>
  <c r="J41" i="11"/>
  <c r="J39" i="11"/>
  <c r="J37" i="11"/>
  <c r="J35" i="11"/>
  <c r="J30" i="11"/>
  <c r="J26" i="11"/>
  <c r="J23" i="11"/>
  <c r="J21" i="11"/>
  <c r="J18" i="11"/>
  <c r="J16" i="11"/>
  <c r="J14" i="11"/>
  <c r="J12" i="11"/>
  <c r="J10" i="11"/>
  <c r="J8" i="11"/>
  <c r="J6" i="11"/>
  <c r="J31" i="11"/>
  <c r="J27" i="11"/>
  <c r="N24" i="11"/>
  <c r="N26" i="11"/>
  <c r="N28" i="11"/>
  <c r="N30" i="11"/>
  <c r="N32" i="11"/>
  <c r="N46" i="11"/>
  <c r="N86" i="11"/>
  <c r="N88" i="11"/>
  <c r="N90" i="11"/>
  <c r="N92" i="11"/>
  <c r="N94" i="11"/>
  <c r="N96" i="11"/>
  <c r="N98" i="11"/>
  <c r="N204" i="11"/>
  <c r="N206" i="11"/>
  <c r="N208" i="11"/>
  <c r="N210" i="11"/>
  <c r="N212" i="11"/>
  <c r="N214" i="11"/>
  <c r="N216" i="11"/>
  <c r="N219" i="11"/>
  <c r="N221" i="11"/>
  <c r="N223" i="11"/>
  <c r="N225" i="11"/>
  <c r="N227" i="11"/>
  <c r="N229" i="11"/>
  <c r="N231" i="11"/>
  <c r="N230" i="11"/>
  <c r="N226" i="11"/>
  <c r="N222" i="11"/>
  <c r="N218" i="11"/>
  <c r="N213" i="11"/>
  <c r="N209" i="11"/>
  <c r="N205" i="11"/>
  <c r="N313" i="11"/>
  <c r="N311" i="11"/>
  <c r="N309" i="11"/>
  <c r="N307" i="11"/>
  <c r="N305" i="11"/>
  <c r="N303" i="11"/>
  <c r="N301" i="11"/>
  <c r="N299" i="11"/>
  <c r="N297" i="11"/>
  <c r="N295" i="11"/>
  <c r="N293" i="11"/>
  <c r="N291" i="11"/>
  <c r="N289" i="11"/>
  <c r="N287" i="11"/>
  <c r="N285" i="11"/>
  <c r="N283" i="11"/>
  <c r="N281" i="11"/>
  <c r="N279" i="11"/>
  <c r="N277" i="11"/>
  <c r="N275" i="11"/>
  <c r="N273" i="11"/>
  <c r="N271" i="11"/>
  <c r="N269" i="11"/>
  <c r="N267" i="11"/>
  <c r="N265" i="11"/>
  <c r="N263" i="11"/>
  <c r="N261" i="11"/>
  <c r="N259" i="11"/>
  <c r="N257" i="11"/>
  <c r="N255" i="11"/>
  <c r="N253" i="11"/>
  <c r="N251" i="11"/>
  <c r="N249" i="11"/>
  <c r="N247" i="11"/>
  <c r="N245" i="11"/>
  <c r="N241" i="11"/>
  <c r="N239" i="11"/>
  <c r="N237" i="11"/>
  <c r="N235" i="11"/>
  <c r="N233" i="11"/>
  <c r="N201" i="11"/>
  <c r="N199" i="11"/>
  <c r="N197" i="11"/>
  <c r="N195" i="11"/>
  <c r="N193" i="11"/>
  <c r="N191" i="11"/>
  <c r="N189" i="11"/>
  <c r="N187" i="11"/>
  <c r="N185" i="11"/>
  <c r="N183" i="11"/>
  <c r="N181" i="11"/>
  <c r="N179" i="11"/>
  <c r="N177" i="11"/>
  <c r="N175" i="11"/>
  <c r="N173" i="11"/>
  <c r="N171" i="11"/>
  <c r="N169" i="11"/>
  <c r="N166" i="11"/>
  <c r="N164" i="11"/>
  <c r="N162" i="11"/>
  <c r="N160" i="11"/>
  <c r="N158" i="11"/>
  <c r="N156" i="11"/>
  <c r="N154" i="11"/>
  <c r="N152" i="11"/>
  <c r="N150" i="11"/>
  <c r="N148" i="11"/>
  <c r="N146" i="11"/>
  <c r="N144" i="11"/>
  <c r="N142" i="11"/>
  <c r="N140" i="11"/>
  <c r="N138" i="11"/>
  <c r="N136" i="11"/>
  <c r="N134" i="11"/>
  <c r="N132" i="11"/>
  <c r="N130" i="11"/>
  <c r="N128" i="11"/>
  <c r="N125" i="11"/>
  <c r="N97" i="11"/>
  <c r="N93" i="11"/>
  <c r="N89" i="11"/>
  <c r="N34" i="11"/>
  <c r="N43" i="11"/>
  <c r="N41" i="11"/>
  <c r="N39" i="11"/>
  <c r="N37" i="11"/>
  <c r="N35" i="11"/>
  <c r="N31" i="11"/>
  <c r="N27" i="11"/>
  <c r="N22" i="11"/>
  <c r="N20" i="11"/>
  <c r="N19" i="11"/>
  <c r="N17" i="11"/>
  <c r="N15" i="11"/>
  <c r="N13" i="11"/>
  <c r="N11" i="11"/>
  <c r="N9" i="11"/>
  <c r="N7" i="11"/>
  <c r="N312" i="11"/>
  <c r="N310" i="11"/>
  <c r="N308" i="11"/>
  <c r="N306" i="11"/>
  <c r="N304" i="11"/>
  <c r="N302" i="11"/>
  <c r="N300" i="11"/>
  <c r="N298" i="11"/>
  <c r="N296" i="11"/>
  <c r="N294" i="11"/>
  <c r="N292" i="11"/>
  <c r="N290" i="11"/>
  <c r="N288" i="11"/>
  <c r="N286" i="11"/>
  <c r="N284" i="11"/>
  <c r="N282" i="11"/>
  <c r="N280" i="11"/>
  <c r="N278" i="11"/>
  <c r="N276" i="11"/>
  <c r="N274" i="11"/>
  <c r="N272" i="11"/>
  <c r="N270" i="11"/>
  <c r="N268" i="11"/>
  <c r="N266" i="11"/>
  <c r="N264" i="11"/>
  <c r="N262" i="11"/>
  <c r="N260" i="11"/>
  <c r="N258" i="11"/>
  <c r="N256" i="11"/>
  <c r="N254" i="11"/>
  <c r="N252" i="11"/>
  <c r="N250" i="11"/>
  <c r="N248" i="11"/>
  <c r="N246" i="11"/>
  <c r="N244" i="11"/>
  <c r="N240" i="11"/>
  <c r="N238" i="11"/>
  <c r="N236" i="11"/>
  <c r="N234" i="11"/>
  <c r="N232" i="11"/>
  <c r="N228" i="11"/>
  <c r="N224" i="11"/>
  <c r="N220" i="11"/>
  <c r="N215" i="11"/>
  <c r="N211" i="11"/>
  <c r="N207" i="11"/>
  <c r="N203" i="11"/>
  <c r="N202" i="11"/>
  <c r="N200" i="11"/>
  <c r="N198" i="11"/>
  <c r="N196" i="11"/>
  <c r="N194" i="11"/>
  <c r="N192" i="11"/>
  <c r="N190" i="11"/>
  <c r="N188" i="11"/>
  <c r="N186" i="11"/>
  <c r="N184" i="11"/>
  <c r="N182" i="11"/>
  <c r="N180" i="11"/>
  <c r="N178" i="11"/>
  <c r="N176" i="11"/>
  <c r="N174" i="11"/>
  <c r="N172" i="11"/>
  <c r="N170" i="11"/>
  <c r="N167" i="11"/>
  <c r="N165" i="11"/>
  <c r="N163" i="11"/>
  <c r="N161" i="11"/>
  <c r="N159" i="11"/>
  <c r="N157" i="11"/>
  <c r="N155" i="11"/>
  <c r="N153" i="11"/>
  <c r="N151" i="11"/>
  <c r="N149" i="11"/>
  <c r="N147" i="11"/>
  <c r="N145" i="11"/>
  <c r="N143" i="11"/>
  <c r="N141" i="11"/>
  <c r="N139" i="11"/>
  <c r="N137" i="11"/>
  <c r="N135" i="11"/>
  <c r="N133" i="11"/>
  <c r="N131" i="11"/>
  <c r="N129" i="11"/>
  <c r="N127" i="11"/>
  <c r="N126" i="11"/>
  <c r="N124" i="11"/>
  <c r="N123" i="11"/>
  <c r="N121" i="11"/>
  <c r="N119" i="11"/>
  <c r="N117" i="11"/>
  <c r="N115" i="11"/>
  <c r="N113" i="11"/>
  <c r="N111" i="11"/>
  <c r="N109" i="11"/>
  <c r="N107" i="11"/>
  <c r="N105" i="11"/>
  <c r="N103" i="11"/>
  <c r="N101" i="11"/>
  <c r="N99" i="11"/>
  <c r="N95" i="11"/>
  <c r="N91" i="11"/>
  <c r="N87" i="11"/>
  <c r="N122" i="11"/>
  <c r="N120" i="11"/>
  <c r="N118" i="11"/>
  <c r="N116" i="11"/>
  <c r="N114" i="11"/>
  <c r="N112" i="11"/>
  <c r="N110" i="11"/>
  <c r="N108" i="11"/>
  <c r="N106" i="11"/>
  <c r="N104" i="11"/>
  <c r="N102" i="11"/>
  <c r="N100" i="11"/>
  <c r="N85" i="11"/>
  <c r="N83" i="11"/>
  <c r="N81" i="11"/>
  <c r="N79" i="11"/>
  <c r="N77" i="11"/>
  <c r="N75" i="11"/>
  <c r="N73" i="11"/>
  <c r="N71" i="11"/>
  <c r="N69" i="11"/>
  <c r="N67" i="11"/>
  <c r="N65" i="11"/>
  <c r="N63" i="11"/>
  <c r="N61" i="11"/>
  <c r="N59" i="11"/>
  <c r="N57" i="11"/>
  <c r="N55" i="11"/>
  <c r="N53" i="11"/>
  <c r="N51" i="11"/>
  <c r="N49" i="11"/>
  <c r="N47" i="11"/>
  <c r="N84" i="11"/>
  <c r="N82" i="11"/>
  <c r="N80" i="11"/>
  <c r="N78" i="11"/>
  <c r="N76" i="11"/>
  <c r="N74" i="11"/>
  <c r="N72" i="11"/>
  <c r="N70" i="11"/>
  <c r="N68" i="11"/>
  <c r="N66" i="11"/>
  <c r="N64" i="11"/>
  <c r="N62" i="11"/>
  <c r="N60" i="11"/>
  <c r="N58" i="11"/>
  <c r="N56" i="11"/>
  <c r="N54" i="11"/>
  <c r="N52" i="11"/>
  <c r="N50" i="11"/>
  <c r="N48" i="11"/>
  <c r="N45" i="11"/>
  <c r="N44" i="11"/>
  <c r="N42" i="11"/>
  <c r="N40" i="11"/>
  <c r="N38" i="11"/>
  <c r="N36" i="11"/>
  <c r="N33" i="11"/>
  <c r="N29" i="11"/>
  <c r="N25" i="11"/>
  <c r="N23" i="11"/>
  <c r="N21" i="11"/>
  <c r="N18" i="11"/>
  <c r="N16" i="11"/>
  <c r="N14" i="11"/>
  <c r="N12" i="11"/>
  <c r="N10" i="11"/>
  <c r="N8" i="11"/>
  <c r="N6" i="11"/>
  <c r="N5" i="11"/>
  <c r="J5" i="11"/>
  <c r="E33" i="48" s="1"/>
  <c r="D5" i="39"/>
  <c r="G320" i="9"/>
  <c r="E34" i="48" l="1"/>
  <c r="F34" i="48" s="1"/>
  <c r="E315" i="54"/>
  <c r="O217" i="11"/>
  <c r="P217" i="11" s="1"/>
  <c r="O242" i="11"/>
  <c r="P242" i="11" s="1"/>
  <c r="O58" i="11"/>
  <c r="P58" i="11" s="1"/>
  <c r="O112" i="11"/>
  <c r="P112" i="11" s="1"/>
  <c r="O74" i="11"/>
  <c r="P74" i="11" s="1"/>
  <c r="D314" i="12"/>
  <c r="D314" i="39"/>
  <c r="O56" i="11"/>
  <c r="P56" i="11" s="1"/>
  <c r="O72" i="11"/>
  <c r="P72" i="11" s="1"/>
  <c r="O110" i="11"/>
  <c r="P110" i="11" s="1"/>
  <c r="O48" i="11"/>
  <c r="P48" i="11" s="1"/>
  <c r="O64" i="11"/>
  <c r="P64" i="11" s="1"/>
  <c r="O80" i="11"/>
  <c r="P80" i="11" s="1"/>
  <c r="O102" i="11"/>
  <c r="P102" i="11" s="1"/>
  <c r="O118" i="11"/>
  <c r="P118" i="11" s="1"/>
  <c r="O54" i="11"/>
  <c r="P54" i="11" s="1"/>
  <c r="O70" i="11"/>
  <c r="P70" i="11" s="1"/>
  <c r="O108" i="11"/>
  <c r="P108" i="11" s="1"/>
  <c r="O60" i="11"/>
  <c r="P60" i="11" s="1"/>
  <c r="O76" i="11"/>
  <c r="P76" i="11" s="1"/>
  <c r="O114" i="11"/>
  <c r="P114" i="11" s="1"/>
  <c r="O62" i="11"/>
  <c r="P62" i="11" s="1"/>
  <c r="O78" i="11"/>
  <c r="P78" i="11" s="1"/>
  <c r="O100" i="11"/>
  <c r="P100" i="11" s="1"/>
  <c r="O116" i="11"/>
  <c r="P116" i="11" s="1"/>
  <c r="O66" i="11"/>
  <c r="P66" i="11" s="1"/>
  <c r="O52" i="11"/>
  <c r="P52" i="11" s="1"/>
  <c r="O68" i="11"/>
  <c r="P68" i="11" s="1"/>
  <c r="O84" i="11"/>
  <c r="P84" i="11" s="1"/>
  <c r="O106" i="11"/>
  <c r="P106" i="11" s="1"/>
  <c r="O122" i="11"/>
  <c r="P122" i="11" s="1"/>
  <c r="O216" i="11"/>
  <c r="P216" i="11" s="1"/>
  <c r="O82" i="11"/>
  <c r="P82" i="11" s="1"/>
  <c r="O120" i="11"/>
  <c r="P120" i="11" s="1"/>
  <c r="O219" i="11"/>
  <c r="P219" i="11" s="1"/>
  <c r="O50" i="11"/>
  <c r="P50" i="11" s="1"/>
  <c r="O104" i="11"/>
  <c r="P104" i="11" s="1"/>
  <c r="O248" i="11"/>
  <c r="P248" i="11" s="1"/>
  <c r="O264" i="11"/>
  <c r="P264" i="11" s="1"/>
  <c r="O280" i="11"/>
  <c r="P280" i="11" s="1"/>
  <c r="O296" i="11"/>
  <c r="P296" i="11" s="1"/>
  <c r="O312" i="11"/>
  <c r="P312" i="11" s="1"/>
  <c r="O20" i="11"/>
  <c r="P20" i="11" s="1"/>
  <c r="O245" i="11"/>
  <c r="P245" i="11" s="1"/>
  <c r="O261" i="11"/>
  <c r="P261" i="11" s="1"/>
  <c r="O277" i="11"/>
  <c r="P277" i="11" s="1"/>
  <c r="O293" i="11"/>
  <c r="P293" i="11" s="1"/>
  <c r="O309" i="11"/>
  <c r="P309" i="11" s="1"/>
  <c r="O95" i="11"/>
  <c r="P95" i="11" s="1"/>
  <c r="O224" i="11"/>
  <c r="P224" i="11" s="1"/>
  <c r="O51" i="11"/>
  <c r="P51" i="11" s="1"/>
  <c r="O67" i="11"/>
  <c r="P67" i="11" s="1"/>
  <c r="O83" i="11"/>
  <c r="P83" i="11" s="1"/>
  <c r="O227" i="11"/>
  <c r="P227" i="11" s="1"/>
  <c r="O45" i="11"/>
  <c r="P45" i="11" s="1"/>
  <c r="O101" i="11"/>
  <c r="P101" i="11" s="1"/>
  <c r="O117" i="11"/>
  <c r="P117" i="11" s="1"/>
  <c r="O220" i="11"/>
  <c r="P220" i="11" s="1"/>
  <c r="O86" i="11"/>
  <c r="P86" i="11" s="1"/>
  <c r="O35" i="11"/>
  <c r="P35" i="11" s="1"/>
  <c r="O14" i="11"/>
  <c r="P14" i="11" s="1"/>
  <c r="O135" i="11"/>
  <c r="P135" i="11" s="1"/>
  <c r="O167" i="11"/>
  <c r="P167" i="11" s="1"/>
  <c r="O200" i="11"/>
  <c r="P200" i="11" s="1"/>
  <c r="O132" i="11"/>
  <c r="P132" i="11" s="1"/>
  <c r="O164" i="11"/>
  <c r="P164" i="11" s="1"/>
  <c r="O197" i="11"/>
  <c r="P197" i="11" s="1"/>
  <c r="O36" i="11"/>
  <c r="P36" i="11" s="1"/>
  <c r="O250" i="11"/>
  <c r="P250" i="11" s="1"/>
  <c r="O266" i="11"/>
  <c r="P266" i="11" s="1"/>
  <c r="O282" i="11"/>
  <c r="P282" i="11" s="1"/>
  <c r="O298" i="11"/>
  <c r="P298" i="11" s="1"/>
  <c r="O7" i="11"/>
  <c r="P7" i="11" s="1"/>
  <c r="O22" i="11"/>
  <c r="P22" i="11" s="1"/>
  <c r="O247" i="11"/>
  <c r="P247" i="11" s="1"/>
  <c r="O263" i="11"/>
  <c r="P263" i="11" s="1"/>
  <c r="O279" i="11"/>
  <c r="P279" i="11" s="1"/>
  <c r="O295" i="11"/>
  <c r="P295" i="11" s="1"/>
  <c r="O311" i="11"/>
  <c r="P311" i="11" s="1"/>
  <c r="O151" i="11"/>
  <c r="P151" i="11" s="1"/>
  <c r="O184" i="11"/>
  <c r="P184" i="11" s="1"/>
  <c r="O148" i="11"/>
  <c r="P148" i="11" s="1"/>
  <c r="O181" i="11"/>
  <c r="P181" i="11" s="1"/>
  <c r="O121" i="11"/>
  <c r="P121" i="11" s="1"/>
  <c r="O105" i="11"/>
  <c r="P105" i="11" s="1"/>
  <c r="O29" i="11"/>
  <c r="P29" i="11" s="1"/>
  <c r="O57" i="11"/>
  <c r="P57" i="11" s="1"/>
  <c r="O73" i="11"/>
  <c r="P73" i="11" s="1"/>
  <c r="O246" i="11"/>
  <c r="P246" i="11" s="1"/>
  <c r="O262" i="11"/>
  <c r="P262" i="11" s="1"/>
  <c r="O278" i="11"/>
  <c r="P278" i="11" s="1"/>
  <c r="O294" i="11"/>
  <c r="P294" i="11" s="1"/>
  <c r="O310" i="11"/>
  <c r="P310" i="11" s="1"/>
  <c r="O19" i="11"/>
  <c r="P19" i="11" s="1"/>
  <c r="O241" i="11"/>
  <c r="P241" i="11" s="1"/>
  <c r="O259" i="11"/>
  <c r="P259" i="11" s="1"/>
  <c r="O275" i="11"/>
  <c r="P275" i="11" s="1"/>
  <c r="O291" i="11"/>
  <c r="P291" i="11" s="1"/>
  <c r="O307" i="11"/>
  <c r="P307" i="11" s="1"/>
  <c r="O46" i="11"/>
  <c r="P46" i="11" s="1"/>
  <c r="O168" i="11"/>
  <c r="P168" i="11" s="1"/>
  <c r="O53" i="11"/>
  <c r="P53" i="11" s="1"/>
  <c r="O69" i="11"/>
  <c r="P69" i="11" s="1"/>
  <c r="O85" i="11"/>
  <c r="P85" i="11" s="1"/>
  <c r="O215" i="11"/>
  <c r="P215" i="11" s="1"/>
  <c r="O225" i="11"/>
  <c r="P225" i="11" s="1"/>
  <c r="O42" i="11"/>
  <c r="P42" i="11" s="1"/>
  <c r="O238" i="11"/>
  <c r="P238" i="11" s="1"/>
  <c r="O256" i="11"/>
  <c r="P256" i="11" s="1"/>
  <c r="O272" i="11"/>
  <c r="P272" i="11" s="1"/>
  <c r="O288" i="11"/>
  <c r="P288" i="11" s="1"/>
  <c r="O304" i="11"/>
  <c r="P304" i="11" s="1"/>
  <c r="O13" i="11"/>
  <c r="P13" i="11" s="1"/>
  <c r="O97" i="11"/>
  <c r="P97" i="11" s="1"/>
  <c r="O235" i="11"/>
  <c r="P235" i="11" s="1"/>
  <c r="O253" i="11"/>
  <c r="P253" i="11" s="1"/>
  <c r="O269" i="11"/>
  <c r="P269" i="11" s="1"/>
  <c r="O285" i="11"/>
  <c r="P285" i="11" s="1"/>
  <c r="O301" i="11"/>
  <c r="P301" i="11" s="1"/>
  <c r="O75" i="11"/>
  <c r="P75" i="11" s="1"/>
  <c r="O33" i="11"/>
  <c r="P33" i="11" s="1"/>
  <c r="O203" i="11"/>
  <c r="P203" i="11" s="1"/>
  <c r="O59" i="11"/>
  <c r="P59" i="11" s="1"/>
  <c r="O25" i="11"/>
  <c r="P25" i="11" s="1"/>
  <c r="O55" i="11"/>
  <c r="P55" i="11" s="1"/>
  <c r="O71" i="11"/>
  <c r="P71" i="11" s="1"/>
  <c r="O243" i="11"/>
  <c r="P243" i="11" s="1"/>
  <c r="O232" i="11"/>
  <c r="P232" i="11" s="1"/>
  <c r="O38" i="11"/>
  <c r="P38" i="11" s="1"/>
  <c r="O252" i="11"/>
  <c r="P252" i="11" s="1"/>
  <c r="O268" i="11"/>
  <c r="P268" i="11" s="1"/>
  <c r="O300" i="11"/>
  <c r="P300" i="11" s="1"/>
  <c r="O9" i="11"/>
  <c r="P9" i="11" s="1"/>
  <c r="O89" i="11"/>
  <c r="P89" i="11" s="1"/>
  <c r="O249" i="11"/>
  <c r="P249" i="11" s="1"/>
  <c r="O265" i="11"/>
  <c r="P265" i="11" s="1"/>
  <c r="O281" i="11"/>
  <c r="P281" i="11" s="1"/>
  <c r="O297" i="11"/>
  <c r="P297" i="11" s="1"/>
  <c r="O313" i="11"/>
  <c r="P313" i="11" s="1"/>
  <c r="O94" i="11"/>
  <c r="P94" i="11" s="1"/>
  <c r="O228" i="11"/>
  <c r="P228" i="11" s="1"/>
  <c r="O234" i="11"/>
  <c r="P234" i="11" s="1"/>
  <c r="O284" i="11"/>
  <c r="P284" i="11" s="1"/>
  <c r="O44" i="11"/>
  <c r="P44" i="11" s="1"/>
  <c r="O240" i="11"/>
  <c r="P240" i="11" s="1"/>
  <c r="O258" i="11"/>
  <c r="P258" i="11" s="1"/>
  <c r="O274" i="11"/>
  <c r="P274" i="11" s="1"/>
  <c r="O290" i="11"/>
  <c r="P290" i="11" s="1"/>
  <c r="O306" i="11"/>
  <c r="P306" i="11" s="1"/>
  <c r="O15" i="11"/>
  <c r="P15" i="11" s="1"/>
  <c r="O125" i="11"/>
  <c r="P125" i="11" s="1"/>
  <c r="O237" i="11"/>
  <c r="P237" i="11" s="1"/>
  <c r="O255" i="11"/>
  <c r="P255" i="11" s="1"/>
  <c r="O271" i="11"/>
  <c r="P271" i="11" s="1"/>
  <c r="O287" i="11"/>
  <c r="P287" i="11" s="1"/>
  <c r="O303" i="11"/>
  <c r="P303" i="11" s="1"/>
  <c r="O208" i="11"/>
  <c r="P208" i="11" s="1"/>
  <c r="O10" i="11"/>
  <c r="P10" i="11" s="1"/>
  <c r="O131" i="11"/>
  <c r="P131" i="11" s="1"/>
  <c r="O147" i="11"/>
  <c r="P147" i="11" s="1"/>
  <c r="O163" i="11"/>
  <c r="P163" i="11" s="1"/>
  <c r="O180" i="11"/>
  <c r="P180" i="11" s="1"/>
  <c r="O196" i="11"/>
  <c r="P196" i="11" s="1"/>
  <c r="O244" i="11"/>
  <c r="P244" i="11" s="1"/>
  <c r="O260" i="11"/>
  <c r="P260" i="11" s="1"/>
  <c r="O276" i="11"/>
  <c r="P276" i="11" s="1"/>
  <c r="O292" i="11"/>
  <c r="P292" i="11" s="1"/>
  <c r="O308" i="11"/>
  <c r="P308" i="11" s="1"/>
  <c r="O17" i="11"/>
  <c r="P17" i="11" s="1"/>
  <c r="O39" i="11"/>
  <c r="P39" i="11" s="1"/>
  <c r="O128" i="11"/>
  <c r="P128" i="11" s="1"/>
  <c r="O144" i="11"/>
  <c r="P144" i="11" s="1"/>
  <c r="O160" i="11"/>
  <c r="P160" i="11" s="1"/>
  <c r="O177" i="11"/>
  <c r="P177" i="11" s="1"/>
  <c r="O193" i="11"/>
  <c r="P193" i="11" s="1"/>
  <c r="O239" i="11"/>
  <c r="P239" i="11" s="1"/>
  <c r="O257" i="11"/>
  <c r="P257" i="11" s="1"/>
  <c r="O273" i="11"/>
  <c r="P273" i="11" s="1"/>
  <c r="O289" i="11"/>
  <c r="P289" i="11" s="1"/>
  <c r="O305" i="11"/>
  <c r="P305" i="11" s="1"/>
  <c r="O109" i="11"/>
  <c r="P109" i="11" s="1"/>
  <c r="O124" i="11"/>
  <c r="P124" i="11" s="1"/>
  <c r="O155" i="11"/>
  <c r="P155" i="11" s="1"/>
  <c r="O172" i="11"/>
  <c r="P172" i="11" s="1"/>
  <c r="O188" i="11"/>
  <c r="P188" i="11" s="1"/>
  <c r="O27" i="11"/>
  <c r="P27" i="11" s="1"/>
  <c r="O136" i="11"/>
  <c r="P136" i="11" s="1"/>
  <c r="O152" i="11"/>
  <c r="P152" i="11" s="1"/>
  <c r="O169" i="11"/>
  <c r="P169" i="11" s="1"/>
  <c r="O185" i="11"/>
  <c r="P185" i="11" s="1"/>
  <c r="O201" i="11"/>
  <c r="P201" i="11" s="1"/>
  <c r="O28" i="11"/>
  <c r="P28" i="11" s="1"/>
  <c r="O43" i="11"/>
  <c r="P43" i="11" s="1"/>
  <c r="O61" i="11"/>
  <c r="P61" i="11" s="1"/>
  <c r="O47" i="11"/>
  <c r="P47" i="11" s="1"/>
  <c r="O79" i="11"/>
  <c r="P79" i="11" s="1"/>
  <c r="O87" i="11"/>
  <c r="P87" i="11" s="1"/>
  <c r="O139" i="11"/>
  <c r="P139" i="11" s="1"/>
  <c r="O40" i="11"/>
  <c r="P40" i="11" s="1"/>
  <c r="O49" i="11"/>
  <c r="P49" i="11" s="1"/>
  <c r="O65" i="11"/>
  <c r="P65" i="11" s="1"/>
  <c r="O81" i="11"/>
  <c r="P81" i="11" s="1"/>
  <c r="O207" i="11"/>
  <c r="P207" i="11" s="1"/>
  <c r="O236" i="11"/>
  <c r="P236" i="11" s="1"/>
  <c r="O254" i="11"/>
  <c r="P254" i="11" s="1"/>
  <c r="O270" i="11"/>
  <c r="P270" i="11" s="1"/>
  <c r="O286" i="11"/>
  <c r="P286" i="11" s="1"/>
  <c r="O302" i="11"/>
  <c r="P302" i="11" s="1"/>
  <c r="O11" i="11"/>
  <c r="P11" i="11" s="1"/>
  <c r="O93" i="11"/>
  <c r="P93" i="11" s="1"/>
  <c r="O233" i="11"/>
  <c r="P233" i="11" s="1"/>
  <c r="O251" i="11"/>
  <c r="P251" i="11" s="1"/>
  <c r="O267" i="11"/>
  <c r="P267" i="11" s="1"/>
  <c r="O283" i="11"/>
  <c r="P283" i="11" s="1"/>
  <c r="O299" i="11"/>
  <c r="P299" i="11" s="1"/>
  <c r="O92" i="11"/>
  <c r="P92" i="11" s="1"/>
  <c r="O26" i="11"/>
  <c r="P26" i="11" s="1"/>
  <c r="O77" i="11"/>
  <c r="P77" i="11" s="1"/>
  <c r="O18" i="11"/>
  <c r="P18" i="11" s="1"/>
  <c r="O63" i="11"/>
  <c r="P63" i="11" s="1"/>
  <c r="O6" i="11"/>
  <c r="P6" i="11" s="1"/>
  <c r="O21" i="11"/>
  <c r="P21" i="11" s="1"/>
  <c r="O113" i="11"/>
  <c r="P113" i="11" s="1"/>
  <c r="O127" i="11"/>
  <c r="P127" i="11" s="1"/>
  <c r="O143" i="11"/>
  <c r="P143" i="11" s="1"/>
  <c r="O159" i="11"/>
  <c r="P159" i="11" s="1"/>
  <c r="O176" i="11"/>
  <c r="P176" i="11" s="1"/>
  <c r="O192" i="11"/>
  <c r="P192" i="11" s="1"/>
  <c r="O211" i="11"/>
  <c r="P211" i="11" s="1"/>
  <c r="O140" i="11"/>
  <c r="P140" i="11" s="1"/>
  <c r="O156" i="11"/>
  <c r="P156" i="11" s="1"/>
  <c r="O173" i="11"/>
  <c r="P173" i="11" s="1"/>
  <c r="O189" i="11"/>
  <c r="P189" i="11" s="1"/>
  <c r="O210" i="11"/>
  <c r="P210" i="11" s="1"/>
  <c r="O98" i="11"/>
  <c r="P98" i="11" s="1"/>
  <c r="O90" i="11"/>
  <c r="P90" i="11" s="1"/>
  <c r="O8" i="11"/>
  <c r="P8" i="11" s="1"/>
  <c r="O12" i="11"/>
  <c r="P12" i="11" s="1"/>
  <c r="O16" i="11"/>
  <c r="P16" i="11" s="1"/>
  <c r="O23" i="11"/>
  <c r="P23" i="11" s="1"/>
  <c r="O91" i="11"/>
  <c r="P91" i="11" s="1"/>
  <c r="O99" i="11"/>
  <c r="P99" i="11" s="1"/>
  <c r="O103" i="11"/>
  <c r="P103" i="11" s="1"/>
  <c r="O107" i="11"/>
  <c r="P107" i="11" s="1"/>
  <c r="O111" i="11"/>
  <c r="P111" i="11" s="1"/>
  <c r="O115" i="11"/>
  <c r="P115" i="11" s="1"/>
  <c r="O119" i="11"/>
  <c r="P119" i="11" s="1"/>
  <c r="O123" i="11"/>
  <c r="P123" i="11" s="1"/>
  <c r="O126" i="11"/>
  <c r="P126" i="11" s="1"/>
  <c r="O129" i="11"/>
  <c r="P129" i="11" s="1"/>
  <c r="O133" i="11"/>
  <c r="P133" i="11" s="1"/>
  <c r="O137" i="11"/>
  <c r="P137" i="11" s="1"/>
  <c r="O141" i="11"/>
  <c r="P141" i="11" s="1"/>
  <c r="O145" i="11"/>
  <c r="P145" i="11" s="1"/>
  <c r="O149" i="11"/>
  <c r="P149" i="11" s="1"/>
  <c r="O153" i="11"/>
  <c r="P153" i="11" s="1"/>
  <c r="O157" i="11"/>
  <c r="P157" i="11" s="1"/>
  <c r="O161" i="11"/>
  <c r="P161" i="11" s="1"/>
  <c r="O165" i="11"/>
  <c r="P165" i="11" s="1"/>
  <c r="O170" i="11"/>
  <c r="P170" i="11" s="1"/>
  <c r="O174" i="11"/>
  <c r="P174" i="11" s="1"/>
  <c r="O178" i="11"/>
  <c r="P178" i="11" s="1"/>
  <c r="O182" i="11"/>
  <c r="P182" i="11" s="1"/>
  <c r="O186" i="11"/>
  <c r="P186" i="11" s="1"/>
  <c r="O190" i="11"/>
  <c r="P190" i="11" s="1"/>
  <c r="O194" i="11"/>
  <c r="P194" i="11" s="1"/>
  <c r="O198" i="11"/>
  <c r="P198" i="11" s="1"/>
  <c r="O202" i="11"/>
  <c r="P202" i="11" s="1"/>
  <c r="O31" i="11"/>
  <c r="P31" i="11" s="1"/>
  <c r="O37" i="11"/>
  <c r="P37" i="11" s="1"/>
  <c r="O41" i="11"/>
  <c r="P41" i="11" s="1"/>
  <c r="O34" i="11"/>
  <c r="P34" i="11" s="1"/>
  <c r="O130" i="11"/>
  <c r="P130" i="11" s="1"/>
  <c r="O134" i="11"/>
  <c r="P134" i="11" s="1"/>
  <c r="O138" i="11"/>
  <c r="P138" i="11" s="1"/>
  <c r="O142" i="11"/>
  <c r="P142" i="11" s="1"/>
  <c r="O146" i="11"/>
  <c r="P146" i="11" s="1"/>
  <c r="O150" i="11"/>
  <c r="P150" i="11" s="1"/>
  <c r="O154" i="11"/>
  <c r="P154" i="11" s="1"/>
  <c r="O158" i="11"/>
  <c r="P158" i="11" s="1"/>
  <c r="O162" i="11"/>
  <c r="P162" i="11" s="1"/>
  <c r="O166" i="11"/>
  <c r="P166" i="11" s="1"/>
  <c r="O171" i="11"/>
  <c r="P171" i="11" s="1"/>
  <c r="O175" i="11"/>
  <c r="P175" i="11" s="1"/>
  <c r="O179" i="11"/>
  <c r="P179" i="11" s="1"/>
  <c r="O183" i="11"/>
  <c r="P183" i="11" s="1"/>
  <c r="O187" i="11"/>
  <c r="P187" i="11" s="1"/>
  <c r="O191" i="11"/>
  <c r="P191" i="11" s="1"/>
  <c r="O195" i="11"/>
  <c r="P195" i="11" s="1"/>
  <c r="O199" i="11"/>
  <c r="P199" i="11" s="1"/>
  <c r="O205" i="11"/>
  <c r="P205" i="11" s="1"/>
  <c r="O213" i="11"/>
  <c r="P213" i="11" s="1"/>
  <c r="O222" i="11"/>
  <c r="P222" i="11" s="1"/>
  <c r="O230" i="11"/>
  <c r="P230" i="11" s="1"/>
  <c r="O229" i="11"/>
  <c r="P229" i="11" s="1"/>
  <c r="O221" i="11"/>
  <c r="P221" i="11" s="1"/>
  <c r="O212" i="11"/>
  <c r="P212" i="11" s="1"/>
  <c r="O204" i="11"/>
  <c r="P204" i="11" s="1"/>
  <c r="O96" i="11"/>
  <c r="P96" i="11" s="1"/>
  <c r="O209" i="11"/>
  <c r="P209" i="11" s="1"/>
  <c r="O218" i="11"/>
  <c r="P218" i="11" s="1"/>
  <c r="O226" i="11"/>
  <c r="P226" i="11" s="1"/>
  <c r="O231" i="11"/>
  <c r="P231" i="11" s="1"/>
  <c r="O223" i="11"/>
  <c r="P223" i="11" s="1"/>
  <c r="O214" i="11"/>
  <c r="P214" i="11" s="1"/>
  <c r="O206" i="11"/>
  <c r="P206" i="11" s="1"/>
  <c r="O32" i="11"/>
  <c r="P32" i="11" s="1"/>
  <c r="O24" i="11"/>
  <c r="P24" i="11" s="1"/>
  <c r="O88" i="11"/>
  <c r="P88" i="11" s="1"/>
  <c r="O30" i="11"/>
  <c r="P30" i="11" s="1"/>
  <c r="O5" i="11"/>
  <c r="J314" i="11"/>
  <c r="N314" i="11"/>
  <c r="F315" i="25"/>
  <c r="H33" i="25" l="1"/>
  <c r="F32" i="39"/>
  <c r="F32" i="12"/>
  <c r="H206" i="25"/>
  <c r="F205" i="39"/>
  <c r="F205" i="12"/>
  <c r="H172" i="25"/>
  <c r="F171" i="39"/>
  <c r="F171" i="12"/>
  <c r="H155" i="25"/>
  <c r="F154" i="39"/>
  <c r="F154" i="12"/>
  <c r="H199" i="25"/>
  <c r="F198" i="39"/>
  <c r="F198" i="12"/>
  <c r="H166" i="25"/>
  <c r="F165" i="39"/>
  <c r="F165" i="12"/>
  <c r="H134" i="25"/>
  <c r="F133" i="39"/>
  <c r="F133" i="12"/>
  <c r="H17" i="25"/>
  <c r="F16" i="39"/>
  <c r="F16" i="12"/>
  <c r="H177" i="25"/>
  <c r="F176" i="39"/>
  <c r="F176" i="12"/>
  <c r="H300" i="25"/>
  <c r="F299" i="39"/>
  <c r="F299" i="12"/>
  <c r="H41" i="25"/>
  <c r="F40" i="39"/>
  <c r="F40" i="12"/>
  <c r="H197" i="25"/>
  <c r="F196" i="39"/>
  <c r="F196" i="12"/>
  <c r="H89" i="25"/>
  <c r="F88" i="39"/>
  <c r="F88" i="12"/>
  <c r="H215" i="25"/>
  <c r="F214" i="39"/>
  <c r="F214" i="12"/>
  <c r="H219" i="25"/>
  <c r="F218" i="39"/>
  <c r="F218" i="12"/>
  <c r="H223" i="25"/>
  <c r="F222" i="39"/>
  <c r="F222" i="12"/>
  <c r="H196" i="25"/>
  <c r="F195" i="39"/>
  <c r="F195" i="12"/>
  <c r="H180" i="25"/>
  <c r="F179" i="39"/>
  <c r="F179" i="12"/>
  <c r="H163" i="25"/>
  <c r="F162" i="39"/>
  <c r="F162" i="12"/>
  <c r="H147" i="25"/>
  <c r="F146" i="39"/>
  <c r="F146" i="12"/>
  <c r="H32" i="25"/>
  <c r="F31" i="39"/>
  <c r="F31" i="12"/>
  <c r="H191" i="25"/>
  <c r="F190" i="39"/>
  <c r="F190" i="12"/>
  <c r="H175" i="25"/>
  <c r="F174" i="39"/>
  <c r="F174" i="12"/>
  <c r="H158" i="25"/>
  <c r="F157" i="39"/>
  <c r="F157" i="12"/>
  <c r="H127" i="25"/>
  <c r="F126" i="39"/>
  <c r="F126" i="12"/>
  <c r="H112" i="25"/>
  <c r="F111" i="12"/>
  <c r="F111" i="39"/>
  <c r="H92" i="25"/>
  <c r="F91" i="12"/>
  <c r="F91" i="39"/>
  <c r="H190" i="25"/>
  <c r="F189" i="39"/>
  <c r="F189" i="12"/>
  <c r="H212" i="25"/>
  <c r="F211" i="39"/>
  <c r="F211" i="12"/>
  <c r="H7" i="25"/>
  <c r="F6" i="39"/>
  <c r="F6" i="12"/>
  <c r="H268" i="25"/>
  <c r="F267" i="39"/>
  <c r="F267" i="12"/>
  <c r="H25" i="25"/>
  <c r="F24" i="39"/>
  <c r="F24" i="12"/>
  <c r="H224" i="25"/>
  <c r="F223" i="39"/>
  <c r="F223" i="12"/>
  <c r="H210" i="25"/>
  <c r="F209" i="39"/>
  <c r="F209" i="12"/>
  <c r="H222" i="25"/>
  <c r="F221" i="39"/>
  <c r="F221" i="12"/>
  <c r="H214" i="25"/>
  <c r="F213" i="39"/>
  <c r="F213" i="12"/>
  <c r="H192" i="25"/>
  <c r="F191" i="39"/>
  <c r="F191" i="12"/>
  <c r="H176" i="25"/>
  <c r="F175" i="39"/>
  <c r="F175" i="12"/>
  <c r="H159" i="25"/>
  <c r="F158" i="39"/>
  <c r="F158" i="12"/>
  <c r="H143" i="25"/>
  <c r="F142" i="39"/>
  <c r="F142" i="12"/>
  <c r="H35" i="25"/>
  <c r="F34" i="39"/>
  <c r="F34" i="12"/>
  <c r="H203" i="25"/>
  <c r="F202" i="39"/>
  <c r="F202" i="12"/>
  <c r="H187" i="25"/>
  <c r="F186" i="39"/>
  <c r="F186" i="12"/>
  <c r="H171" i="25"/>
  <c r="F170" i="39"/>
  <c r="F170" i="12"/>
  <c r="H154" i="25"/>
  <c r="F153" i="39"/>
  <c r="F153" i="12"/>
  <c r="H138" i="25"/>
  <c r="F137" i="39"/>
  <c r="F137" i="12"/>
  <c r="H124" i="25"/>
  <c r="F123" i="12"/>
  <c r="F123" i="39"/>
  <c r="H108" i="25"/>
  <c r="F107" i="12"/>
  <c r="F107" i="39"/>
  <c r="H24" i="25"/>
  <c r="F23" i="39"/>
  <c r="F23" i="12"/>
  <c r="H91" i="25"/>
  <c r="F90" i="39"/>
  <c r="F90" i="12"/>
  <c r="H174" i="25"/>
  <c r="F173" i="39"/>
  <c r="F173" i="12"/>
  <c r="H193" i="25"/>
  <c r="F192" i="39"/>
  <c r="F192" i="12"/>
  <c r="H128" i="25"/>
  <c r="F127" i="12"/>
  <c r="F127" i="39"/>
  <c r="H64" i="25"/>
  <c r="F63" i="12"/>
  <c r="F63" i="39"/>
  <c r="H93" i="25"/>
  <c r="F92" i="39"/>
  <c r="F92" i="12"/>
  <c r="H252" i="25"/>
  <c r="F251" i="39"/>
  <c r="F251" i="12"/>
  <c r="H303" i="25"/>
  <c r="F302" i="39"/>
  <c r="F302" i="12"/>
  <c r="H237" i="25"/>
  <c r="F236" i="39"/>
  <c r="F236" i="12"/>
  <c r="H50" i="25"/>
  <c r="F49" i="39"/>
  <c r="F49" i="12"/>
  <c r="H80" i="25"/>
  <c r="F79" i="12"/>
  <c r="F79" i="39"/>
  <c r="H29" i="25"/>
  <c r="F28" i="39"/>
  <c r="F28" i="12"/>
  <c r="H153" i="25"/>
  <c r="F152" i="39"/>
  <c r="F152" i="12"/>
  <c r="H173" i="25"/>
  <c r="F172" i="39"/>
  <c r="F172" i="12"/>
  <c r="H306" i="25"/>
  <c r="F305" i="39"/>
  <c r="F305" i="12"/>
  <c r="H240" i="25"/>
  <c r="F239" i="39"/>
  <c r="F239" i="12"/>
  <c r="H145" i="25"/>
  <c r="F144" i="39"/>
  <c r="F144" i="12"/>
  <c r="H309" i="25"/>
  <c r="F308" i="39"/>
  <c r="F308" i="12"/>
  <c r="H245" i="25"/>
  <c r="F244" i="39"/>
  <c r="F244" i="12"/>
  <c r="H148" i="25"/>
  <c r="F147" i="39"/>
  <c r="F147" i="12"/>
  <c r="H304" i="25"/>
  <c r="F303" i="39"/>
  <c r="F303" i="12"/>
  <c r="H238" i="25"/>
  <c r="F237" i="39"/>
  <c r="F237" i="12"/>
  <c r="H291" i="25"/>
  <c r="F290" i="39"/>
  <c r="F290" i="12"/>
  <c r="H45" i="25"/>
  <c r="F44" i="39"/>
  <c r="F44" i="12"/>
  <c r="H95" i="25"/>
  <c r="F94" i="39"/>
  <c r="F94" i="12"/>
  <c r="H266" i="25"/>
  <c r="F265" i="39"/>
  <c r="F265" i="12"/>
  <c r="H301" i="25"/>
  <c r="F300" i="39"/>
  <c r="F300" i="12"/>
  <c r="H233" i="25"/>
  <c r="F232" i="39"/>
  <c r="F232" i="12"/>
  <c r="H26" i="25"/>
  <c r="F25" i="39"/>
  <c r="F25" i="12"/>
  <c r="H76" i="25"/>
  <c r="F75" i="12"/>
  <c r="F75" i="39"/>
  <c r="H254" i="25"/>
  <c r="F253" i="39"/>
  <c r="F253" i="12"/>
  <c r="H305" i="25"/>
  <c r="F304" i="39"/>
  <c r="F304" i="12"/>
  <c r="H239" i="25"/>
  <c r="F238" i="39"/>
  <c r="F238" i="12"/>
  <c r="H86" i="25"/>
  <c r="F85" i="39"/>
  <c r="F85" i="12"/>
  <c r="H47" i="25"/>
  <c r="F46" i="39"/>
  <c r="F46" i="12"/>
  <c r="H260" i="25"/>
  <c r="F259" i="39"/>
  <c r="F259" i="12"/>
  <c r="H295" i="25"/>
  <c r="F294" i="39"/>
  <c r="F294" i="12"/>
  <c r="H74" i="25"/>
  <c r="F73" i="39"/>
  <c r="F73" i="12"/>
  <c r="H122" i="25"/>
  <c r="F121" i="39"/>
  <c r="F121" i="12"/>
  <c r="H152" i="25"/>
  <c r="F151" i="39"/>
  <c r="F151" i="12"/>
  <c r="H264" i="25"/>
  <c r="F263" i="39"/>
  <c r="F263" i="12"/>
  <c r="H299" i="25"/>
  <c r="F298" i="39"/>
  <c r="F298" i="12"/>
  <c r="H37" i="25"/>
  <c r="F36" i="39"/>
  <c r="F36" i="12"/>
  <c r="H201" i="25"/>
  <c r="F200" i="39"/>
  <c r="F200" i="12"/>
  <c r="H36" i="25"/>
  <c r="F35" i="39"/>
  <c r="F35" i="12"/>
  <c r="H102" i="25"/>
  <c r="F101" i="39"/>
  <c r="F101" i="12"/>
  <c r="H68" i="25"/>
  <c r="F67" i="12"/>
  <c r="F67" i="39"/>
  <c r="H310" i="25"/>
  <c r="F309" i="39"/>
  <c r="F309" i="12"/>
  <c r="H246" i="25"/>
  <c r="F245" i="39"/>
  <c r="F245" i="12"/>
  <c r="H281" i="25"/>
  <c r="F280" i="39"/>
  <c r="F280" i="12"/>
  <c r="H51" i="25"/>
  <c r="F50" i="39"/>
  <c r="F50" i="12"/>
  <c r="H217" i="25"/>
  <c r="F216" i="39"/>
  <c r="F216" i="12"/>
  <c r="H69" i="25"/>
  <c r="F68" i="39"/>
  <c r="F68" i="12"/>
  <c r="H101" i="25"/>
  <c r="F100" i="39"/>
  <c r="F100" i="12"/>
  <c r="H77" i="25"/>
  <c r="F76" i="39"/>
  <c r="F76" i="12"/>
  <c r="H55" i="25"/>
  <c r="F54" i="39"/>
  <c r="F54" i="12"/>
  <c r="H65" i="25"/>
  <c r="F64" i="39"/>
  <c r="F64" i="12"/>
  <c r="H57" i="25"/>
  <c r="F56" i="39"/>
  <c r="F56" i="12"/>
  <c r="H113" i="25"/>
  <c r="F112" i="12"/>
  <c r="F112" i="39"/>
  <c r="H97" i="25"/>
  <c r="F96" i="39"/>
  <c r="F96" i="12"/>
  <c r="H42" i="25"/>
  <c r="F41" i="39"/>
  <c r="F41" i="12"/>
  <c r="H104" i="25"/>
  <c r="F103" i="12"/>
  <c r="F103" i="39"/>
  <c r="H114" i="25"/>
  <c r="F113" i="39"/>
  <c r="F113" i="12"/>
  <c r="H287" i="25"/>
  <c r="F286" i="39"/>
  <c r="F286" i="12"/>
  <c r="H48" i="25"/>
  <c r="F47" i="12"/>
  <c r="F47" i="39"/>
  <c r="H156" i="25"/>
  <c r="F155" i="39"/>
  <c r="F155" i="12"/>
  <c r="H194" i="25"/>
  <c r="F193" i="39"/>
  <c r="F193" i="12"/>
  <c r="H293" i="25"/>
  <c r="F292" i="39"/>
  <c r="F292" i="12"/>
  <c r="H132" i="25"/>
  <c r="F131" i="39"/>
  <c r="F131" i="12"/>
  <c r="H288" i="25"/>
  <c r="F287" i="39"/>
  <c r="F287" i="12"/>
  <c r="H126" i="25"/>
  <c r="F125" i="39"/>
  <c r="F125" i="12"/>
  <c r="H285" i="25"/>
  <c r="F284" i="39"/>
  <c r="F284" i="12"/>
  <c r="H314" i="25"/>
  <c r="F313" i="39"/>
  <c r="F313" i="12"/>
  <c r="H250" i="25"/>
  <c r="F249" i="39"/>
  <c r="F249" i="12"/>
  <c r="H269" i="25"/>
  <c r="F268" i="39"/>
  <c r="F268" i="12"/>
  <c r="H244" i="25"/>
  <c r="F243" i="39"/>
  <c r="F243" i="12"/>
  <c r="H60" i="25"/>
  <c r="F59" i="12"/>
  <c r="F59" i="39"/>
  <c r="H302" i="25"/>
  <c r="F301" i="39"/>
  <c r="F301" i="12"/>
  <c r="H236" i="25"/>
  <c r="F235" i="39"/>
  <c r="F235" i="12"/>
  <c r="H289" i="25"/>
  <c r="F288" i="39"/>
  <c r="F288" i="12"/>
  <c r="H43" i="25"/>
  <c r="F42" i="39"/>
  <c r="F42" i="12"/>
  <c r="H70" i="25"/>
  <c r="F69" i="39"/>
  <c r="F69" i="12"/>
  <c r="H308" i="25"/>
  <c r="F307" i="39"/>
  <c r="F307" i="12"/>
  <c r="H242" i="25"/>
  <c r="F241" i="39"/>
  <c r="F241" i="12"/>
  <c r="H279" i="25"/>
  <c r="F278" i="39"/>
  <c r="F278" i="12"/>
  <c r="H58" i="25"/>
  <c r="F57" i="39"/>
  <c r="F57" i="12"/>
  <c r="H182" i="25"/>
  <c r="F181" i="39"/>
  <c r="F181" i="12"/>
  <c r="H312" i="25"/>
  <c r="F311" i="39"/>
  <c r="F311" i="12"/>
  <c r="H248" i="25"/>
  <c r="F247" i="39"/>
  <c r="F247" i="12"/>
  <c r="H283" i="25"/>
  <c r="F282" i="39"/>
  <c r="F282" i="12"/>
  <c r="H198" i="25"/>
  <c r="F197" i="39"/>
  <c r="F197" i="12"/>
  <c r="H168" i="25"/>
  <c r="F167" i="39"/>
  <c r="F167" i="12"/>
  <c r="H87" i="25"/>
  <c r="F86" i="39"/>
  <c r="F86" i="12"/>
  <c r="H46" i="25"/>
  <c r="F45" i="39"/>
  <c r="F45" i="12"/>
  <c r="H52" i="25"/>
  <c r="F51" i="12"/>
  <c r="F51" i="39"/>
  <c r="H294" i="25"/>
  <c r="F293" i="39"/>
  <c r="F293" i="12"/>
  <c r="H21" i="25"/>
  <c r="F20" i="39"/>
  <c r="F20" i="12"/>
  <c r="H265" i="25"/>
  <c r="F264" i="39"/>
  <c r="F264" i="12"/>
  <c r="H220" i="25"/>
  <c r="F219" i="39"/>
  <c r="F219" i="12"/>
  <c r="H123" i="25"/>
  <c r="F122" i="39"/>
  <c r="F122" i="12"/>
  <c r="H53" i="25"/>
  <c r="F52" i="39"/>
  <c r="F52" i="12"/>
  <c r="H79" i="25"/>
  <c r="F78" i="39"/>
  <c r="F78" i="12"/>
  <c r="H61" i="25"/>
  <c r="F60" i="39"/>
  <c r="F60" i="12"/>
  <c r="H119" i="25"/>
  <c r="F118" i="39"/>
  <c r="F118" i="12"/>
  <c r="H49" i="25"/>
  <c r="F48" i="39"/>
  <c r="F48" i="12"/>
  <c r="H59" i="25"/>
  <c r="F58" i="39"/>
  <c r="F58" i="12"/>
  <c r="H6" i="25"/>
  <c r="F5" i="39"/>
  <c r="F5" i="12"/>
  <c r="O314" i="11"/>
  <c r="P314" i="11" s="1"/>
  <c r="H232" i="25"/>
  <c r="F231" i="39"/>
  <c r="F231" i="12"/>
  <c r="H230" i="25"/>
  <c r="F229" i="39"/>
  <c r="F229" i="12"/>
  <c r="H188" i="25"/>
  <c r="F187" i="39"/>
  <c r="F187" i="12"/>
  <c r="H139" i="25"/>
  <c r="F138" i="39"/>
  <c r="F138" i="12"/>
  <c r="H183" i="25"/>
  <c r="F182" i="39"/>
  <c r="F182" i="12"/>
  <c r="H150" i="25"/>
  <c r="F149" i="39"/>
  <c r="F149" i="12"/>
  <c r="H120" i="25"/>
  <c r="F119" i="12"/>
  <c r="F119" i="39"/>
  <c r="H99" i="25"/>
  <c r="F98" i="39"/>
  <c r="F98" i="12"/>
  <c r="H157" i="25"/>
  <c r="F156" i="39"/>
  <c r="F156" i="12"/>
  <c r="H19" i="25"/>
  <c r="F18" i="39"/>
  <c r="F18" i="12"/>
  <c r="H234" i="25"/>
  <c r="F233" i="39"/>
  <c r="F233" i="12"/>
  <c r="H208" i="25"/>
  <c r="F207" i="39"/>
  <c r="F207" i="12"/>
  <c r="H202" i="25"/>
  <c r="F201" i="39"/>
  <c r="F201" i="12"/>
  <c r="H137" i="25"/>
  <c r="F136" i="39"/>
  <c r="F136" i="12"/>
  <c r="H290" i="25"/>
  <c r="F289" i="39"/>
  <c r="F289" i="12"/>
  <c r="H129" i="25"/>
  <c r="F128" i="12"/>
  <c r="F128" i="39"/>
  <c r="H275" i="25"/>
  <c r="F274" i="39"/>
  <c r="F274" i="12"/>
  <c r="H31" i="25"/>
  <c r="F30" i="39"/>
  <c r="F30" i="12"/>
  <c r="H207" i="25"/>
  <c r="F206" i="39"/>
  <c r="F206" i="12"/>
  <c r="H227" i="25"/>
  <c r="F226" i="39"/>
  <c r="F226" i="12"/>
  <c r="H205" i="25"/>
  <c r="F204" i="39"/>
  <c r="F204" i="12"/>
  <c r="H231" i="25"/>
  <c r="F230" i="39"/>
  <c r="F230" i="12"/>
  <c r="H184" i="25"/>
  <c r="F183" i="39"/>
  <c r="F183" i="12"/>
  <c r="H167" i="25"/>
  <c r="F166" i="39"/>
  <c r="F166" i="12"/>
  <c r="H135" i="25"/>
  <c r="F134" i="39"/>
  <c r="F134" i="12"/>
  <c r="H38" i="25"/>
  <c r="F37" i="39"/>
  <c r="F37" i="12"/>
  <c r="H195" i="25"/>
  <c r="F194" i="39"/>
  <c r="F194" i="12"/>
  <c r="H179" i="25"/>
  <c r="F178" i="39"/>
  <c r="F178" i="12"/>
  <c r="H162" i="25"/>
  <c r="F161" i="39"/>
  <c r="F161" i="12"/>
  <c r="H146" i="25"/>
  <c r="F145" i="39"/>
  <c r="F145" i="12"/>
  <c r="H130" i="25"/>
  <c r="F129" i="39"/>
  <c r="F129" i="12"/>
  <c r="H116" i="25"/>
  <c r="F115" i="39"/>
  <c r="F115" i="12"/>
  <c r="H100" i="25"/>
  <c r="F99" i="39"/>
  <c r="F99" i="12"/>
  <c r="H13" i="25"/>
  <c r="F12" i="39"/>
  <c r="F12" i="12"/>
  <c r="H211" i="25"/>
  <c r="F210" i="39"/>
  <c r="F210" i="12"/>
  <c r="H141" i="25"/>
  <c r="F140" i="39"/>
  <c r="F140" i="12"/>
  <c r="H160" i="25"/>
  <c r="F159" i="39"/>
  <c r="F159" i="12"/>
  <c r="F21" i="39"/>
  <c r="H22" i="25"/>
  <c r="F21" i="12"/>
  <c r="H78" i="25"/>
  <c r="F77" i="39"/>
  <c r="F77" i="12"/>
  <c r="H284" i="25"/>
  <c r="F283" i="39"/>
  <c r="F283" i="12"/>
  <c r="H94" i="25"/>
  <c r="F93" i="39"/>
  <c r="F93" i="12"/>
  <c r="H271" i="25"/>
  <c r="F270" i="39"/>
  <c r="F270" i="12"/>
  <c r="H82" i="25"/>
  <c r="F81" i="39"/>
  <c r="F81" i="12"/>
  <c r="H140" i="25"/>
  <c r="F139" i="12"/>
  <c r="F139" i="39"/>
  <c r="H62" i="25"/>
  <c r="F61" i="39"/>
  <c r="F61" i="12"/>
  <c r="H186" i="25"/>
  <c r="F185" i="39"/>
  <c r="F185" i="12"/>
  <c r="H28" i="25"/>
  <c r="F27" i="39"/>
  <c r="F27" i="12"/>
  <c r="H125" i="25"/>
  <c r="F124" i="12"/>
  <c r="F124" i="39"/>
  <c r="H274" i="25"/>
  <c r="F273" i="39"/>
  <c r="F273" i="12"/>
  <c r="H178" i="25"/>
  <c r="F177" i="39"/>
  <c r="F177" i="12"/>
  <c r="H40" i="25"/>
  <c r="F39" i="39"/>
  <c r="F39" i="12"/>
  <c r="H277" i="25"/>
  <c r="F276" i="39"/>
  <c r="F276" i="12"/>
  <c r="H181" i="25"/>
  <c r="F180" i="39"/>
  <c r="F180" i="12"/>
  <c r="H11" i="25"/>
  <c r="F10" i="39"/>
  <c r="F10" i="12"/>
  <c r="H272" i="25"/>
  <c r="F271" i="39"/>
  <c r="F271" i="12"/>
  <c r="H16" i="25"/>
  <c r="F15" i="39"/>
  <c r="F15" i="12"/>
  <c r="H259" i="25"/>
  <c r="F258" i="39"/>
  <c r="F258" i="12"/>
  <c r="H235" i="25"/>
  <c r="F234" i="39"/>
  <c r="F234" i="12"/>
  <c r="H298" i="25"/>
  <c r="F297" i="39"/>
  <c r="F297" i="12"/>
  <c r="H90" i="25"/>
  <c r="F89" i="39"/>
  <c r="F89" i="12"/>
  <c r="H253" i="25"/>
  <c r="F252" i="39"/>
  <c r="F252" i="12"/>
  <c r="H72" i="25"/>
  <c r="F71" i="39"/>
  <c r="F71" i="12"/>
  <c r="H204" i="25"/>
  <c r="F203" i="39"/>
  <c r="F203" i="12"/>
  <c r="H286" i="25"/>
  <c r="F285" i="39"/>
  <c r="F285" i="12"/>
  <c r="H98" i="25"/>
  <c r="F97" i="39"/>
  <c r="F97" i="12"/>
  <c r="H273" i="25"/>
  <c r="F272" i="39"/>
  <c r="F272" i="12"/>
  <c r="H226" i="25"/>
  <c r="F225" i="39"/>
  <c r="F225" i="12"/>
  <c r="H54" i="25"/>
  <c r="F53" i="39"/>
  <c r="F53" i="12"/>
  <c r="H292" i="25"/>
  <c r="F291" i="39"/>
  <c r="F291" i="12"/>
  <c r="H20" i="25"/>
  <c r="F19" i="39"/>
  <c r="F19" i="12"/>
  <c r="H263" i="25"/>
  <c r="F262" i="39"/>
  <c r="F262" i="12"/>
  <c r="H30" i="25"/>
  <c r="F29" i="39"/>
  <c r="F29" i="12"/>
  <c r="H149" i="25"/>
  <c r="F148" i="39"/>
  <c r="F148" i="12"/>
  <c r="H296" i="25"/>
  <c r="F295" i="39"/>
  <c r="F295" i="12"/>
  <c r="H23" i="25"/>
  <c r="F22" i="39"/>
  <c r="F22" i="12"/>
  <c r="H267" i="25"/>
  <c r="F266" i="39"/>
  <c r="F266" i="12"/>
  <c r="H165" i="25"/>
  <c r="F164" i="39"/>
  <c r="F164" i="12"/>
  <c r="H136" i="25"/>
  <c r="F135" i="12"/>
  <c r="F135" i="39"/>
  <c r="H221" i="25"/>
  <c r="F220" i="39"/>
  <c r="F220" i="12"/>
  <c r="H228" i="25"/>
  <c r="F227" i="39"/>
  <c r="F227" i="12"/>
  <c r="H225" i="25"/>
  <c r="F224" i="39"/>
  <c r="F224" i="12"/>
  <c r="H278" i="25"/>
  <c r="F277" i="39"/>
  <c r="F277" i="12"/>
  <c r="H313" i="25"/>
  <c r="F312" i="39"/>
  <c r="F312" i="12"/>
  <c r="H249" i="25"/>
  <c r="F248" i="39"/>
  <c r="F248" i="12"/>
  <c r="H121" i="25"/>
  <c r="F120" i="39"/>
  <c r="F120" i="12"/>
  <c r="H107" i="25"/>
  <c r="F106" i="39"/>
  <c r="F106" i="12"/>
  <c r="H67" i="25"/>
  <c r="F66" i="39"/>
  <c r="F66" i="12"/>
  <c r="H63" i="25"/>
  <c r="F62" i="39"/>
  <c r="F62" i="12"/>
  <c r="H109" i="25"/>
  <c r="F108" i="12"/>
  <c r="F108" i="39"/>
  <c r="H103" i="25"/>
  <c r="F102" i="39"/>
  <c r="F102" i="12"/>
  <c r="H111" i="25"/>
  <c r="F110" i="39"/>
  <c r="F110" i="12"/>
  <c r="H243" i="25"/>
  <c r="F242" i="39"/>
  <c r="F242" i="12"/>
  <c r="H200" i="25"/>
  <c r="F199" i="39"/>
  <c r="F199" i="12"/>
  <c r="H151" i="25"/>
  <c r="F150" i="39"/>
  <c r="F150" i="12"/>
  <c r="H213" i="25"/>
  <c r="F212" i="39"/>
  <c r="F212" i="12"/>
  <c r="H131" i="25"/>
  <c r="F130" i="39"/>
  <c r="F130" i="12"/>
  <c r="H142" i="25"/>
  <c r="F141" i="39"/>
  <c r="F141" i="12"/>
  <c r="H9" i="25"/>
  <c r="F8" i="39"/>
  <c r="F8" i="12"/>
  <c r="H144" i="25"/>
  <c r="F143" i="12"/>
  <c r="F143" i="39"/>
  <c r="H27" i="25"/>
  <c r="F26" i="39"/>
  <c r="F26" i="12"/>
  <c r="H12" i="25"/>
  <c r="F11" i="39"/>
  <c r="F11" i="12"/>
  <c r="H255" i="25"/>
  <c r="F254" i="39"/>
  <c r="F254" i="12"/>
  <c r="H66" i="25"/>
  <c r="F65" i="39"/>
  <c r="F65" i="12"/>
  <c r="H88" i="25"/>
  <c r="F87" i="39"/>
  <c r="F87" i="12"/>
  <c r="H44" i="25"/>
  <c r="F43" i="12"/>
  <c r="F43" i="39"/>
  <c r="H170" i="25"/>
  <c r="F169" i="39"/>
  <c r="F169" i="12"/>
  <c r="H189" i="25"/>
  <c r="F188" i="39"/>
  <c r="F188" i="12"/>
  <c r="H110" i="25"/>
  <c r="F109" i="39"/>
  <c r="F109" i="12"/>
  <c r="H258" i="25"/>
  <c r="F257" i="39"/>
  <c r="F257" i="12"/>
  <c r="H161" i="25"/>
  <c r="F160" i="39"/>
  <c r="F160" i="12"/>
  <c r="H18" i="25"/>
  <c r="F17" i="39"/>
  <c r="F17" i="12"/>
  <c r="H261" i="25"/>
  <c r="F260" i="39"/>
  <c r="F260" i="12"/>
  <c r="H164" i="25"/>
  <c r="F163" i="39"/>
  <c r="F163" i="12"/>
  <c r="H209" i="25"/>
  <c r="F208" i="39"/>
  <c r="F208" i="12"/>
  <c r="H256" i="25"/>
  <c r="F255" i="39"/>
  <c r="F255" i="12"/>
  <c r="H307" i="25"/>
  <c r="F306" i="39"/>
  <c r="F306" i="12"/>
  <c r="H241" i="25"/>
  <c r="F240" i="39"/>
  <c r="F240" i="12"/>
  <c r="H229" i="25"/>
  <c r="F228" i="39"/>
  <c r="F228" i="12"/>
  <c r="H282" i="25"/>
  <c r="F281" i="39"/>
  <c r="F281" i="12"/>
  <c r="H10" i="25"/>
  <c r="F9" i="39"/>
  <c r="F9" i="12"/>
  <c r="H39" i="25"/>
  <c r="F38" i="39"/>
  <c r="F38" i="12"/>
  <c r="H56" i="25"/>
  <c r="F55" i="39"/>
  <c r="F55" i="12"/>
  <c r="F33" i="39"/>
  <c r="H34" i="25"/>
  <c r="F33" i="12"/>
  <c r="H270" i="25"/>
  <c r="F269" i="39"/>
  <c r="F269" i="12"/>
  <c r="H14" i="25"/>
  <c r="F13" i="39"/>
  <c r="F13" i="12"/>
  <c r="H257" i="25"/>
  <c r="F256" i="39"/>
  <c r="F256" i="12"/>
  <c r="H216" i="25"/>
  <c r="F215" i="39"/>
  <c r="F215" i="12"/>
  <c r="H169" i="25"/>
  <c r="F168" i="39"/>
  <c r="F168" i="12"/>
  <c r="H276" i="25"/>
  <c r="F275" i="39"/>
  <c r="F275" i="12"/>
  <c r="H311" i="25"/>
  <c r="F310" i="39"/>
  <c r="F310" i="12"/>
  <c r="H247" i="25"/>
  <c r="F246" i="39"/>
  <c r="F246" i="12"/>
  <c r="H106" i="25"/>
  <c r="F105" i="39"/>
  <c r="F105" i="12"/>
  <c r="H185" i="25"/>
  <c r="F184" i="39"/>
  <c r="F184" i="12"/>
  <c r="H280" i="25"/>
  <c r="F279" i="39"/>
  <c r="F279" i="12"/>
  <c r="H8" i="25"/>
  <c r="F7" i="39"/>
  <c r="F7" i="12"/>
  <c r="H251" i="25"/>
  <c r="F250" i="39"/>
  <c r="F250" i="12"/>
  <c r="H133" i="25"/>
  <c r="F132" i="39"/>
  <c r="F132" i="12"/>
  <c r="H15" i="25"/>
  <c r="F14" i="39"/>
  <c r="F14" i="12"/>
  <c r="H118" i="25"/>
  <c r="F117" i="39"/>
  <c r="F117" i="12"/>
  <c r="H84" i="25"/>
  <c r="F83" i="12"/>
  <c r="F83" i="39"/>
  <c r="H96" i="25"/>
  <c r="F95" i="12"/>
  <c r="F95" i="39"/>
  <c r="H262" i="25"/>
  <c r="F261" i="39"/>
  <c r="F261" i="12"/>
  <c r="H297" i="25"/>
  <c r="F296" i="39"/>
  <c r="F296" i="12"/>
  <c r="H105" i="25"/>
  <c r="F104" i="39"/>
  <c r="F104" i="12"/>
  <c r="H83" i="25"/>
  <c r="F82" i="39"/>
  <c r="F82" i="12"/>
  <c r="H85" i="25"/>
  <c r="F84" i="39"/>
  <c r="F84" i="12"/>
  <c r="H117" i="25"/>
  <c r="F116" i="39"/>
  <c r="F116" i="12"/>
  <c r="H115" i="25"/>
  <c r="F114" i="39"/>
  <c r="F114" i="12"/>
  <c r="H71" i="25"/>
  <c r="F70" i="39"/>
  <c r="F70" i="12"/>
  <c r="H81" i="25"/>
  <c r="F80" i="39"/>
  <c r="F80" i="12"/>
  <c r="H73" i="25"/>
  <c r="F72" i="39"/>
  <c r="F72" i="12"/>
  <c r="H75" i="25"/>
  <c r="F74" i="39"/>
  <c r="F74" i="12"/>
  <c r="H218" i="25"/>
  <c r="F217" i="39"/>
  <c r="F217" i="12"/>
  <c r="P5" i="11"/>
  <c r="C7" i="34" l="1"/>
  <c r="C9" i="34" s="1"/>
  <c r="F314" i="39"/>
  <c r="H315" i="25"/>
  <c r="D7" i="34" l="1"/>
  <c r="D9" i="34" s="1"/>
  <c r="E15" i="34" s="1"/>
  <c r="F314" i="12"/>
  <c r="E21" i="34" l="1"/>
  <c r="I21" i="34" s="1"/>
  <c r="E10" i="12" s="1"/>
  <c r="G10" i="12" s="1"/>
  <c r="H10" i="12" s="1"/>
  <c r="E25" i="34"/>
  <c r="I25" i="34" s="1"/>
  <c r="E14" i="12" s="1"/>
  <c r="G14" i="12" s="1"/>
  <c r="H14" i="12" s="1"/>
  <c r="E29" i="34"/>
  <c r="I29" i="34" s="1"/>
  <c r="E18" i="12" s="1"/>
  <c r="G18" i="12" s="1"/>
  <c r="H18" i="12" s="1"/>
  <c r="E45" i="34"/>
  <c r="I45" i="34" s="1"/>
  <c r="E34" i="12" s="1"/>
  <c r="G34" i="12" s="1"/>
  <c r="H34" i="12" s="1"/>
  <c r="E53" i="34"/>
  <c r="I53" i="34" s="1"/>
  <c r="E42" i="12" s="1"/>
  <c r="G42" i="12" s="1"/>
  <c r="H42" i="12" s="1"/>
  <c r="E57" i="34"/>
  <c r="I57" i="34" s="1"/>
  <c r="E46" i="12" s="1"/>
  <c r="G46" i="12" s="1"/>
  <c r="H46" i="12" s="1"/>
  <c r="E65" i="34"/>
  <c r="I65" i="34" s="1"/>
  <c r="E54" i="12" s="1"/>
  <c r="G54" i="12" s="1"/>
  <c r="H54" i="12" s="1"/>
  <c r="E17" i="34"/>
  <c r="I17" i="34" s="1"/>
  <c r="E6" i="12" s="1"/>
  <c r="G6" i="12" s="1"/>
  <c r="H6" i="12" s="1"/>
  <c r="E33" i="34"/>
  <c r="I33" i="34" s="1"/>
  <c r="E22" i="12" s="1"/>
  <c r="G22" i="12" s="1"/>
  <c r="H22" i="12" s="1"/>
  <c r="E37" i="34"/>
  <c r="I37" i="34" s="1"/>
  <c r="E26" i="12" s="1"/>
  <c r="G26" i="12" s="1"/>
  <c r="H26" i="12" s="1"/>
  <c r="E41" i="34"/>
  <c r="I41" i="34" s="1"/>
  <c r="E30" i="12" s="1"/>
  <c r="G30" i="12" s="1"/>
  <c r="H30" i="12" s="1"/>
  <c r="E49" i="34"/>
  <c r="I49" i="34" s="1"/>
  <c r="E38" i="12" s="1"/>
  <c r="G38" i="12" s="1"/>
  <c r="H38" i="12" s="1"/>
  <c r="E61" i="34"/>
  <c r="I61" i="34" s="1"/>
  <c r="E50" i="12" s="1"/>
  <c r="G50" i="12" s="1"/>
  <c r="H50" i="12" s="1"/>
  <c r="E69" i="34"/>
  <c r="I69" i="34" s="1"/>
  <c r="E58" i="12" s="1"/>
  <c r="G58" i="12" s="1"/>
  <c r="H58" i="12" s="1"/>
  <c r="E20" i="34"/>
  <c r="I20" i="34" s="1"/>
  <c r="E9" i="12" s="1"/>
  <c r="G9" i="12" s="1"/>
  <c r="H9" i="12" s="1"/>
  <c r="E24" i="34"/>
  <c r="I24" i="34" s="1"/>
  <c r="E13" i="12" s="1"/>
  <c r="G13" i="12" s="1"/>
  <c r="H13" i="12" s="1"/>
  <c r="E28" i="34"/>
  <c r="I28" i="34" s="1"/>
  <c r="E17" i="12" s="1"/>
  <c r="G17" i="12" s="1"/>
  <c r="H17" i="12" s="1"/>
  <c r="E32" i="34"/>
  <c r="I32" i="34" s="1"/>
  <c r="E21" i="12" s="1"/>
  <c r="G21" i="12" s="1"/>
  <c r="H21" i="12" s="1"/>
  <c r="E36" i="34"/>
  <c r="I36" i="34" s="1"/>
  <c r="E25" i="12" s="1"/>
  <c r="G25" i="12" s="1"/>
  <c r="H25" i="12" s="1"/>
  <c r="E40" i="34"/>
  <c r="I40" i="34" s="1"/>
  <c r="E29" i="12" s="1"/>
  <c r="G29" i="12" s="1"/>
  <c r="H29" i="12" s="1"/>
  <c r="E44" i="34"/>
  <c r="I44" i="34" s="1"/>
  <c r="E33" i="12" s="1"/>
  <c r="G33" i="12" s="1"/>
  <c r="H33" i="12" s="1"/>
  <c r="E48" i="34"/>
  <c r="I48" i="34" s="1"/>
  <c r="E37" i="12" s="1"/>
  <c r="G37" i="12" s="1"/>
  <c r="H37" i="12" s="1"/>
  <c r="E23" i="34"/>
  <c r="I23" i="34" s="1"/>
  <c r="E12" i="12" s="1"/>
  <c r="G12" i="12" s="1"/>
  <c r="H12" i="12" s="1"/>
  <c r="E27" i="34"/>
  <c r="I27" i="34" s="1"/>
  <c r="E16" i="12" s="1"/>
  <c r="G16" i="12" s="1"/>
  <c r="H16" i="12" s="1"/>
  <c r="E31" i="34"/>
  <c r="I31" i="34" s="1"/>
  <c r="E20" i="12" s="1"/>
  <c r="G20" i="12" s="1"/>
  <c r="H20" i="12" s="1"/>
  <c r="E35" i="34"/>
  <c r="I35" i="34" s="1"/>
  <c r="E24" i="12" s="1"/>
  <c r="G24" i="12" s="1"/>
  <c r="H24" i="12" s="1"/>
  <c r="E43" i="34"/>
  <c r="I43" i="34" s="1"/>
  <c r="E32" i="12" s="1"/>
  <c r="G32" i="12" s="1"/>
  <c r="H32" i="12" s="1"/>
  <c r="E47" i="34"/>
  <c r="I47" i="34" s="1"/>
  <c r="E36" i="12" s="1"/>
  <c r="G36" i="12" s="1"/>
  <c r="H36" i="12" s="1"/>
  <c r="E64" i="34"/>
  <c r="I64" i="34" s="1"/>
  <c r="E53" i="12" s="1"/>
  <c r="G53" i="12" s="1"/>
  <c r="H53" i="12" s="1"/>
  <c r="E77" i="34"/>
  <c r="I77" i="34" s="1"/>
  <c r="E66" i="12" s="1"/>
  <c r="G66" i="12" s="1"/>
  <c r="H66" i="12" s="1"/>
  <c r="E85" i="34"/>
  <c r="I85" i="34" s="1"/>
  <c r="E74" i="12" s="1"/>
  <c r="G74" i="12" s="1"/>
  <c r="H74" i="12" s="1"/>
  <c r="E93" i="34"/>
  <c r="I93" i="34" s="1"/>
  <c r="E82" i="12" s="1"/>
  <c r="G82" i="12" s="1"/>
  <c r="H82" i="12" s="1"/>
  <c r="E101" i="34"/>
  <c r="I101" i="34" s="1"/>
  <c r="E90" i="12" s="1"/>
  <c r="G90" i="12" s="1"/>
  <c r="H90" i="12" s="1"/>
  <c r="E109" i="34"/>
  <c r="I109" i="34" s="1"/>
  <c r="E98" i="12" s="1"/>
  <c r="G98" i="12" s="1"/>
  <c r="H98" i="12" s="1"/>
  <c r="E117" i="34"/>
  <c r="I117" i="34" s="1"/>
  <c r="E106" i="12" s="1"/>
  <c r="G106" i="12" s="1"/>
  <c r="H106" i="12" s="1"/>
  <c r="E125" i="34"/>
  <c r="I125" i="34" s="1"/>
  <c r="E114" i="12" s="1"/>
  <c r="G114" i="12" s="1"/>
  <c r="H114" i="12" s="1"/>
  <c r="E133" i="34"/>
  <c r="I133" i="34" s="1"/>
  <c r="E122" i="12" s="1"/>
  <c r="G122" i="12" s="1"/>
  <c r="H122" i="12" s="1"/>
  <c r="E141" i="34"/>
  <c r="I141" i="34" s="1"/>
  <c r="E130" i="12" s="1"/>
  <c r="G130" i="12" s="1"/>
  <c r="H130" i="12" s="1"/>
  <c r="E149" i="34"/>
  <c r="I149" i="34" s="1"/>
  <c r="E138" i="12" s="1"/>
  <c r="G138" i="12" s="1"/>
  <c r="H138" i="12" s="1"/>
  <c r="E157" i="34"/>
  <c r="I157" i="34" s="1"/>
  <c r="E146" i="12" s="1"/>
  <c r="G146" i="12" s="1"/>
  <c r="H146" i="12" s="1"/>
  <c r="E165" i="34"/>
  <c r="I165" i="34" s="1"/>
  <c r="E154" i="12" s="1"/>
  <c r="G154" i="12" s="1"/>
  <c r="H154" i="12" s="1"/>
  <c r="E173" i="34"/>
  <c r="I173" i="34" s="1"/>
  <c r="E162" i="12" s="1"/>
  <c r="G162" i="12" s="1"/>
  <c r="H162" i="12" s="1"/>
  <c r="E181" i="34"/>
  <c r="I181" i="34" s="1"/>
  <c r="E170" i="12" s="1"/>
  <c r="G170" i="12" s="1"/>
  <c r="H170" i="12" s="1"/>
  <c r="E189" i="34"/>
  <c r="I189" i="34" s="1"/>
  <c r="E178" i="12" s="1"/>
  <c r="G178" i="12" s="1"/>
  <c r="H178" i="12" s="1"/>
  <c r="E197" i="34"/>
  <c r="I197" i="34" s="1"/>
  <c r="E186" i="12" s="1"/>
  <c r="G186" i="12" s="1"/>
  <c r="H186" i="12" s="1"/>
  <c r="E205" i="34"/>
  <c r="I205" i="34" s="1"/>
  <c r="E194" i="12" s="1"/>
  <c r="G194" i="12" s="1"/>
  <c r="H194" i="12" s="1"/>
  <c r="E213" i="34"/>
  <c r="I213" i="34" s="1"/>
  <c r="E202" i="12" s="1"/>
  <c r="G202" i="12" s="1"/>
  <c r="H202" i="12" s="1"/>
  <c r="E221" i="34"/>
  <c r="I221" i="34" s="1"/>
  <c r="E210" i="12" s="1"/>
  <c r="G210" i="12" s="1"/>
  <c r="H210" i="12" s="1"/>
  <c r="E229" i="34"/>
  <c r="I229" i="34" s="1"/>
  <c r="E218" i="12" s="1"/>
  <c r="G218" i="12" s="1"/>
  <c r="H218" i="12" s="1"/>
  <c r="E237" i="34"/>
  <c r="I237" i="34" s="1"/>
  <c r="E226" i="12" s="1"/>
  <c r="G226" i="12" s="1"/>
  <c r="H226" i="12" s="1"/>
  <c r="E245" i="34"/>
  <c r="I245" i="34" s="1"/>
  <c r="E234" i="12" s="1"/>
  <c r="G234" i="12" s="1"/>
  <c r="H234" i="12" s="1"/>
  <c r="E253" i="34"/>
  <c r="I253" i="34" s="1"/>
  <c r="E242" i="12" s="1"/>
  <c r="G242" i="12" s="1"/>
  <c r="H242" i="12" s="1"/>
  <c r="E261" i="34"/>
  <c r="I261" i="34" s="1"/>
  <c r="E250" i="12" s="1"/>
  <c r="G250" i="12" s="1"/>
  <c r="H250" i="12" s="1"/>
  <c r="E269" i="34"/>
  <c r="I269" i="34" s="1"/>
  <c r="E258" i="12" s="1"/>
  <c r="G258" i="12" s="1"/>
  <c r="H258" i="12" s="1"/>
  <c r="E277" i="34"/>
  <c r="I277" i="34" s="1"/>
  <c r="E266" i="12" s="1"/>
  <c r="G266" i="12" s="1"/>
  <c r="H266" i="12" s="1"/>
  <c r="E285" i="34"/>
  <c r="I285" i="34" s="1"/>
  <c r="E274" i="12" s="1"/>
  <c r="G274" i="12" s="1"/>
  <c r="H274" i="12" s="1"/>
  <c r="E293" i="34"/>
  <c r="I293" i="34" s="1"/>
  <c r="E282" i="12" s="1"/>
  <c r="G282" i="12" s="1"/>
  <c r="H282" i="12" s="1"/>
  <c r="E301" i="34"/>
  <c r="I301" i="34" s="1"/>
  <c r="E290" i="12" s="1"/>
  <c r="G290" i="12" s="1"/>
  <c r="H290" i="12" s="1"/>
  <c r="E309" i="34"/>
  <c r="I309" i="34" s="1"/>
  <c r="E298" i="12" s="1"/>
  <c r="G298" i="12" s="1"/>
  <c r="H298" i="12" s="1"/>
  <c r="E317" i="34"/>
  <c r="I317" i="34" s="1"/>
  <c r="E306" i="12" s="1"/>
  <c r="G306" i="12" s="1"/>
  <c r="H306" i="12" s="1"/>
  <c r="E63" i="34"/>
  <c r="I63" i="34" s="1"/>
  <c r="E52" i="12" s="1"/>
  <c r="G52" i="12" s="1"/>
  <c r="H52" i="12" s="1"/>
  <c r="E68" i="34"/>
  <c r="I68" i="34" s="1"/>
  <c r="E57" i="12" s="1"/>
  <c r="G57" i="12" s="1"/>
  <c r="H57" i="12" s="1"/>
  <c r="E51" i="34"/>
  <c r="I51" i="34" s="1"/>
  <c r="E40" i="12" s="1"/>
  <c r="G40" i="12" s="1"/>
  <c r="H40" i="12" s="1"/>
  <c r="E56" i="34"/>
  <c r="I56" i="34" s="1"/>
  <c r="E45" i="12" s="1"/>
  <c r="G45" i="12" s="1"/>
  <c r="H45" i="12" s="1"/>
  <c r="E76" i="34"/>
  <c r="I76" i="34" s="1"/>
  <c r="E65" i="12" s="1"/>
  <c r="G65" i="12" s="1"/>
  <c r="H65" i="12" s="1"/>
  <c r="E84" i="34"/>
  <c r="I84" i="34" s="1"/>
  <c r="E73" i="12" s="1"/>
  <c r="G73" i="12" s="1"/>
  <c r="H73" i="12" s="1"/>
  <c r="E92" i="34"/>
  <c r="I92" i="34" s="1"/>
  <c r="E81" i="12" s="1"/>
  <c r="G81" i="12" s="1"/>
  <c r="H81" i="12" s="1"/>
  <c r="E100" i="34"/>
  <c r="I100" i="34" s="1"/>
  <c r="E89" i="12" s="1"/>
  <c r="G89" i="12" s="1"/>
  <c r="H89" i="12" s="1"/>
  <c r="E108" i="34"/>
  <c r="I108" i="34" s="1"/>
  <c r="E97" i="12" s="1"/>
  <c r="G97" i="12" s="1"/>
  <c r="H97" i="12" s="1"/>
  <c r="E116" i="34"/>
  <c r="I116" i="34" s="1"/>
  <c r="E105" i="12" s="1"/>
  <c r="G105" i="12" s="1"/>
  <c r="H105" i="12" s="1"/>
  <c r="E124" i="34"/>
  <c r="I124" i="34" s="1"/>
  <c r="E113" i="12" s="1"/>
  <c r="G113" i="12" s="1"/>
  <c r="H113" i="12" s="1"/>
  <c r="E132" i="34"/>
  <c r="I132" i="34" s="1"/>
  <c r="E121" i="12" s="1"/>
  <c r="G121" i="12" s="1"/>
  <c r="H121" i="12" s="1"/>
  <c r="E140" i="34"/>
  <c r="I140" i="34" s="1"/>
  <c r="E129" i="12" s="1"/>
  <c r="G129" i="12" s="1"/>
  <c r="H129" i="12" s="1"/>
  <c r="E148" i="34"/>
  <c r="I148" i="34" s="1"/>
  <c r="E137" i="12" s="1"/>
  <c r="G137" i="12" s="1"/>
  <c r="H137" i="12" s="1"/>
  <c r="E156" i="34"/>
  <c r="I156" i="34" s="1"/>
  <c r="E145" i="12" s="1"/>
  <c r="G145" i="12" s="1"/>
  <c r="H145" i="12" s="1"/>
  <c r="E164" i="34"/>
  <c r="I164" i="34" s="1"/>
  <c r="E153" i="12" s="1"/>
  <c r="G153" i="12" s="1"/>
  <c r="H153" i="12" s="1"/>
  <c r="E172" i="34"/>
  <c r="I172" i="34" s="1"/>
  <c r="E161" i="12" s="1"/>
  <c r="G161" i="12" s="1"/>
  <c r="H161" i="12" s="1"/>
  <c r="E180" i="34"/>
  <c r="I180" i="34" s="1"/>
  <c r="E169" i="12" s="1"/>
  <c r="G169" i="12" s="1"/>
  <c r="H169" i="12" s="1"/>
  <c r="E188" i="34"/>
  <c r="I188" i="34" s="1"/>
  <c r="E177" i="12" s="1"/>
  <c r="G177" i="12" s="1"/>
  <c r="H177" i="12" s="1"/>
  <c r="E196" i="34"/>
  <c r="I196" i="34" s="1"/>
  <c r="E185" i="12" s="1"/>
  <c r="G185" i="12" s="1"/>
  <c r="H185" i="12" s="1"/>
  <c r="E204" i="34"/>
  <c r="I204" i="34" s="1"/>
  <c r="E193" i="12" s="1"/>
  <c r="G193" i="12" s="1"/>
  <c r="H193" i="12" s="1"/>
  <c r="E212" i="34"/>
  <c r="I212" i="34" s="1"/>
  <c r="E201" i="12" s="1"/>
  <c r="G201" i="12" s="1"/>
  <c r="H201" i="12" s="1"/>
  <c r="E220" i="34"/>
  <c r="I220" i="34" s="1"/>
  <c r="E209" i="12" s="1"/>
  <c r="G209" i="12" s="1"/>
  <c r="H209" i="12" s="1"/>
  <c r="E228" i="34"/>
  <c r="I228" i="34" s="1"/>
  <c r="E217" i="12" s="1"/>
  <c r="G217" i="12" s="1"/>
  <c r="H217" i="12" s="1"/>
  <c r="E236" i="34"/>
  <c r="I236" i="34" s="1"/>
  <c r="E225" i="12" s="1"/>
  <c r="G225" i="12" s="1"/>
  <c r="H225" i="12" s="1"/>
  <c r="E244" i="34"/>
  <c r="I244" i="34" s="1"/>
  <c r="E233" i="12" s="1"/>
  <c r="G233" i="12" s="1"/>
  <c r="H233" i="12" s="1"/>
  <c r="E252" i="34"/>
  <c r="I252" i="34" s="1"/>
  <c r="E241" i="12" s="1"/>
  <c r="G241" i="12" s="1"/>
  <c r="H241" i="12" s="1"/>
  <c r="E260" i="34"/>
  <c r="I260" i="34" s="1"/>
  <c r="E249" i="12" s="1"/>
  <c r="G249" i="12" s="1"/>
  <c r="H249" i="12" s="1"/>
  <c r="E268" i="34"/>
  <c r="I268" i="34" s="1"/>
  <c r="E257" i="12" s="1"/>
  <c r="G257" i="12" s="1"/>
  <c r="H257" i="12" s="1"/>
  <c r="E276" i="34"/>
  <c r="I276" i="34" s="1"/>
  <c r="E265" i="12" s="1"/>
  <c r="G265" i="12" s="1"/>
  <c r="H265" i="12" s="1"/>
  <c r="E284" i="34"/>
  <c r="I284" i="34" s="1"/>
  <c r="E273" i="12" s="1"/>
  <c r="G273" i="12" s="1"/>
  <c r="H273" i="12" s="1"/>
  <c r="E292" i="34"/>
  <c r="I292" i="34" s="1"/>
  <c r="E281" i="12" s="1"/>
  <c r="G281" i="12" s="1"/>
  <c r="H281" i="12" s="1"/>
  <c r="E300" i="34"/>
  <c r="I300" i="34" s="1"/>
  <c r="E289" i="12" s="1"/>
  <c r="G289" i="12" s="1"/>
  <c r="H289" i="12" s="1"/>
  <c r="E308" i="34"/>
  <c r="I308" i="34" s="1"/>
  <c r="E297" i="12" s="1"/>
  <c r="G297" i="12" s="1"/>
  <c r="H297" i="12" s="1"/>
  <c r="E316" i="34"/>
  <c r="I316" i="34" s="1"/>
  <c r="E305" i="12" s="1"/>
  <c r="G305" i="12" s="1"/>
  <c r="H305" i="12" s="1"/>
  <c r="E324" i="34"/>
  <c r="I324" i="34" s="1"/>
  <c r="E313" i="12" s="1"/>
  <c r="G313" i="12" s="1"/>
  <c r="H313" i="12" s="1"/>
  <c r="E60" i="34"/>
  <c r="I60" i="34" s="1"/>
  <c r="E49" i="12" s="1"/>
  <c r="G49" i="12" s="1"/>
  <c r="H49" i="12" s="1"/>
  <c r="E265" i="34"/>
  <c r="I265" i="34" s="1"/>
  <c r="E254" i="12" s="1"/>
  <c r="G254" i="12" s="1"/>
  <c r="H254" i="12" s="1"/>
  <c r="E297" i="34"/>
  <c r="I297" i="34" s="1"/>
  <c r="E286" i="12" s="1"/>
  <c r="G286" i="12" s="1"/>
  <c r="H286" i="12" s="1"/>
  <c r="E81" i="34"/>
  <c r="I81" i="34" s="1"/>
  <c r="E70" i="12" s="1"/>
  <c r="G70" i="12" s="1"/>
  <c r="H70" i="12" s="1"/>
  <c r="E113" i="34"/>
  <c r="I113" i="34" s="1"/>
  <c r="E102" i="12" s="1"/>
  <c r="G102" i="12" s="1"/>
  <c r="H102" i="12" s="1"/>
  <c r="E145" i="34"/>
  <c r="I145" i="34" s="1"/>
  <c r="E134" i="12" s="1"/>
  <c r="G134" i="12" s="1"/>
  <c r="H134" i="12" s="1"/>
  <c r="E177" i="34"/>
  <c r="I177" i="34" s="1"/>
  <c r="E166" i="12" s="1"/>
  <c r="G166" i="12" s="1"/>
  <c r="H166" i="12" s="1"/>
  <c r="E209" i="34"/>
  <c r="I209" i="34" s="1"/>
  <c r="E198" i="12" s="1"/>
  <c r="G198" i="12" s="1"/>
  <c r="H198" i="12" s="1"/>
  <c r="E52" i="34"/>
  <c r="I52" i="34" s="1"/>
  <c r="E41" i="12" s="1"/>
  <c r="G41" i="12" s="1"/>
  <c r="H41" i="12" s="1"/>
  <c r="E249" i="34"/>
  <c r="I249" i="34" s="1"/>
  <c r="E238" i="12" s="1"/>
  <c r="G238" i="12" s="1"/>
  <c r="H238" i="12" s="1"/>
  <c r="E321" i="34"/>
  <c r="I321" i="34" s="1"/>
  <c r="E310" i="12" s="1"/>
  <c r="G310" i="12" s="1"/>
  <c r="H310" i="12" s="1"/>
  <c r="E217" i="34"/>
  <c r="I217" i="34" s="1"/>
  <c r="E206" i="12" s="1"/>
  <c r="G206" i="12" s="1"/>
  <c r="H206" i="12" s="1"/>
  <c r="E273" i="34"/>
  <c r="I273" i="34" s="1"/>
  <c r="E262" i="12" s="1"/>
  <c r="G262" i="12" s="1"/>
  <c r="H262" i="12" s="1"/>
  <c r="E305" i="34"/>
  <c r="I305" i="34" s="1"/>
  <c r="E294" i="12" s="1"/>
  <c r="G294" i="12" s="1"/>
  <c r="H294" i="12" s="1"/>
  <c r="E89" i="34"/>
  <c r="I89" i="34" s="1"/>
  <c r="E78" i="12" s="1"/>
  <c r="G78" i="12" s="1"/>
  <c r="H78" i="12" s="1"/>
  <c r="E121" i="34"/>
  <c r="I121" i="34" s="1"/>
  <c r="E110" i="12" s="1"/>
  <c r="G110" i="12" s="1"/>
  <c r="H110" i="12" s="1"/>
  <c r="E153" i="34"/>
  <c r="I153" i="34" s="1"/>
  <c r="E142" i="12" s="1"/>
  <c r="G142" i="12" s="1"/>
  <c r="H142" i="12" s="1"/>
  <c r="E185" i="34"/>
  <c r="I185" i="34" s="1"/>
  <c r="E174" i="12" s="1"/>
  <c r="G174" i="12" s="1"/>
  <c r="H174" i="12" s="1"/>
  <c r="E225" i="34"/>
  <c r="I225" i="34" s="1"/>
  <c r="E214" i="12" s="1"/>
  <c r="G214" i="12" s="1"/>
  <c r="H214" i="12" s="1"/>
  <c r="E296" i="34"/>
  <c r="I296" i="34" s="1"/>
  <c r="E285" i="12" s="1"/>
  <c r="G285" i="12" s="1"/>
  <c r="H285" i="12" s="1"/>
  <c r="E73" i="34"/>
  <c r="I73" i="34" s="1"/>
  <c r="E62" i="12" s="1"/>
  <c r="G62" i="12" s="1"/>
  <c r="H62" i="12" s="1"/>
  <c r="E105" i="34"/>
  <c r="I105" i="34" s="1"/>
  <c r="E94" i="12" s="1"/>
  <c r="G94" i="12" s="1"/>
  <c r="H94" i="12" s="1"/>
  <c r="E137" i="34"/>
  <c r="I137" i="34" s="1"/>
  <c r="E126" i="12" s="1"/>
  <c r="G126" i="12" s="1"/>
  <c r="H126" i="12" s="1"/>
  <c r="E169" i="34"/>
  <c r="I169" i="34" s="1"/>
  <c r="E158" i="12" s="1"/>
  <c r="G158" i="12" s="1"/>
  <c r="H158" i="12" s="1"/>
  <c r="E201" i="34"/>
  <c r="I201" i="34" s="1"/>
  <c r="E190" i="12" s="1"/>
  <c r="G190" i="12" s="1"/>
  <c r="H190" i="12" s="1"/>
  <c r="E257" i="34"/>
  <c r="I257" i="34" s="1"/>
  <c r="E246" i="12" s="1"/>
  <c r="G246" i="12" s="1"/>
  <c r="H246" i="12" s="1"/>
  <c r="E280" i="34"/>
  <c r="I280" i="34" s="1"/>
  <c r="E269" i="12" s="1"/>
  <c r="G269" i="12" s="1"/>
  <c r="H269" i="12" s="1"/>
  <c r="E312" i="34"/>
  <c r="I312" i="34" s="1"/>
  <c r="E301" i="12" s="1"/>
  <c r="G301" i="12" s="1"/>
  <c r="H301" i="12" s="1"/>
  <c r="E233" i="34"/>
  <c r="I233" i="34" s="1"/>
  <c r="E222" i="12" s="1"/>
  <c r="G222" i="12" s="1"/>
  <c r="H222" i="12" s="1"/>
  <c r="E281" i="34"/>
  <c r="I281" i="34" s="1"/>
  <c r="E270" i="12" s="1"/>
  <c r="G270" i="12" s="1"/>
  <c r="H270" i="12" s="1"/>
  <c r="E313" i="34"/>
  <c r="I313" i="34" s="1"/>
  <c r="E302" i="12" s="1"/>
  <c r="G302" i="12" s="1"/>
  <c r="H302" i="12" s="1"/>
  <c r="E97" i="34"/>
  <c r="I97" i="34" s="1"/>
  <c r="E86" i="12" s="1"/>
  <c r="G86" i="12" s="1"/>
  <c r="H86" i="12" s="1"/>
  <c r="E129" i="34"/>
  <c r="I129" i="34" s="1"/>
  <c r="E118" i="12" s="1"/>
  <c r="G118" i="12" s="1"/>
  <c r="H118" i="12" s="1"/>
  <c r="E161" i="34"/>
  <c r="I161" i="34" s="1"/>
  <c r="E150" i="12" s="1"/>
  <c r="G150" i="12" s="1"/>
  <c r="H150" i="12" s="1"/>
  <c r="E193" i="34"/>
  <c r="I193" i="34" s="1"/>
  <c r="E182" i="12" s="1"/>
  <c r="G182" i="12" s="1"/>
  <c r="H182" i="12" s="1"/>
  <c r="E241" i="34"/>
  <c r="I241" i="34" s="1"/>
  <c r="E230" i="12" s="1"/>
  <c r="G230" i="12" s="1"/>
  <c r="H230" i="12" s="1"/>
  <c r="E272" i="34"/>
  <c r="I272" i="34" s="1"/>
  <c r="E261" i="12" s="1"/>
  <c r="G261" i="12" s="1"/>
  <c r="H261" i="12" s="1"/>
  <c r="E304" i="34"/>
  <c r="I304" i="34" s="1"/>
  <c r="E293" i="12" s="1"/>
  <c r="G293" i="12" s="1"/>
  <c r="H293" i="12" s="1"/>
  <c r="E289" i="34"/>
  <c r="I289" i="34" s="1"/>
  <c r="E278" i="12" s="1"/>
  <c r="G278" i="12" s="1"/>
  <c r="H278" i="12" s="1"/>
  <c r="E320" i="34"/>
  <c r="I320" i="34" s="1"/>
  <c r="E309" i="12" s="1"/>
  <c r="G309" i="12" s="1"/>
  <c r="H309" i="12" s="1"/>
  <c r="E154" i="34"/>
  <c r="I154" i="34" s="1"/>
  <c r="E143" i="12" s="1"/>
  <c r="G143" i="12" s="1"/>
  <c r="H143" i="12" s="1"/>
  <c r="E291" i="34"/>
  <c r="I291" i="34" s="1"/>
  <c r="E280" i="12" s="1"/>
  <c r="G280" i="12" s="1"/>
  <c r="H280" i="12" s="1"/>
  <c r="E243" i="34"/>
  <c r="I243" i="34" s="1"/>
  <c r="E232" i="12" s="1"/>
  <c r="G232" i="12" s="1"/>
  <c r="H232" i="12" s="1"/>
  <c r="E163" i="34"/>
  <c r="I163" i="34" s="1"/>
  <c r="E152" i="12" s="1"/>
  <c r="G152" i="12" s="1"/>
  <c r="H152" i="12" s="1"/>
  <c r="E99" i="34"/>
  <c r="I99" i="34" s="1"/>
  <c r="E88" i="12" s="1"/>
  <c r="G88" i="12" s="1"/>
  <c r="H88" i="12" s="1"/>
  <c r="E303" i="34"/>
  <c r="I303" i="34" s="1"/>
  <c r="E292" i="12" s="1"/>
  <c r="G292" i="12" s="1"/>
  <c r="H292" i="12" s="1"/>
  <c r="E234" i="34"/>
  <c r="I234" i="34" s="1"/>
  <c r="E223" i="12" s="1"/>
  <c r="G223" i="12" s="1"/>
  <c r="H223" i="12" s="1"/>
  <c r="E270" i="34"/>
  <c r="I270" i="34" s="1"/>
  <c r="E259" i="12" s="1"/>
  <c r="G259" i="12" s="1"/>
  <c r="H259" i="12" s="1"/>
  <c r="E231" i="34"/>
  <c r="I231" i="34" s="1"/>
  <c r="E220" i="12" s="1"/>
  <c r="G220" i="12" s="1"/>
  <c r="H220" i="12" s="1"/>
  <c r="E159" i="34"/>
  <c r="I159" i="34" s="1"/>
  <c r="E148" i="12" s="1"/>
  <c r="G148" i="12" s="1"/>
  <c r="H148" i="12" s="1"/>
  <c r="E95" i="34"/>
  <c r="I95" i="34" s="1"/>
  <c r="E84" i="12" s="1"/>
  <c r="G84" i="12" s="1"/>
  <c r="H84" i="12" s="1"/>
  <c r="E226" i="34"/>
  <c r="I226" i="34" s="1"/>
  <c r="E215" i="12" s="1"/>
  <c r="G215" i="12" s="1"/>
  <c r="H215" i="12" s="1"/>
  <c r="E90" i="34"/>
  <c r="I90" i="34" s="1"/>
  <c r="E79" i="12" s="1"/>
  <c r="G79" i="12" s="1"/>
  <c r="H79" i="12" s="1"/>
  <c r="E290" i="34"/>
  <c r="I290" i="34" s="1"/>
  <c r="E279" i="12" s="1"/>
  <c r="G279" i="12" s="1"/>
  <c r="H279" i="12" s="1"/>
  <c r="E248" i="34"/>
  <c r="I248" i="34" s="1"/>
  <c r="E237" i="12" s="1"/>
  <c r="G237" i="12" s="1"/>
  <c r="H237" i="12" s="1"/>
  <c r="E179" i="34"/>
  <c r="I179" i="34" s="1"/>
  <c r="E168" i="12" s="1"/>
  <c r="G168" i="12" s="1"/>
  <c r="H168" i="12" s="1"/>
  <c r="E115" i="34"/>
  <c r="I115" i="34" s="1"/>
  <c r="E104" i="12" s="1"/>
  <c r="G104" i="12" s="1"/>
  <c r="H104" i="12" s="1"/>
  <c r="E39" i="34"/>
  <c r="I39" i="34" s="1"/>
  <c r="E28" i="12" s="1"/>
  <c r="G28" i="12" s="1"/>
  <c r="H28" i="12" s="1"/>
  <c r="E102" i="34"/>
  <c r="I102" i="34" s="1"/>
  <c r="E91" i="12" s="1"/>
  <c r="G91" i="12" s="1"/>
  <c r="H91" i="12" s="1"/>
  <c r="E150" i="34"/>
  <c r="I150" i="34" s="1"/>
  <c r="E139" i="12" s="1"/>
  <c r="G139" i="12" s="1"/>
  <c r="H139" i="12" s="1"/>
  <c r="E78" i="34"/>
  <c r="I78" i="34" s="1"/>
  <c r="E67" i="12" s="1"/>
  <c r="G67" i="12" s="1"/>
  <c r="H67" i="12" s="1"/>
  <c r="E232" i="34"/>
  <c r="I232" i="34" s="1"/>
  <c r="E221" i="12" s="1"/>
  <c r="G221" i="12" s="1"/>
  <c r="H221" i="12" s="1"/>
  <c r="E199" i="34"/>
  <c r="I199" i="34" s="1"/>
  <c r="E188" i="12" s="1"/>
  <c r="G188" i="12" s="1"/>
  <c r="H188" i="12" s="1"/>
  <c r="E71" i="34"/>
  <c r="I71" i="34" s="1"/>
  <c r="E60" i="12" s="1"/>
  <c r="G60" i="12" s="1"/>
  <c r="H60" i="12" s="1"/>
  <c r="E315" i="34"/>
  <c r="I315" i="34" s="1"/>
  <c r="E304" i="12" s="1"/>
  <c r="G304" i="12" s="1"/>
  <c r="H304" i="12" s="1"/>
  <c r="E138" i="34"/>
  <c r="I138" i="34" s="1"/>
  <c r="E127" i="12" s="1"/>
  <c r="G127" i="12" s="1"/>
  <c r="H127" i="12" s="1"/>
  <c r="E54" i="34"/>
  <c r="I54" i="34" s="1"/>
  <c r="E43" i="12" s="1"/>
  <c r="G43" i="12" s="1"/>
  <c r="H43" i="12" s="1"/>
  <c r="E151" i="34"/>
  <c r="I151" i="34" s="1"/>
  <c r="E140" i="12" s="1"/>
  <c r="G140" i="12" s="1"/>
  <c r="H140" i="12" s="1"/>
  <c r="E251" i="34"/>
  <c r="I251" i="34" s="1"/>
  <c r="E240" i="12" s="1"/>
  <c r="G240" i="12" s="1"/>
  <c r="H240" i="12" s="1"/>
  <c r="E131" i="34"/>
  <c r="I131" i="34" s="1"/>
  <c r="E120" i="12" s="1"/>
  <c r="G120" i="12" s="1"/>
  <c r="H120" i="12" s="1"/>
  <c r="E302" i="34"/>
  <c r="I302" i="34" s="1"/>
  <c r="E291" i="12" s="1"/>
  <c r="G291" i="12" s="1"/>
  <c r="H291" i="12" s="1"/>
  <c r="E127" i="34"/>
  <c r="I127" i="34" s="1"/>
  <c r="E116" i="12" s="1"/>
  <c r="G116" i="12" s="1"/>
  <c r="H116" i="12" s="1"/>
  <c r="E322" i="34"/>
  <c r="I322" i="34" s="1"/>
  <c r="E311" i="12" s="1"/>
  <c r="G311" i="12" s="1"/>
  <c r="H311" i="12" s="1"/>
  <c r="E147" i="34"/>
  <c r="I147" i="34" s="1"/>
  <c r="E136" i="12" s="1"/>
  <c r="G136" i="12" s="1"/>
  <c r="H136" i="12" s="1"/>
  <c r="E288" i="34"/>
  <c r="I288" i="34" s="1"/>
  <c r="E277" i="12" s="1"/>
  <c r="G277" i="12" s="1"/>
  <c r="H277" i="12" s="1"/>
  <c r="E128" i="34"/>
  <c r="I128" i="34" s="1"/>
  <c r="E117" i="12" s="1"/>
  <c r="G117" i="12" s="1"/>
  <c r="H117" i="12" s="1"/>
  <c r="E278" i="34"/>
  <c r="I278" i="34" s="1"/>
  <c r="E267" i="12" s="1"/>
  <c r="G267" i="12" s="1"/>
  <c r="H267" i="12" s="1"/>
  <c r="E216" i="34"/>
  <c r="I216" i="34" s="1"/>
  <c r="E205" i="12" s="1"/>
  <c r="G205" i="12" s="1"/>
  <c r="H205" i="12" s="1"/>
  <c r="E152" i="34"/>
  <c r="I152" i="34" s="1"/>
  <c r="E141" i="12" s="1"/>
  <c r="G141" i="12" s="1"/>
  <c r="H141" i="12" s="1"/>
  <c r="E88" i="34"/>
  <c r="I88" i="34" s="1"/>
  <c r="E77" i="12" s="1"/>
  <c r="G77" i="12" s="1"/>
  <c r="H77" i="12" s="1"/>
  <c r="E299" i="34"/>
  <c r="I299" i="34" s="1"/>
  <c r="E288" i="12" s="1"/>
  <c r="G288" i="12" s="1"/>
  <c r="H288" i="12" s="1"/>
  <c r="E30" i="34"/>
  <c r="I30" i="34" s="1"/>
  <c r="E19" i="12" s="1"/>
  <c r="G19" i="12" s="1"/>
  <c r="H19" i="12" s="1"/>
  <c r="E266" i="34"/>
  <c r="I266" i="34" s="1"/>
  <c r="E255" i="12" s="1"/>
  <c r="G255" i="12" s="1"/>
  <c r="H255" i="12" s="1"/>
  <c r="E227" i="34"/>
  <c r="I227" i="34" s="1"/>
  <c r="E216" i="12" s="1"/>
  <c r="G216" i="12" s="1"/>
  <c r="H216" i="12" s="1"/>
  <c r="E155" i="34"/>
  <c r="I155" i="34" s="1"/>
  <c r="E144" i="12" s="1"/>
  <c r="G144" i="12" s="1"/>
  <c r="H144" i="12" s="1"/>
  <c r="E91" i="34"/>
  <c r="I91" i="34" s="1"/>
  <c r="E80" i="12" s="1"/>
  <c r="G80" i="12" s="1"/>
  <c r="H80" i="12" s="1"/>
  <c r="E192" i="34"/>
  <c r="I192" i="34" s="1"/>
  <c r="E181" i="12" s="1"/>
  <c r="G181" i="12" s="1"/>
  <c r="H181" i="12" s="1"/>
  <c r="E79" i="34"/>
  <c r="I79" i="34" s="1"/>
  <c r="E68" i="12" s="1"/>
  <c r="G68" i="12" s="1"/>
  <c r="H68" i="12" s="1"/>
  <c r="E279" i="34"/>
  <c r="I279" i="34" s="1"/>
  <c r="E268" i="12" s="1"/>
  <c r="G268" i="12" s="1"/>
  <c r="H268" i="12" s="1"/>
  <c r="E246" i="34"/>
  <c r="I246" i="34" s="1"/>
  <c r="E235" i="12" s="1"/>
  <c r="G235" i="12" s="1"/>
  <c r="H235" i="12" s="1"/>
  <c r="E168" i="34"/>
  <c r="I168" i="34" s="1"/>
  <c r="E157" i="12" s="1"/>
  <c r="G157" i="12" s="1"/>
  <c r="H157" i="12" s="1"/>
  <c r="E104" i="34"/>
  <c r="I104" i="34" s="1"/>
  <c r="E93" i="12" s="1"/>
  <c r="G93" i="12" s="1"/>
  <c r="H93" i="12" s="1"/>
  <c r="E22" i="34"/>
  <c r="I22" i="34" s="1"/>
  <c r="E11" i="12" s="1"/>
  <c r="G11" i="12" s="1"/>
  <c r="H11" i="12" s="1"/>
  <c r="E86" i="34"/>
  <c r="I86" i="34" s="1"/>
  <c r="E75" i="12" s="1"/>
  <c r="G75" i="12" s="1"/>
  <c r="H75" i="12" s="1"/>
  <c r="E118" i="34"/>
  <c r="I118" i="34" s="1"/>
  <c r="E107" i="12" s="1"/>
  <c r="G107" i="12" s="1"/>
  <c r="H107" i="12" s="1"/>
  <c r="E70" i="34"/>
  <c r="I70" i="34" s="1"/>
  <c r="E59" i="12" s="1"/>
  <c r="G59" i="12" s="1"/>
  <c r="H59" i="12" s="1"/>
  <c r="E107" i="34"/>
  <c r="I107" i="34" s="1"/>
  <c r="E96" i="12" s="1"/>
  <c r="G96" i="12" s="1"/>
  <c r="H96" i="12" s="1"/>
  <c r="E135" i="34"/>
  <c r="I135" i="34" s="1"/>
  <c r="E124" i="12" s="1"/>
  <c r="G124" i="12" s="1"/>
  <c r="H124" i="12" s="1"/>
  <c r="E282" i="34"/>
  <c r="I282" i="34" s="1"/>
  <c r="E271" i="12" s="1"/>
  <c r="G271" i="12" s="1"/>
  <c r="H271" i="12" s="1"/>
  <c r="E202" i="34"/>
  <c r="I202" i="34" s="1"/>
  <c r="E191" i="12" s="1"/>
  <c r="G191" i="12" s="1"/>
  <c r="H191" i="12" s="1"/>
  <c r="E74" i="34"/>
  <c r="I74" i="34" s="1"/>
  <c r="E63" i="12" s="1"/>
  <c r="G63" i="12" s="1"/>
  <c r="H63" i="12" s="1"/>
  <c r="E256" i="34"/>
  <c r="I256" i="34" s="1"/>
  <c r="E245" i="12" s="1"/>
  <c r="G245" i="12" s="1"/>
  <c r="H245" i="12" s="1"/>
  <c r="E87" i="34"/>
  <c r="I87" i="34" s="1"/>
  <c r="E76" i="12" s="1"/>
  <c r="G76" i="12" s="1"/>
  <c r="H76" i="12" s="1"/>
  <c r="E58" i="34"/>
  <c r="I58" i="34" s="1"/>
  <c r="E47" i="12" s="1"/>
  <c r="G47" i="12" s="1"/>
  <c r="H47" i="12" s="1"/>
  <c r="E34" i="34"/>
  <c r="I34" i="34" s="1"/>
  <c r="E23" i="12" s="1"/>
  <c r="G23" i="12" s="1"/>
  <c r="H23" i="12" s="1"/>
  <c r="E323" i="34"/>
  <c r="I323" i="34" s="1"/>
  <c r="E312" i="12" s="1"/>
  <c r="G312" i="12" s="1"/>
  <c r="H312" i="12" s="1"/>
  <c r="E50" i="34"/>
  <c r="I50" i="34" s="1"/>
  <c r="E39" i="12" s="1"/>
  <c r="G39" i="12" s="1"/>
  <c r="H39" i="12" s="1"/>
  <c r="E191" i="34"/>
  <c r="I191" i="34" s="1"/>
  <c r="E180" i="12" s="1"/>
  <c r="G180" i="12" s="1"/>
  <c r="H180" i="12" s="1"/>
  <c r="E143" i="34"/>
  <c r="I143" i="34" s="1"/>
  <c r="E132" i="12" s="1"/>
  <c r="G132" i="12" s="1"/>
  <c r="H132" i="12" s="1"/>
  <c r="E254" i="34"/>
  <c r="I254" i="34" s="1"/>
  <c r="E243" i="12" s="1"/>
  <c r="G243" i="12" s="1"/>
  <c r="H243" i="12" s="1"/>
  <c r="E83" i="34"/>
  <c r="I83" i="34" s="1"/>
  <c r="E72" i="12" s="1"/>
  <c r="G72" i="12" s="1"/>
  <c r="H72" i="12" s="1"/>
  <c r="E42" i="34"/>
  <c r="I42" i="34" s="1"/>
  <c r="E31" i="12" s="1"/>
  <c r="G31" i="12" s="1"/>
  <c r="H31" i="12" s="1"/>
  <c r="E19" i="34"/>
  <c r="I19" i="34" s="1"/>
  <c r="E8" i="12" s="1"/>
  <c r="G8" i="12" s="1"/>
  <c r="H8" i="12" s="1"/>
  <c r="E263" i="34"/>
  <c r="I263" i="34" s="1"/>
  <c r="E252" i="12" s="1"/>
  <c r="G252" i="12" s="1"/>
  <c r="H252" i="12" s="1"/>
  <c r="E122" i="34"/>
  <c r="I122" i="34" s="1"/>
  <c r="E111" i="12" s="1"/>
  <c r="G111" i="12" s="1"/>
  <c r="H111" i="12" s="1"/>
  <c r="E274" i="34"/>
  <c r="I274" i="34" s="1"/>
  <c r="E263" i="12" s="1"/>
  <c r="G263" i="12" s="1"/>
  <c r="H263" i="12" s="1"/>
  <c r="E210" i="34"/>
  <c r="I210" i="34" s="1"/>
  <c r="E199" i="12" s="1"/>
  <c r="G199" i="12" s="1"/>
  <c r="H199" i="12" s="1"/>
  <c r="E146" i="34"/>
  <c r="I146" i="34" s="1"/>
  <c r="E135" i="12" s="1"/>
  <c r="G135" i="12" s="1"/>
  <c r="H135" i="12" s="1"/>
  <c r="E82" i="34"/>
  <c r="I82" i="34" s="1"/>
  <c r="E71" i="12" s="1"/>
  <c r="G71" i="12" s="1"/>
  <c r="H71" i="12" s="1"/>
  <c r="E286" i="34"/>
  <c r="I286" i="34" s="1"/>
  <c r="E275" i="12" s="1"/>
  <c r="G275" i="12" s="1"/>
  <c r="H275" i="12" s="1"/>
  <c r="E319" i="34"/>
  <c r="I319" i="34" s="1"/>
  <c r="E308" i="12" s="1"/>
  <c r="G308" i="12" s="1"/>
  <c r="H308" i="12" s="1"/>
  <c r="E239" i="34"/>
  <c r="I239" i="34" s="1"/>
  <c r="E228" i="12" s="1"/>
  <c r="G228" i="12" s="1"/>
  <c r="H228" i="12" s="1"/>
  <c r="E208" i="34"/>
  <c r="I208" i="34" s="1"/>
  <c r="E197" i="12" s="1"/>
  <c r="G197" i="12" s="1"/>
  <c r="H197" i="12" s="1"/>
  <c r="E144" i="34"/>
  <c r="I144" i="34" s="1"/>
  <c r="E133" i="12" s="1"/>
  <c r="G133" i="12" s="1"/>
  <c r="H133" i="12" s="1"/>
  <c r="E80" i="34"/>
  <c r="I80" i="34" s="1"/>
  <c r="E69" i="12" s="1"/>
  <c r="G69" i="12" s="1"/>
  <c r="H69" i="12" s="1"/>
  <c r="E175" i="34"/>
  <c r="I175" i="34" s="1"/>
  <c r="E164" i="12" s="1"/>
  <c r="G164" i="12" s="1"/>
  <c r="H164" i="12" s="1"/>
  <c r="E75" i="34"/>
  <c r="I75" i="34" s="1"/>
  <c r="E64" i="12" s="1"/>
  <c r="G64" i="12" s="1"/>
  <c r="H64" i="12" s="1"/>
  <c r="E275" i="34"/>
  <c r="I275" i="34" s="1"/>
  <c r="E264" i="12" s="1"/>
  <c r="G264" i="12" s="1"/>
  <c r="H264" i="12" s="1"/>
  <c r="E242" i="34"/>
  <c r="I242" i="34" s="1"/>
  <c r="E231" i="12" s="1"/>
  <c r="G231" i="12" s="1"/>
  <c r="H231" i="12" s="1"/>
  <c r="E162" i="34"/>
  <c r="I162" i="34" s="1"/>
  <c r="E151" i="12" s="1"/>
  <c r="G151" i="12" s="1"/>
  <c r="H151" i="12" s="1"/>
  <c r="E98" i="34"/>
  <c r="I98" i="34" s="1"/>
  <c r="E87" i="12" s="1"/>
  <c r="G87" i="12" s="1"/>
  <c r="H87" i="12" s="1"/>
  <c r="E206" i="34"/>
  <c r="I206" i="34" s="1"/>
  <c r="E195" i="12" s="1"/>
  <c r="G195" i="12" s="1"/>
  <c r="H195" i="12" s="1"/>
  <c r="E46" i="34"/>
  <c r="I46" i="34" s="1"/>
  <c r="E35" i="12" s="1"/>
  <c r="G35" i="12" s="1"/>
  <c r="H35" i="12" s="1"/>
  <c r="E38" i="34"/>
  <c r="I38" i="34" s="1"/>
  <c r="E27" i="12" s="1"/>
  <c r="G27" i="12" s="1"/>
  <c r="H27" i="12" s="1"/>
  <c r="E66" i="34"/>
  <c r="I66" i="34" s="1"/>
  <c r="E55" i="12" s="1"/>
  <c r="G55" i="12" s="1"/>
  <c r="H55" i="12" s="1"/>
  <c r="E255" i="34"/>
  <c r="I255" i="34" s="1"/>
  <c r="E244" i="12" s="1"/>
  <c r="G244" i="12" s="1"/>
  <c r="H244" i="12" s="1"/>
  <c r="E235" i="34"/>
  <c r="I235" i="34" s="1"/>
  <c r="E224" i="12" s="1"/>
  <c r="G224" i="12" s="1"/>
  <c r="H224" i="12" s="1"/>
  <c r="E171" i="34"/>
  <c r="I171" i="34" s="1"/>
  <c r="E160" i="12" s="1"/>
  <c r="G160" i="12" s="1"/>
  <c r="H160" i="12" s="1"/>
  <c r="E215" i="34"/>
  <c r="I215" i="34" s="1"/>
  <c r="E204" i="12" s="1"/>
  <c r="G204" i="12" s="1"/>
  <c r="H204" i="12" s="1"/>
  <c r="E190" i="34"/>
  <c r="I190" i="34" s="1"/>
  <c r="E179" i="12" s="1"/>
  <c r="G179" i="12" s="1"/>
  <c r="H179" i="12" s="1"/>
  <c r="E222" i="34"/>
  <c r="I222" i="34" s="1"/>
  <c r="E211" i="12" s="1"/>
  <c r="G211" i="12" s="1"/>
  <c r="H211" i="12" s="1"/>
  <c r="E207" i="34"/>
  <c r="I207" i="34" s="1"/>
  <c r="E196" i="12" s="1"/>
  <c r="G196" i="12" s="1"/>
  <c r="H196" i="12" s="1"/>
  <c r="E195" i="34"/>
  <c r="I195" i="34" s="1"/>
  <c r="E184" i="12" s="1"/>
  <c r="G184" i="12" s="1"/>
  <c r="H184" i="12" s="1"/>
  <c r="E271" i="34"/>
  <c r="I271" i="34" s="1"/>
  <c r="E260" i="12" s="1"/>
  <c r="G260" i="12" s="1"/>
  <c r="H260" i="12" s="1"/>
  <c r="E67" i="34"/>
  <c r="I67" i="34" s="1"/>
  <c r="E56" i="12" s="1"/>
  <c r="G56" i="12" s="1"/>
  <c r="H56" i="12" s="1"/>
  <c r="E59" i="34"/>
  <c r="I59" i="34" s="1"/>
  <c r="E48" i="12" s="1"/>
  <c r="G48" i="12" s="1"/>
  <c r="H48" i="12" s="1"/>
  <c r="E211" i="34"/>
  <c r="I211" i="34" s="1"/>
  <c r="E200" i="12" s="1"/>
  <c r="G200" i="12" s="1"/>
  <c r="H200" i="12" s="1"/>
  <c r="E174" i="34"/>
  <c r="I174" i="34" s="1"/>
  <c r="E163" i="12" s="1"/>
  <c r="G163" i="12" s="1"/>
  <c r="H163" i="12" s="1"/>
  <c r="E198" i="34"/>
  <c r="I198" i="34" s="1"/>
  <c r="E187" i="12" s="1"/>
  <c r="G187" i="12" s="1"/>
  <c r="H187" i="12" s="1"/>
  <c r="E203" i="34"/>
  <c r="I203" i="34" s="1"/>
  <c r="E192" i="12" s="1"/>
  <c r="G192" i="12" s="1"/>
  <c r="H192" i="12" s="1"/>
  <c r="E310" i="34"/>
  <c r="I310" i="34" s="1"/>
  <c r="E299" i="12" s="1"/>
  <c r="G299" i="12" s="1"/>
  <c r="H299" i="12" s="1"/>
  <c r="E224" i="34"/>
  <c r="I224" i="34" s="1"/>
  <c r="E213" i="12" s="1"/>
  <c r="G213" i="12" s="1"/>
  <c r="H213" i="12" s="1"/>
  <c r="E184" i="34"/>
  <c r="I184" i="34" s="1"/>
  <c r="E173" i="12" s="1"/>
  <c r="G173" i="12" s="1"/>
  <c r="H173" i="12" s="1"/>
  <c r="E120" i="34"/>
  <c r="I120" i="34" s="1"/>
  <c r="E109" i="12" s="1"/>
  <c r="G109" i="12" s="1"/>
  <c r="H109" i="12" s="1"/>
  <c r="E18" i="34"/>
  <c r="I18" i="34" s="1"/>
  <c r="E7" i="12" s="1"/>
  <c r="G7" i="12" s="1"/>
  <c r="H7" i="12" s="1"/>
  <c r="E267" i="34"/>
  <c r="I267" i="34" s="1"/>
  <c r="E256" i="12" s="1"/>
  <c r="G256" i="12" s="1"/>
  <c r="H256" i="12" s="1"/>
  <c r="E298" i="34"/>
  <c r="I298" i="34" s="1"/>
  <c r="E287" i="12" s="1"/>
  <c r="G287" i="12" s="1"/>
  <c r="H287" i="12" s="1"/>
  <c r="E264" i="34"/>
  <c r="I264" i="34" s="1"/>
  <c r="E253" i="12" s="1"/>
  <c r="G253" i="12" s="1"/>
  <c r="H253" i="12" s="1"/>
  <c r="E187" i="34"/>
  <c r="I187" i="34" s="1"/>
  <c r="E176" i="12" s="1"/>
  <c r="G176" i="12" s="1"/>
  <c r="H176" i="12" s="1"/>
  <c r="E123" i="34"/>
  <c r="I123" i="34" s="1"/>
  <c r="E112" i="12" s="1"/>
  <c r="G112" i="12" s="1"/>
  <c r="H112" i="12" s="1"/>
  <c r="E55" i="34"/>
  <c r="I55" i="34" s="1"/>
  <c r="E44" i="12" s="1"/>
  <c r="G44" i="12" s="1"/>
  <c r="H44" i="12" s="1"/>
  <c r="E139" i="34"/>
  <c r="I139" i="34" s="1"/>
  <c r="E128" i="12" s="1"/>
  <c r="G128" i="12" s="1"/>
  <c r="H128" i="12" s="1"/>
  <c r="E311" i="34"/>
  <c r="I311" i="34" s="1"/>
  <c r="E300" i="12" s="1"/>
  <c r="G300" i="12" s="1"/>
  <c r="H300" i="12" s="1"/>
  <c r="E250" i="34"/>
  <c r="I250" i="34" s="1"/>
  <c r="E239" i="12" s="1"/>
  <c r="G239" i="12" s="1"/>
  <c r="H239" i="12" s="1"/>
  <c r="E200" i="34"/>
  <c r="I200" i="34" s="1"/>
  <c r="E189" i="12" s="1"/>
  <c r="G189" i="12" s="1"/>
  <c r="H189" i="12" s="1"/>
  <c r="E136" i="34"/>
  <c r="I136" i="34" s="1"/>
  <c r="E125" i="12" s="1"/>
  <c r="G125" i="12" s="1"/>
  <c r="H125" i="12" s="1"/>
  <c r="E72" i="34"/>
  <c r="I72" i="34" s="1"/>
  <c r="E61" i="12" s="1"/>
  <c r="G61" i="12" s="1"/>
  <c r="H61" i="12" s="1"/>
  <c r="E166" i="34"/>
  <c r="I166" i="34" s="1"/>
  <c r="E155" i="12" s="1"/>
  <c r="G155" i="12" s="1"/>
  <c r="H155" i="12" s="1"/>
  <c r="E214" i="34"/>
  <c r="I214" i="34" s="1"/>
  <c r="E203" i="12" s="1"/>
  <c r="G203" i="12" s="1"/>
  <c r="H203" i="12" s="1"/>
  <c r="E142" i="34"/>
  <c r="I142" i="34" s="1"/>
  <c r="E131" i="12" s="1"/>
  <c r="G131" i="12" s="1"/>
  <c r="H131" i="12" s="1"/>
  <c r="E186" i="34"/>
  <c r="I186" i="34" s="1"/>
  <c r="E175" i="12" s="1"/>
  <c r="G175" i="12" s="1"/>
  <c r="H175" i="12" s="1"/>
  <c r="E306" i="34"/>
  <c r="I306" i="34" s="1"/>
  <c r="E295" i="12" s="1"/>
  <c r="G295" i="12" s="1"/>
  <c r="H295" i="12" s="1"/>
  <c r="E218" i="34"/>
  <c r="I218" i="34" s="1"/>
  <c r="E207" i="12" s="1"/>
  <c r="G207" i="12" s="1"/>
  <c r="H207" i="12" s="1"/>
  <c r="E178" i="34"/>
  <c r="I178" i="34" s="1"/>
  <c r="E167" i="12" s="1"/>
  <c r="G167" i="12" s="1"/>
  <c r="H167" i="12" s="1"/>
  <c r="E114" i="34"/>
  <c r="I114" i="34" s="1"/>
  <c r="E103" i="12" s="1"/>
  <c r="G103" i="12" s="1"/>
  <c r="H103" i="12" s="1"/>
  <c r="E318" i="34"/>
  <c r="I318" i="34" s="1"/>
  <c r="E307" i="12" s="1"/>
  <c r="G307" i="12" s="1"/>
  <c r="H307" i="12" s="1"/>
  <c r="E240" i="34"/>
  <c r="I240" i="34" s="1"/>
  <c r="E229" i="12" s="1"/>
  <c r="G229" i="12" s="1"/>
  <c r="H229" i="12" s="1"/>
  <c r="E287" i="34"/>
  <c r="I287" i="34" s="1"/>
  <c r="E276" i="12" s="1"/>
  <c r="G276" i="12" s="1"/>
  <c r="H276" i="12" s="1"/>
  <c r="E262" i="34"/>
  <c r="I262" i="34" s="1"/>
  <c r="E251" i="12" s="1"/>
  <c r="G251" i="12" s="1"/>
  <c r="H251" i="12" s="1"/>
  <c r="E176" i="34"/>
  <c r="I176" i="34" s="1"/>
  <c r="E165" i="12" s="1"/>
  <c r="G165" i="12" s="1"/>
  <c r="H165" i="12" s="1"/>
  <c r="E112" i="34"/>
  <c r="I112" i="34" s="1"/>
  <c r="E101" i="12" s="1"/>
  <c r="G101" i="12" s="1"/>
  <c r="H101" i="12" s="1"/>
  <c r="E259" i="34"/>
  <c r="I259" i="34" s="1"/>
  <c r="E248" i="12" s="1"/>
  <c r="G248" i="12" s="1"/>
  <c r="H248" i="12" s="1"/>
  <c r="E111" i="34"/>
  <c r="I111" i="34" s="1"/>
  <c r="E100" i="12" s="1"/>
  <c r="G100" i="12" s="1"/>
  <c r="H100" i="12" s="1"/>
  <c r="E307" i="34"/>
  <c r="I307" i="34" s="1"/>
  <c r="E296" i="12" s="1"/>
  <c r="G296" i="12" s="1"/>
  <c r="H296" i="12" s="1"/>
  <c r="E223" i="34"/>
  <c r="I223" i="34" s="1"/>
  <c r="E212" i="12" s="1"/>
  <c r="G212" i="12" s="1"/>
  <c r="H212" i="12" s="1"/>
  <c r="E194" i="34"/>
  <c r="I194" i="34" s="1"/>
  <c r="E183" i="12" s="1"/>
  <c r="G183" i="12" s="1"/>
  <c r="H183" i="12" s="1"/>
  <c r="E130" i="34"/>
  <c r="I130" i="34" s="1"/>
  <c r="E119" i="12" s="1"/>
  <c r="G119" i="12" s="1"/>
  <c r="H119" i="12" s="1"/>
  <c r="E26" i="34"/>
  <c r="I26" i="34" s="1"/>
  <c r="E15" i="12" s="1"/>
  <c r="G15" i="12" s="1"/>
  <c r="H15" i="12" s="1"/>
  <c r="E134" i="34"/>
  <c r="I134" i="34" s="1"/>
  <c r="E123" i="12" s="1"/>
  <c r="G123" i="12" s="1"/>
  <c r="H123" i="12" s="1"/>
  <c r="E182" i="34"/>
  <c r="I182" i="34" s="1"/>
  <c r="E171" i="12" s="1"/>
  <c r="G171" i="12" s="1"/>
  <c r="H171" i="12" s="1"/>
  <c r="E110" i="34"/>
  <c r="I110" i="34" s="1"/>
  <c r="E99" i="12" s="1"/>
  <c r="G99" i="12" s="1"/>
  <c r="H99" i="12" s="1"/>
  <c r="E160" i="34"/>
  <c r="I160" i="34" s="1"/>
  <c r="E149" i="12" s="1"/>
  <c r="G149" i="12" s="1"/>
  <c r="H149" i="12" s="1"/>
  <c r="E295" i="34"/>
  <c r="I295" i="34" s="1"/>
  <c r="E284" i="12" s="1"/>
  <c r="G284" i="12" s="1"/>
  <c r="H284" i="12" s="1"/>
  <c r="E247" i="34"/>
  <c r="I247" i="34" s="1"/>
  <c r="E236" i="12" s="1"/>
  <c r="G236" i="12" s="1"/>
  <c r="H236" i="12" s="1"/>
  <c r="E167" i="34"/>
  <c r="I167" i="34" s="1"/>
  <c r="E156" i="12" s="1"/>
  <c r="G156" i="12" s="1"/>
  <c r="H156" i="12" s="1"/>
  <c r="E103" i="34"/>
  <c r="I103" i="34" s="1"/>
  <c r="E92" i="12" s="1"/>
  <c r="G92" i="12" s="1"/>
  <c r="H92" i="12" s="1"/>
  <c r="E314" i="34"/>
  <c r="I314" i="34" s="1"/>
  <c r="E303" i="12" s="1"/>
  <c r="G303" i="12" s="1"/>
  <c r="H303" i="12" s="1"/>
  <c r="E238" i="34"/>
  <c r="I238" i="34" s="1"/>
  <c r="E227" i="12" s="1"/>
  <c r="G227" i="12" s="1"/>
  <c r="H227" i="12" s="1"/>
  <c r="E283" i="34"/>
  <c r="I283" i="34" s="1"/>
  <c r="E272" i="12" s="1"/>
  <c r="G272" i="12" s="1"/>
  <c r="H272" i="12" s="1"/>
  <c r="E258" i="34"/>
  <c r="I258" i="34" s="1"/>
  <c r="E247" i="12" s="1"/>
  <c r="G247" i="12" s="1"/>
  <c r="H247" i="12" s="1"/>
  <c r="E170" i="34"/>
  <c r="I170" i="34" s="1"/>
  <c r="E159" i="12" s="1"/>
  <c r="G159" i="12" s="1"/>
  <c r="H159" i="12" s="1"/>
  <c r="E106" i="34"/>
  <c r="I106" i="34" s="1"/>
  <c r="E95" i="12" s="1"/>
  <c r="G95" i="12" s="1"/>
  <c r="H95" i="12" s="1"/>
  <c r="E230" i="34"/>
  <c r="I230" i="34" s="1"/>
  <c r="E219" i="12" s="1"/>
  <c r="G219" i="12" s="1"/>
  <c r="H219" i="12" s="1"/>
  <c r="E96" i="34"/>
  <c r="I96" i="34" s="1"/>
  <c r="E85" i="12" s="1"/>
  <c r="G85" i="12" s="1"/>
  <c r="H85" i="12" s="1"/>
  <c r="E294" i="34"/>
  <c r="I294" i="34" s="1"/>
  <c r="E283" i="12" s="1"/>
  <c r="G283" i="12" s="1"/>
  <c r="H283" i="12" s="1"/>
  <c r="E219" i="34"/>
  <c r="I219" i="34" s="1"/>
  <c r="E208" i="12" s="1"/>
  <c r="G208" i="12" s="1"/>
  <c r="H208" i="12" s="1"/>
  <c r="E183" i="34"/>
  <c r="I183" i="34" s="1"/>
  <c r="E172" i="12" s="1"/>
  <c r="G172" i="12" s="1"/>
  <c r="H172" i="12" s="1"/>
  <c r="E119" i="34"/>
  <c r="I119" i="34" s="1"/>
  <c r="E108" i="12" s="1"/>
  <c r="G108" i="12" s="1"/>
  <c r="H108" i="12" s="1"/>
  <c r="E62" i="34"/>
  <c r="I62" i="34" s="1"/>
  <c r="E51" i="12" s="1"/>
  <c r="G51" i="12" s="1"/>
  <c r="H51" i="12" s="1"/>
  <c r="E126" i="34"/>
  <c r="I126" i="34" s="1"/>
  <c r="E115" i="12" s="1"/>
  <c r="G115" i="12" s="1"/>
  <c r="H115" i="12" s="1"/>
  <c r="E158" i="34"/>
  <c r="I158" i="34" s="1"/>
  <c r="E147" i="12" s="1"/>
  <c r="G147" i="12" s="1"/>
  <c r="H147" i="12" s="1"/>
  <c r="E94" i="34"/>
  <c r="I94" i="34" s="1"/>
  <c r="E83" i="12" s="1"/>
  <c r="G83" i="12" s="1"/>
  <c r="H83" i="12" s="1"/>
  <c r="E16" i="34"/>
  <c r="E252" i="39" l="1"/>
  <c r="G252" i="39" s="1"/>
  <c r="G253" i="25"/>
  <c r="G52" i="25"/>
  <c r="E51" i="39"/>
  <c r="G51" i="39" s="1"/>
  <c r="G150" i="25"/>
  <c r="E149" i="39"/>
  <c r="G149" i="39" s="1"/>
  <c r="G156" i="25"/>
  <c r="E155" i="39"/>
  <c r="G155" i="39" s="1"/>
  <c r="G245" i="25"/>
  <c r="E244" i="39"/>
  <c r="G244" i="39" s="1"/>
  <c r="G48" i="25"/>
  <c r="E47" i="39"/>
  <c r="G47" i="39" s="1"/>
  <c r="G117" i="25"/>
  <c r="E116" i="39"/>
  <c r="G116" i="39" s="1"/>
  <c r="G260" i="25"/>
  <c r="E259" i="39"/>
  <c r="G259" i="39" s="1"/>
  <c r="G159" i="25"/>
  <c r="E158" i="39"/>
  <c r="G158" i="39" s="1"/>
  <c r="G199" i="25"/>
  <c r="E198" i="39"/>
  <c r="G198" i="39" s="1"/>
  <c r="E313" i="39"/>
  <c r="G313" i="39" s="1"/>
  <c r="G314" i="25"/>
  <c r="G250" i="25"/>
  <c r="E249" i="39"/>
  <c r="G249" i="39" s="1"/>
  <c r="G186" i="25"/>
  <c r="E185" i="39"/>
  <c r="G185" i="39" s="1"/>
  <c r="G122" i="25"/>
  <c r="E121" i="39"/>
  <c r="G121" i="39" s="1"/>
  <c r="G275" i="25"/>
  <c r="E274" i="39"/>
  <c r="G274" i="39" s="1"/>
  <c r="G83" i="25"/>
  <c r="E82" i="39"/>
  <c r="G82" i="39" s="1"/>
  <c r="G17" i="25"/>
  <c r="E16" i="39"/>
  <c r="G16" i="39" s="1"/>
  <c r="G14" i="25"/>
  <c r="E13" i="39"/>
  <c r="G13" i="39" s="1"/>
  <c r="G7" i="25"/>
  <c r="E6" i="39"/>
  <c r="G6" i="39" s="1"/>
  <c r="G289" i="25"/>
  <c r="E288" i="39"/>
  <c r="G288" i="39" s="1"/>
  <c r="G247" i="25"/>
  <c r="E246" i="39"/>
  <c r="G246" i="39" s="1"/>
  <c r="G155" i="25"/>
  <c r="E154" i="39"/>
  <c r="G154" i="39" s="1"/>
  <c r="G160" i="25"/>
  <c r="E159" i="39"/>
  <c r="G159" i="39" s="1"/>
  <c r="G91" i="25"/>
  <c r="E90" i="39"/>
  <c r="G90" i="39" s="1"/>
  <c r="G50" i="25"/>
  <c r="E49" i="39"/>
  <c r="G49" i="39" s="1"/>
  <c r="G23" i="25"/>
  <c r="E22" i="39"/>
  <c r="G22" i="39" s="1"/>
  <c r="G173" i="25"/>
  <c r="E172" i="39"/>
  <c r="G172" i="39" s="1"/>
  <c r="G273" i="25"/>
  <c r="E272" i="39"/>
  <c r="G272" i="39" s="1"/>
  <c r="G100" i="25"/>
  <c r="E99" i="39"/>
  <c r="G99" i="39" s="1"/>
  <c r="G101" i="25"/>
  <c r="E100" i="39"/>
  <c r="G100" i="39" s="1"/>
  <c r="G104" i="25"/>
  <c r="E103" i="39"/>
  <c r="G103" i="39" s="1"/>
  <c r="G62" i="25"/>
  <c r="E61" i="39"/>
  <c r="G61" i="39" s="1"/>
  <c r="E176" i="39"/>
  <c r="G176" i="39" s="1"/>
  <c r="G177" i="25"/>
  <c r="E299" i="39"/>
  <c r="G299" i="39" s="1"/>
  <c r="G300" i="25"/>
  <c r="G185" i="25"/>
  <c r="E184" i="39"/>
  <c r="G184" i="39" s="1"/>
  <c r="G56" i="25"/>
  <c r="E55" i="39"/>
  <c r="G55" i="39" s="1"/>
  <c r="G65" i="25"/>
  <c r="E64" i="39"/>
  <c r="G64" i="39" s="1"/>
  <c r="G72" i="25"/>
  <c r="E71" i="39"/>
  <c r="G71" i="39" s="1"/>
  <c r="G73" i="25"/>
  <c r="E72" i="39"/>
  <c r="G72" i="39" s="1"/>
  <c r="G77" i="25"/>
  <c r="E76" i="39"/>
  <c r="G76" i="39" s="1"/>
  <c r="G108" i="25"/>
  <c r="E107" i="39"/>
  <c r="G107" i="39" s="1"/>
  <c r="G182" i="25"/>
  <c r="E181" i="39"/>
  <c r="G181" i="39" s="1"/>
  <c r="G142" i="25"/>
  <c r="E141" i="39"/>
  <c r="G141" i="39" s="1"/>
  <c r="G292" i="25"/>
  <c r="E291" i="39"/>
  <c r="G291" i="39" s="1"/>
  <c r="G189" i="25"/>
  <c r="E188" i="39"/>
  <c r="G188" i="39" s="1"/>
  <c r="G238" i="25"/>
  <c r="E237" i="39"/>
  <c r="G237" i="39" s="1"/>
  <c r="G224" i="25"/>
  <c r="E223" i="39"/>
  <c r="G223" i="39" s="1"/>
  <c r="G279" i="25"/>
  <c r="E278" i="39"/>
  <c r="G278" i="39" s="1"/>
  <c r="G303" i="25"/>
  <c r="E302" i="39"/>
  <c r="G302" i="39" s="1"/>
  <c r="G127" i="25"/>
  <c r="E126" i="39"/>
  <c r="G126" i="39" s="1"/>
  <c r="G79" i="25"/>
  <c r="E78" i="39"/>
  <c r="G78" i="39" s="1"/>
  <c r="G167" i="25"/>
  <c r="E166" i="39"/>
  <c r="G166" i="39" s="1"/>
  <c r="G306" i="25"/>
  <c r="E305" i="39"/>
  <c r="G305" i="39" s="1"/>
  <c r="G242" i="25"/>
  <c r="E241" i="39"/>
  <c r="G241" i="39" s="1"/>
  <c r="G178" i="25"/>
  <c r="E177" i="39"/>
  <c r="G177" i="39" s="1"/>
  <c r="G114" i="25"/>
  <c r="E113" i="39"/>
  <c r="G113" i="39" s="1"/>
  <c r="G41" i="25"/>
  <c r="E40" i="39"/>
  <c r="G40" i="39" s="1"/>
  <c r="G267" i="25"/>
  <c r="E266" i="39"/>
  <c r="G266" i="39" s="1"/>
  <c r="G203" i="25"/>
  <c r="E202" i="39"/>
  <c r="G202" i="39" s="1"/>
  <c r="G139" i="25"/>
  <c r="E138" i="39"/>
  <c r="G138" i="39" s="1"/>
  <c r="G75" i="25"/>
  <c r="E74" i="39"/>
  <c r="G74" i="39" s="1"/>
  <c r="G13" i="25"/>
  <c r="E12" i="39"/>
  <c r="G12" i="39" s="1"/>
  <c r="E9" i="39"/>
  <c r="G9" i="39" s="1"/>
  <c r="G10" i="25"/>
  <c r="G55" i="25"/>
  <c r="E54" i="39"/>
  <c r="G54" i="39" s="1"/>
  <c r="E284" i="39"/>
  <c r="G284" i="39" s="1"/>
  <c r="G285" i="25"/>
  <c r="G227" i="25"/>
  <c r="E226" i="39"/>
  <c r="G226" i="39" s="1"/>
  <c r="G258" i="25"/>
  <c r="E257" i="39"/>
  <c r="G257" i="39" s="1"/>
  <c r="G149" i="25"/>
  <c r="E148" i="39"/>
  <c r="G148" i="39" s="1"/>
  <c r="G152" i="25"/>
  <c r="E151" i="39"/>
  <c r="G151" i="39" s="1"/>
  <c r="G42" i="25"/>
  <c r="E41" i="39"/>
  <c r="G41" i="39" s="1"/>
  <c r="G21" i="25"/>
  <c r="E20" i="39"/>
  <c r="G20" i="39" s="1"/>
  <c r="G209" i="25"/>
  <c r="E208" i="39"/>
  <c r="G208" i="39" s="1"/>
  <c r="G228" i="25"/>
  <c r="E227" i="39"/>
  <c r="G227" i="39" s="1"/>
  <c r="G172" i="25"/>
  <c r="E171" i="39"/>
  <c r="G171" i="39" s="1"/>
  <c r="G249" i="25"/>
  <c r="E248" i="39"/>
  <c r="G248" i="39" s="1"/>
  <c r="G168" i="25"/>
  <c r="E167" i="39"/>
  <c r="G167" i="39" s="1"/>
  <c r="G126" i="25"/>
  <c r="E125" i="39"/>
  <c r="G125" i="39" s="1"/>
  <c r="G254" i="25"/>
  <c r="E253" i="39"/>
  <c r="G253" i="39" s="1"/>
  <c r="G193" i="25"/>
  <c r="E192" i="39"/>
  <c r="G192" i="39" s="1"/>
  <c r="G197" i="25"/>
  <c r="E196" i="39"/>
  <c r="G196" i="39" s="1"/>
  <c r="G28" i="25"/>
  <c r="E27" i="39"/>
  <c r="G27" i="39" s="1"/>
  <c r="G165" i="25"/>
  <c r="E164" i="39"/>
  <c r="G164" i="39" s="1"/>
  <c r="G136" i="25"/>
  <c r="E135" i="39"/>
  <c r="G135" i="39" s="1"/>
  <c r="G244" i="25"/>
  <c r="E243" i="39"/>
  <c r="G243" i="39" s="1"/>
  <c r="G246" i="25"/>
  <c r="E245" i="39"/>
  <c r="G245" i="39" s="1"/>
  <c r="G76" i="25"/>
  <c r="E75" i="39"/>
  <c r="G75" i="39" s="1"/>
  <c r="G81" i="25"/>
  <c r="E80" i="39"/>
  <c r="G80" i="39" s="1"/>
  <c r="G206" i="25"/>
  <c r="E205" i="39"/>
  <c r="G205" i="39" s="1"/>
  <c r="G121" i="25"/>
  <c r="E120" i="39"/>
  <c r="G120" i="39" s="1"/>
  <c r="G222" i="25"/>
  <c r="E221" i="39"/>
  <c r="G221" i="39" s="1"/>
  <c r="G280" i="25"/>
  <c r="E279" i="39"/>
  <c r="G279" i="39" s="1"/>
  <c r="E292" i="39"/>
  <c r="G292" i="39" s="1"/>
  <c r="G293" i="25"/>
  <c r="G294" i="25"/>
  <c r="E293" i="39"/>
  <c r="G293" i="39" s="1"/>
  <c r="G271" i="25"/>
  <c r="E270" i="39"/>
  <c r="G270" i="39" s="1"/>
  <c r="G95" i="25"/>
  <c r="E94" i="39"/>
  <c r="G94" i="39" s="1"/>
  <c r="G295" i="25"/>
  <c r="E294" i="39"/>
  <c r="G294" i="39" s="1"/>
  <c r="G135" i="25"/>
  <c r="E134" i="39"/>
  <c r="G134" i="39" s="1"/>
  <c r="G298" i="25"/>
  <c r="E297" i="39"/>
  <c r="G297" i="39" s="1"/>
  <c r="G234" i="25"/>
  <c r="E233" i="39"/>
  <c r="G233" i="39" s="1"/>
  <c r="G170" i="25"/>
  <c r="E169" i="39"/>
  <c r="G169" i="39" s="1"/>
  <c r="G106" i="25"/>
  <c r="E105" i="39"/>
  <c r="G105" i="39" s="1"/>
  <c r="G58" i="25"/>
  <c r="E57" i="39"/>
  <c r="G57" i="39" s="1"/>
  <c r="G259" i="25"/>
  <c r="E258" i="39"/>
  <c r="G258" i="39" s="1"/>
  <c r="G195" i="25"/>
  <c r="E194" i="39"/>
  <c r="G194" i="39" s="1"/>
  <c r="G131" i="25"/>
  <c r="E130" i="39"/>
  <c r="G130" i="39" s="1"/>
  <c r="G67" i="25"/>
  <c r="E66" i="39"/>
  <c r="G66" i="39" s="1"/>
  <c r="G38" i="25"/>
  <c r="E37" i="39"/>
  <c r="G37" i="39" s="1"/>
  <c r="G59" i="25"/>
  <c r="E58" i="39"/>
  <c r="G58" i="39" s="1"/>
  <c r="G47" i="25"/>
  <c r="E46" i="39"/>
  <c r="G46" i="39" s="1"/>
  <c r="G305" i="25"/>
  <c r="E304" i="39"/>
  <c r="G304" i="39" s="1"/>
  <c r="G97" i="25"/>
  <c r="E96" i="39"/>
  <c r="G96" i="39" s="1"/>
  <c r="G109" i="25"/>
  <c r="E108" i="39"/>
  <c r="G108" i="39" s="1"/>
  <c r="G308" i="25"/>
  <c r="E307" i="39"/>
  <c r="G307" i="39" s="1"/>
  <c r="G261" i="25"/>
  <c r="E260" i="39"/>
  <c r="G260" i="39" s="1"/>
  <c r="G32" i="25"/>
  <c r="E31" i="39"/>
  <c r="G31" i="39" s="1"/>
  <c r="G78" i="25"/>
  <c r="E77" i="39"/>
  <c r="G77" i="39" s="1"/>
  <c r="G310" i="25"/>
  <c r="E309" i="39"/>
  <c r="G309" i="39" s="1"/>
  <c r="G211" i="25"/>
  <c r="E210" i="39"/>
  <c r="G210" i="39" s="1"/>
  <c r="G225" i="25"/>
  <c r="E224" i="39"/>
  <c r="G224" i="39" s="1"/>
  <c r="E142" i="39"/>
  <c r="G142" i="39" s="1"/>
  <c r="G143" i="25"/>
  <c r="G26" i="25"/>
  <c r="E25" i="39"/>
  <c r="G25" i="39" s="1"/>
  <c r="G124" i="25"/>
  <c r="E123" i="39"/>
  <c r="G123" i="39" s="1"/>
  <c r="G190" i="25"/>
  <c r="E189" i="39"/>
  <c r="G189" i="39" s="1"/>
  <c r="G70" i="25"/>
  <c r="E69" i="39"/>
  <c r="G69" i="39" s="1"/>
  <c r="G12" i="25"/>
  <c r="E11" i="39"/>
  <c r="G11" i="39" s="1"/>
  <c r="G241" i="25"/>
  <c r="E240" i="39"/>
  <c r="G240" i="39" s="1"/>
  <c r="G80" i="25"/>
  <c r="E79" i="39"/>
  <c r="G79" i="39" s="1"/>
  <c r="G223" i="25"/>
  <c r="E222" i="39"/>
  <c r="G222" i="39" s="1"/>
  <c r="G103" i="25"/>
  <c r="E102" i="39"/>
  <c r="G102" i="39" s="1"/>
  <c r="G98" i="25"/>
  <c r="E97" i="39"/>
  <c r="G97" i="39" s="1"/>
  <c r="G187" i="25"/>
  <c r="E186" i="39"/>
  <c r="G186" i="39" s="1"/>
  <c r="G54" i="25"/>
  <c r="E53" i="39"/>
  <c r="G53" i="39" s="1"/>
  <c r="E50" i="39"/>
  <c r="G50" i="39" s="1"/>
  <c r="G51" i="25"/>
  <c r="G221" i="25"/>
  <c r="E220" i="39"/>
  <c r="G220" i="39" s="1"/>
  <c r="G132" i="25"/>
  <c r="E131" i="39"/>
  <c r="G131" i="39" s="1"/>
  <c r="G86" i="25"/>
  <c r="E85" i="39"/>
  <c r="G85" i="39" s="1"/>
  <c r="G166" i="25"/>
  <c r="E165" i="39"/>
  <c r="G165" i="39" s="1"/>
  <c r="G257" i="25"/>
  <c r="E256" i="39"/>
  <c r="G256" i="39" s="1"/>
  <c r="G196" i="25"/>
  <c r="E195" i="39"/>
  <c r="G195" i="39" s="1"/>
  <c r="G181" i="25"/>
  <c r="E180" i="39"/>
  <c r="G180" i="39" s="1"/>
  <c r="G94" i="25"/>
  <c r="E93" i="39"/>
  <c r="G93" i="39" s="1"/>
  <c r="G141" i="25"/>
  <c r="E140" i="39"/>
  <c r="G140" i="39" s="1"/>
  <c r="G153" i="25"/>
  <c r="E152" i="39"/>
  <c r="G152" i="39" s="1"/>
  <c r="G286" i="25"/>
  <c r="E285" i="39"/>
  <c r="G285" i="39" s="1"/>
  <c r="E281" i="39"/>
  <c r="G281" i="39" s="1"/>
  <c r="G282" i="25"/>
  <c r="G90" i="25"/>
  <c r="E89" i="39"/>
  <c r="G89" i="39" s="1"/>
  <c r="G179" i="25"/>
  <c r="E178" i="39"/>
  <c r="G178" i="39" s="1"/>
  <c r="G35" i="25"/>
  <c r="E34" i="39"/>
  <c r="G34" i="39" s="1"/>
  <c r="G269" i="25"/>
  <c r="E268" i="39"/>
  <c r="G268" i="39" s="1"/>
  <c r="G219" i="25"/>
  <c r="E218" i="39"/>
  <c r="G218" i="39" s="1"/>
  <c r="E209" i="39"/>
  <c r="G209" i="39" s="1"/>
  <c r="G210" i="25"/>
  <c r="G119" i="25"/>
  <c r="E118" i="39"/>
  <c r="G118" i="39" s="1"/>
  <c r="G130" i="25"/>
  <c r="E129" i="39"/>
  <c r="G129" i="39" s="1"/>
  <c r="G18" i="25"/>
  <c r="E17" i="39"/>
  <c r="G17" i="39" s="1"/>
  <c r="G148" i="25"/>
  <c r="E147" i="39"/>
  <c r="G147" i="39" s="1"/>
  <c r="G220" i="25"/>
  <c r="E219" i="39"/>
  <c r="G219" i="39" s="1"/>
  <c r="G157" i="25"/>
  <c r="E156" i="39"/>
  <c r="G156" i="39" s="1"/>
  <c r="G120" i="25"/>
  <c r="E119" i="39"/>
  <c r="G119" i="39" s="1"/>
  <c r="G252" i="25"/>
  <c r="E251" i="39"/>
  <c r="G251" i="39" s="1"/>
  <c r="G176" i="25"/>
  <c r="E175" i="39"/>
  <c r="G175" i="39" s="1"/>
  <c r="G301" i="25"/>
  <c r="E300" i="39"/>
  <c r="G300" i="39" s="1"/>
  <c r="G8" i="25"/>
  <c r="E7" i="39"/>
  <c r="G7" i="39" s="1"/>
  <c r="E200" i="39"/>
  <c r="G200" i="39" s="1"/>
  <c r="G201" i="25"/>
  <c r="G205" i="25"/>
  <c r="E204" i="39"/>
  <c r="G204" i="39" s="1"/>
  <c r="G88" i="25"/>
  <c r="E87" i="39"/>
  <c r="G87" i="39" s="1"/>
  <c r="G198" i="25"/>
  <c r="E197" i="39"/>
  <c r="G197" i="39" s="1"/>
  <c r="G112" i="25"/>
  <c r="E111" i="39"/>
  <c r="G111" i="39" s="1"/>
  <c r="G40" i="25"/>
  <c r="E39" i="39"/>
  <c r="G39" i="39" s="1"/>
  <c r="E271" i="39"/>
  <c r="G271" i="39" s="1"/>
  <c r="G272" i="25"/>
  <c r="G158" i="25"/>
  <c r="E157" i="39"/>
  <c r="G157" i="39" s="1"/>
  <c r="G256" i="25"/>
  <c r="E255" i="39"/>
  <c r="G255" i="39" s="1"/>
  <c r="E277" i="39"/>
  <c r="G277" i="39" s="1"/>
  <c r="G278" i="25"/>
  <c r="G44" i="25"/>
  <c r="E43" i="39"/>
  <c r="G43" i="39" s="1"/>
  <c r="G92" i="25"/>
  <c r="E91" i="39"/>
  <c r="G91" i="39" s="1"/>
  <c r="G85" i="25"/>
  <c r="E84" i="39"/>
  <c r="G84" i="39" s="1"/>
  <c r="G233" i="25"/>
  <c r="E232" i="39"/>
  <c r="G232" i="39" s="1"/>
  <c r="G183" i="25"/>
  <c r="E182" i="39"/>
  <c r="G182" i="39" s="1"/>
  <c r="G270" i="25"/>
  <c r="E269" i="39"/>
  <c r="G269" i="39" s="1"/>
  <c r="G215" i="25"/>
  <c r="E214" i="39"/>
  <c r="G214" i="39" s="1"/>
  <c r="G311" i="25"/>
  <c r="E310" i="39"/>
  <c r="G310" i="39" s="1"/>
  <c r="G287" i="25"/>
  <c r="E286" i="39"/>
  <c r="G286" i="39" s="1"/>
  <c r="G146" i="25"/>
  <c r="E145" i="39"/>
  <c r="G145" i="39" s="1"/>
  <c r="G82" i="25"/>
  <c r="E81" i="39"/>
  <c r="G81" i="39" s="1"/>
  <c r="G299" i="25"/>
  <c r="E298" i="39"/>
  <c r="G298" i="39" s="1"/>
  <c r="G235" i="25"/>
  <c r="E234" i="39"/>
  <c r="G234" i="39" s="1"/>
  <c r="G171" i="25"/>
  <c r="E170" i="39"/>
  <c r="G170" i="39" s="1"/>
  <c r="G107" i="25"/>
  <c r="E106" i="39"/>
  <c r="G106" i="39" s="1"/>
  <c r="G33" i="25"/>
  <c r="E32" i="39"/>
  <c r="G32" i="39" s="1"/>
  <c r="G31" i="25"/>
  <c r="E30" i="39"/>
  <c r="G30" i="39" s="1"/>
  <c r="G19" i="25"/>
  <c r="E18" i="39"/>
  <c r="G18" i="39" s="1"/>
  <c r="G175" i="25"/>
  <c r="E174" i="39"/>
  <c r="G174" i="39" s="1"/>
  <c r="G29" i="25"/>
  <c r="E28" i="39"/>
  <c r="G28" i="39" s="1"/>
  <c r="G297" i="25"/>
  <c r="E296" i="39"/>
  <c r="G296" i="39" s="1"/>
  <c r="G214" i="25"/>
  <c r="E213" i="39"/>
  <c r="G213" i="39" s="1"/>
  <c r="G276" i="25"/>
  <c r="E275" i="39"/>
  <c r="G275" i="39" s="1"/>
  <c r="G69" i="25"/>
  <c r="E68" i="39"/>
  <c r="G68" i="39" s="1"/>
  <c r="G169" i="25"/>
  <c r="E168" i="39"/>
  <c r="G168" i="39" s="1"/>
  <c r="G111" i="25"/>
  <c r="E110" i="39"/>
  <c r="G110" i="39" s="1"/>
  <c r="G46" i="25"/>
  <c r="E45" i="39"/>
  <c r="G45" i="39" s="1"/>
  <c r="G283" i="25"/>
  <c r="E282" i="39"/>
  <c r="G282" i="39" s="1"/>
  <c r="G144" i="25"/>
  <c r="E143" i="39"/>
  <c r="G143" i="39" s="1"/>
  <c r="G284" i="25"/>
  <c r="E283" i="39"/>
  <c r="G283" i="39" s="1"/>
  <c r="G208" i="25"/>
  <c r="E207" i="39"/>
  <c r="G207" i="39" s="1"/>
  <c r="G188" i="25"/>
  <c r="E187" i="39"/>
  <c r="G187" i="39" s="1"/>
  <c r="G36" i="25"/>
  <c r="E35" i="39"/>
  <c r="G35" i="39" s="1"/>
  <c r="G64" i="25"/>
  <c r="E63" i="39"/>
  <c r="G63" i="39" s="1"/>
  <c r="E267" i="39"/>
  <c r="G267" i="39" s="1"/>
  <c r="G268" i="25"/>
  <c r="G89" i="25"/>
  <c r="E88" i="39"/>
  <c r="G88" i="39" s="1"/>
  <c r="G63" i="25"/>
  <c r="E62" i="39"/>
  <c r="G62" i="39" s="1"/>
  <c r="G226" i="25"/>
  <c r="E225" i="39"/>
  <c r="G225" i="39" s="1"/>
  <c r="G251" i="25"/>
  <c r="E250" i="39"/>
  <c r="G250" i="39" s="1"/>
  <c r="G43" i="25"/>
  <c r="E42" i="39"/>
  <c r="G42" i="39" s="1"/>
  <c r="E276" i="39"/>
  <c r="G276" i="39" s="1"/>
  <c r="G277" i="25"/>
  <c r="G125" i="25"/>
  <c r="E124" i="39"/>
  <c r="G124" i="39" s="1"/>
  <c r="G24" i="25"/>
  <c r="E23" i="39"/>
  <c r="G23" i="39" s="1"/>
  <c r="G93" i="25"/>
  <c r="E92" i="39"/>
  <c r="G92" i="39" s="1"/>
  <c r="G240" i="25"/>
  <c r="E239" i="39"/>
  <c r="G239" i="39" s="1"/>
  <c r="G180" i="25"/>
  <c r="E179" i="39"/>
  <c r="G179" i="39" s="1"/>
  <c r="G264" i="25"/>
  <c r="E263" i="39"/>
  <c r="G263" i="39" s="1"/>
  <c r="G217" i="25"/>
  <c r="E216" i="39"/>
  <c r="G216" i="39" s="1"/>
  <c r="G216" i="25"/>
  <c r="E215" i="39"/>
  <c r="G215" i="39" s="1"/>
  <c r="G231" i="25"/>
  <c r="E230" i="39"/>
  <c r="G230" i="39" s="1"/>
  <c r="G207" i="25"/>
  <c r="E206" i="39"/>
  <c r="G206" i="39" s="1"/>
  <c r="G154" i="25"/>
  <c r="E153" i="39"/>
  <c r="G153" i="39" s="1"/>
  <c r="G243" i="25"/>
  <c r="E242" i="39"/>
  <c r="G242" i="39" s="1"/>
  <c r="G37" i="25"/>
  <c r="E36" i="39"/>
  <c r="G36" i="39" s="1"/>
  <c r="G30" i="25"/>
  <c r="E29" i="39"/>
  <c r="G29" i="39" s="1"/>
  <c r="G312" i="25"/>
  <c r="E311" i="39"/>
  <c r="G311" i="39" s="1"/>
  <c r="G213" i="25"/>
  <c r="E212" i="39"/>
  <c r="G212" i="39" s="1"/>
  <c r="G204" i="25"/>
  <c r="E203" i="39"/>
  <c r="G203" i="39" s="1"/>
  <c r="G105" i="25"/>
  <c r="E104" i="39"/>
  <c r="G104" i="39" s="1"/>
  <c r="G110" i="25"/>
  <c r="E109" i="39"/>
  <c r="G109" i="39" s="1"/>
  <c r="G57" i="25"/>
  <c r="E56" i="39"/>
  <c r="G56" i="39" s="1"/>
  <c r="G116" i="25"/>
  <c r="E115" i="39"/>
  <c r="G115" i="39" s="1"/>
  <c r="G96" i="25"/>
  <c r="E95" i="39"/>
  <c r="G95" i="39" s="1"/>
  <c r="E236" i="39"/>
  <c r="G236" i="39" s="1"/>
  <c r="G237" i="25"/>
  <c r="G184" i="25"/>
  <c r="E183" i="39"/>
  <c r="G183" i="39" s="1"/>
  <c r="G129" i="25"/>
  <c r="E128" i="39"/>
  <c r="G128" i="39" s="1"/>
  <c r="G49" i="25"/>
  <c r="E48" i="39"/>
  <c r="G48" i="39" s="1"/>
  <c r="G161" i="25"/>
  <c r="E160" i="39"/>
  <c r="G160" i="39" s="1"/>
  <c r="G229" i="25"/>
  <c r="E228" i="39"/>
  <c r="G228" i="39" s="1"/>
  <c r="G313" i="25"/>
  <c r="E312" i="39"/>
  <c r="G312" i="39" s="1"/>
  <c r="G236" i="25"/>
  <c r="E235" i="39"/>
  <c r="G235" i="39" s="1"/>
  <c r="G20" i="25"/>
  <c r="E19" i="39"/>
  <c r="G19" i="39" s="1"/>
  <c r="G137" i="25"/>
  <c r="E136" i="39"/>
  <c r="G136" i="39" s="1"/>
  <c r="G128" i="25"/>
  <c r="E127" i="39"/>
  <c r="G127" i="39" s="1"/>
  <c r="G281" i="25"/>
  <c r="E280" i="39"/>
  <c r="G280" i="39" s="1"/>
  <c r="G151" i="25"/>
  <c r="E150" i="39"/>
  <c r="G150" i="39" s="1"/>
  <c r="G239" i="25"/>
  <c r="E238" i="39"/>
  <c r="G238" i="39" s="1"/>
  <c r="G255" i="25"/>
  <c r="E254" i="39"/>
  <c r="G254" i="39" s="1"/>
  <c r="G266" i="25"/>
  <c r="E265" i="39"/>
  <c r="G265" i="39" s="1"/>
  <c r="G202" i="25"/>
  <c r="E201" i="39"/>
  <c r="G201" i="39" s="1"/>
  <c r="G138" i="25"/>
  <c r="E137" i="39"/>
  <c r="G137" i="39" s="1"/>
  <c r="E73" i="39"/>
  <c r="G73" i="39" s="1"/>
  <c r="G74" i="25"/>
  <c r="G291" i="25"/>
  <c r="E290" i="39"/>
  <c r="G290" i="39" s="1"/>
  <c r="G163" i="25"/>
  <c r="E162" i="39"/>
  <c r="G162" i="39" s="1"/>
  <c r="G25" i="25"/>
  <c r="E24" i="39"/>
  <c r="G24" i="39" s="1"/>
  <c r="G22" i="25"/>
  <c r="E21" i="39"/>
  <c r="G21" i="39" s="1"/>
  <c r="G27" i="25"/>
  <c r="E26" i="39"/>
  <c r="G26" i="39" s="1"/>
  <c r="G15" i="25"/>
  <c r="E14" i="39"/>
  <c r="G14" i="39" s="1"/>
  <c r="G174" i="25"/>
  <c r="E173" i="39"/>
  <c r="G173" i="39" s="1"/>
  <c r="G248" i="25"/>
  <c r="E247" i="39"/>
  <c r="G247" i="39" s="1"/>
  <c r="G113" i="25"/>
  <c r="E112" i="39"/>
  <c r="G112" i="39" s="1"/>
  <c r="G265" i="25"/>
  <c r="E264" i="39"/>
  <c r="G264" i="39" s="1"/>
  <c r="G60" i="25"/>
  <c r="E59" i="39"/>
  <c r="G59" i="39" s="1"/>
  <c r="G61" i="25"/>
  <c r="E60" i="39"/>
  <c r="G60" i="39" s="1"/>
  <c r="G87" i="25"/>
  <c r="E86" i="39"/>
  <c r="G86" i="39" s="1"/>
  <c r="G147" i="25"/>
  <c r="E146" i="39"/>
  <c r="G146" i="39" s="1"/>
  <c r="G232" i="25"/>
  <c r="E231" i="39"/>
  <c r="G231" i="39" s="1"/>
  <c r="E10" i="39"/>
  <c r="G10" i="39" s="1"/>
  <c r="G11" i="25"/>
  <c r="G304" i="25"/>
  <c r="E303" i="39"/>
  <c r="G303" i="39" s="1"/>
  <c r="G102" i="25"/>
  <c r="E101" i="39"/>
  <c r="G101" i="39" s="1"/>
  <c r="E287" i="39"/>
  <c r="G287" i="39" s="1"/>
  <c r="G288" i="25"/>
  <c r="G212" i="25"/>
  <c r="E211" i="39"/>
  <c r="G211" i="39" s="1"/>
  <c r="G200" i="25"/>
  <c r="E199" i="39"/>
  <c r="G199" i="39" s="1"/>
  <c r="G133" i="25"/>
  <c r="E132" i="39"/>
  <c r="G132" i="39" s="1"/>
  <c r="G145" i="25"/>
  <c r="E144" i="39"/>
  <c r="G144" i="39" s="1"/>
  <c r="G68" i="25"/>
  <c r="E67" i="39"/>
  <c r="G67" i="39" s="1"/>
  <c r="E261" i="39"/>
  <c r="G261" i="39" s="1"/>
  <c r="G262" i="25"/>
  <c r="G263" i="25"/>
  <c r="E262" i="39"/>
  <c r="G262" i="39" s="1"/>
  <c r="E289" i="39"/>
  <c r="G289" i="39" s="1"/>
  <c r="G290" i="25"/>
  <c r="G162" i="25"/>
  <c r="E161" i="39"/>
  <c r="G161" i="39" s="1"/>
  <c r="G53" i="25"/>
  <c r="E52" i="39"/>
  <c r="G52" i="39" s="1"/>
  <c r="G123" i="25"/>
  <c r="E122" i="39"/>
  <c r="G122" i="39" s="1"/>
  <c r="G34" i="25"/>
  <c r="E33" i="39"/>
  <c r="G33" i="39" s="1"/>
  <c r="G230" i="25"/>
  <c r="E229" i="39"/>
  <c r="G229" i="39" s="1"/>
  <c r="G84" i="25"/>
  <c r="E83" i="39"/>
  <c r="G83" i="39" s="1"/>
  <c r="G16" i="25"/>
  <c r="E15" i="39"/>
  <c r="G15" i="39" s="1"/>
  <c r="G296" i="25"/>
  <c r="E295" i="39"/>
  <c r="G295" i="39" s="1"/>
  <c r="G164" i="25"/>
  <c r="E163" i="39"/>
  <c r="G163" i="39" s="1"/>
  <c r="G134" i="25"/>
  <c r="E133" i="39"/>
  <c r="G133" i="39" s="1"/>
  <c r="G192" i="25"/>
  <c r="E191" i="39"/>
  <c r="G191" i="39" s="1"/>
  <c r="G118" i="25"/>
  <c r="E117" i="39"/>
  <c r="G117" i="39" s="1"/>
  <c r="G140" i="25"/>
  <c r="E139" i="39"/>
  <c r="G139" i="39" s="1"/>
  <c r="G302" i="25"/>
  <c r="E301" i="39"/>
  <c r="G301" i="39" s="1"/>
  <c r="G71" i="25"/>
  <c r="E70" i="39"/>
  <c r="G70" i="39" s="1"/>
  <c r="G218" i="25"/>
  <c r="E217" i="39"/>
  <c r="G217" i="39" s="1"/>
  <c r="G307" i="25"/>
  <c r="E306" i="39"/>
  <c r="G306" i="39" s="1"/>
  <c r="G115" i="25"/>
  <c r="E114" i="39"/>
  <c r="G114" i="39" s="1"/>
  <c r="G39" i="25"/>
  <c r="E38" i="39"/>
  <c r="G38" i="39" s="1"/>
  <c r="G309" i="25"/>
  <c r="E308" i="39"/>
  <c r="G308" i="39" s="1"/>
  <c r="G274" i="25"/>
  <c r="E273" i="39"/>
  <c r="G273" i="39" s="1"/>
  <c r="G191" i="25"/>
  <c r="E190" i="39"/>
  <c r="G190" i="39" s="1"/>
  <c r="G194" i="25"/>
  <c r="E193" i="39"/>
  <c r="G193" i="39" s="1"/>
  <c r="G99" i="25"/>
  <c r="E98" i="39"/>
  <c r="G98" i="39" s="1"/>
  <c r="G66" i="25"/>
  <c r="E65" i="39"/>
  <c r="G65" i="39" s="1"/>
  <c r="G45" i="25"/>
  <c r="E44" i="39"/>
  <c r="G44" i="39" s="1"/>
  <c r="G9" i="25"/>
  <c r="E8" i="39"/>
  <c r="G8" i="39" s="1"/>
  <c r="F41" i="48"/>
  <c r="E325" i="34"/>
  <c r="I325" i="34" s="1"/>
  <c r="E314" i="39" s="1"/>
  <c r="G314" i="39" s="1"/>
  <c r="H314" i="39" s="1"/>
  <c r="I16" i="34"/>
  <c r="H190" i="39" l="1"/>
  <c r="I190" i="39" s="1"/>
  <c r="J190" i="39" s="1"/>
  <c r="I191" i="25" s="1"/>
  <c r="H8" i="39"/>
  <c r="I8" i="39" s="1"/>
  <c r="J8" i="39" s="1"/>
  <c r="I9" i="25" s="1"/>
  <c r="H193" i="39"/>
  <c r="I193" i="39" s="1"/>
  <c r="J193" i="39" s="1"/>
  <c r="I194" i="25" s="1"/>
  <c r="H38" i="39"/>
  <c r="I38" i="39" s="1"/>
  <c r="J38" i="39" s="1"/>
  <c r="I39" i="25" s="1"/>
  <c r="H139" i="39"/>
  <c r="I139" i="39" s="1"/>
  <c r="J139" i="39" s="1"/>
  <c r="I140" i="25" s="1"/>
  <c r="H163" i="39"/>
  <c r="I163" i="39" s="1"/>
  <c r="J163" i="39" s="1"/>
  <c r="I164" i="25" s="1"/>
  <c r="H229" i="39"/>
  <c r="I229" i="39" s="1"/>
  <c r="J229" i="39" s="1"/>
  <c r="I230" i="25" s="1"/>
  <c r="H161" i="39"/>
  <c r="I161" i="39" s="1"/>
  <c r="J161" i="39" s="1"/>
  <c r="I162" i="25" s="1"/>
  <c r="H67" i="39"/>
  <c r="I67" i="39" s="1"/>
  <c r="J67" i="39" s="1"/>
  <c r="I68" i="25" s="1"/>
  <c r="H211" i="39"/>
  <c r="I211" i="39" s="1"/>
  <c r="J211" i="39" s="1"/>
  <c r="I212" i="25" s="1"/>
  <c r="H146" i="39"/>
  <c r="I146" i="39" s="1"/>
  <c r="J146" i="39" s="1"/>
  <c r="I147" i="25" s="1"/>
  <c r="H264" i="39"/>
  <c r="I264" i="39" s="1"/>
  <c r="J264" i="39" s="1"/>
  <c r="I265" i="25" s="1"/>
  <c r="H21" i="39"/>
  <c r="I21" i="39" s="1"/>
  <c r="J21" i="39" s="1"/>
  <c r="I22" i="25" s="1"/>
  <c r="H254" i="39"/>
  <c r="I254" i="39" s="1"/>
  <c r="J254" i="39" s="1"/>
  <c r="I255" i="25" s="1"/>
  <c r="H19" i="39"/>
  <c r="I19" i="39" s="1"/>
  <c r="J19" i="39" s="1"/>
  <c r="I20" i="25" s="1"/>
  <c r="H160" i="39"/>
  <c r="I160" i="39" s="1"/>
  <c r="J160" i="39" s="1"/>
  <c r="I161" i="25" s="1"/>
  <c r="H203" i="39"/>
  <c r="I203" i="39" s="1"/>
  <c r="J203" i="39" s="1"/>
  <c r="I204" i="25" s="1"/>
  <c r="H36" i="39"/>
  <c r="I36" i="39" s="1"/>
  <c r="J36" i="39" s="1"/>
  <c r="I37" i="25" s="1"/>
  <c r="H230" i="39"/>
  <c r="I230" i="39" s="1"/>
  <c r="J230" i="39" s="1"/>
  <c r="I231" i="25" s="1"/>
  <c r="H179" i="39"/>
  <c r="I179" i="39" s="1"/>
  <c r="J179" i="39" s="1"/>
  <c r="I180" i="25" s="1"/>
  <c r="H42" i="39"/>
  <c r="I42" i="39" s="1"/>
  <c r="J42" i="39" s="1"/>
  <c r="I43" i="25" s="1"/>
  <c r="H88" i="39"/>
  <c r="I88" i="39" s="1"/>
  <c r="J88" i="39" s="1"/>
  <c r="I89" i="25" s="1"/>
  <c r="H187" i="39"/>
  <c r="I187" i="39" s="1"/>
  <c r="J187" i="39" s="1"/>
  <c r="I188" i="25" s="1"/>
  <c r="H283" i="39"/>
  <c r="I283" i="39" s="1"/>
  <c r="J283" i="39" s="1"/>
  <c r="I284" i="25" s="1"/>
  <c r="H282" i="39"/>
  <c r="I282" i="39" s="1"/>
  <c r="J282" i="39" s="1"/>
  <c r="I283" i="25" s="1"/>
  <c r="H110" i="39"/>
  <c r="I110" i="39" s="1"/>
  <c r="J110" i="39" s="1"/>
  <c r="I111" i="25" s="1"/>
  <c r="H213" i="39"/>
  <c r="I213" i="39" s="1"/>
  <c r="J213" i="39" s="1"/>
  <c r="I214" i="25" s="1"/>
  <c r="H28" i="39"/>
  <c r="I28" i="39" s="1"/>
  <c r="J28" i="39" s="1"/>
  <c r="I29" i="25" s="1"/>
  <c r="H18" i="39"/>
  <c r="I18" i="39" s="1"/>
  <c r="J18" i="39" s="1"/>
  <c r="I19" i="25" s="1"/>
  <c r="H32" i="39"/>
  <c r="I32" i="39" s="1"/>
  <c r="J32" i="39" s="1"/>
  <c r="I33" i="25" s="1"/>
  <c r="H170" i="39"/>
  <c r="I170" i="39" s="1"/>
  <c r="J170" i="39" s="1"/>
  <c r="I171" i="25" s="1"/>
  <c r="H298" i="39"/>
  <c r="I298" i="39" s="1"/>
  <c r="J298" i="39" s="1"/>
  <c r="I299" i="25" s="1"/>
  <c r="H145" i="39"/>
  <c r="I145" i="39" s="1"/>
  <c r="J145" i="39" s="1"/>
  <c r="I146" i="25" s="1"/>
  <c r="H310" i="39"/>
  <c r="I310" i="39" s="1"/>
  <c r="J310" i="39" s="1"/>
  <c r="I311" i="25" s="1"/>
  <c r="H269" i="39"/>
  <c r="I269" i="39" s="1"/>
  <c r="J269" i="39" s="1"/>
  <c r="I270" i="25" s="1"/>
  <c r="H232" i="39"/>
  <c r="I232" i="39" s="1"/>
  <c r="J232" i="39" s="1"/>
  <c r="I233" i="25" s="1"/>
  <c r="H91" i="39"/>
  <c r="I91" i="39" s="1"/>
  <c r="J91" i="39" s="1"/>
  <c r="I92" i="25" s="1"/>
  <c r="H157" i="39"/>
  <c r="I157" i="39" s="1"/>
  <c r="J157" i="39" s="1"/>
  <c r="I158" i="25" s="1"/>
  <c r="H39" i="39"/>
  <c r="I39" i="39" s="1"/>
  <c r="J39" i="39" s="1"/>
  <c r="I40" i="25" s="1"/>
  <c r="H197" i="39"/>
  <c r="I197" i="39" s="1"/>
  <c r="J197" i="39" s="1"/>
  <c r="I198" i="25" s="1"/>
  <c r="H204" i="39"/>
  <c r="I204" i="39" s="1"/>
  <c r="J204" i="39" s="1"/>
  <c r="I205" i="25" s="1"/>
  <c r="H7" i="39"/>
  <c r="I7" i="39" s="1"/>
  <c r="J7" i="39" s="1"/>
  <c r="I8" i="25" s="1"/>
  <c r="H175" i="39"/>
  <c r="I175" i="39" s="1"/>
  <c r="J175" i="39" s="1"/>
  <c r="I176" i="25" s="1"/>
  <c r="H119" i="39"/>
  <c r="I119" i="39" s="1"/>
  <c r="J119" i="39" s="1"/>
  <c r="I120" i="25" s="1"/>
  <c r="H219" i="39"/>
  <c r="I219" i="39" s="1"/>
  <c r="J219" i="39" s="1"/>
  <c r="I220" i="25" s="1"/>
  <c r="H17" i="39"/>
  <c r="I17" i="39" s="1"/>
  <c r="J17" i="39" s="1"/>
  <c r="I18" i="25" s="1"/>
  <c r="H118" i="39"/>
  <c r="I118" i="39" s="1"/>
  <c r="J118" i="39" s="1"/>
  <c r="I119" i="25" s="1"/>
  <c r="H218" i="39"/>
  <c r="I218" i="39" s="1"/>
  <c r="J218" i="39" s="1"/>
  <c r="I219" i="25" s="1"/>
  <c r="H34" i="39"/>
  <c r="I34" i="39" s="1"/>
  <c r="J34" i="39" s="1"/>
  <c r="I35" i="25" s="1"/>
  <c r="H89" i="39"/>
  <c r="I89" i="39" s="1"/>
  <c r="J89" i="39" s="1"/>
  <c r="I90" i="25" s="1"/>
  <c r="H285" i="39"/>
  <c r="I285" i="39" s="1"/>
  <c r="J285" i="39" s="1"/>
  <c r="I286" i="25" s="1"/>
  <c r="H140" i="39"/>
  <c r="I140" i="39" s="1"/>
  <c r="J140" i="39" s="1"/>
  <c r="I141" i="25" s="1"/>
  <c r="H180" i="39"/>
  <c r="I180" i="39" s="1"/>
  <c r="J180" i="39" s="1"/>
  <c r="I181" i="25" s="1"/>
  <c r="H256" i="39"/>
  <c r="I256" i="39" s="1"/>
  <c r="J256" i="39" s="1"/>
  <c r="I257" i="25" s="1"/>
  <c r="H85" i="39"/>
  <c r="I85" i="39" s="1"/>
  <c r="J85" i="39" s="1"/>
  <c r="I86" i="25" s="1"/>
  <c r="H220" i="39"/>
  <c r="I220" i="39" s="1"/>
  <c r="J220" i="39" s="1"/>
  <c r="I221" i="25" s="1"/>
  <c r="H53" i="39"/>
  <c r="I53" i="39" s="1"/>
  <c r="J53" i="39" s="1"/>
  <c r="I54" i="25" s="1"/>
  <c r="H97" i="39"/>
  <c r="I97" i="39" s="1"/>
  <c r="J97" i="39" s="1"/>
  <c r="I98" i="25" s="1"/>
  <c r="H222" i="39"/>
  <c r="I222" i="39" s="1"/>
  <c r="J222" i="39" s="1"/>
  <c r="I223" i="25" s="1"/>
  <c r="H240" i="39"/>
  <c r="I240" i="39" s="1"/>
  <c r="J240" i="39" s="1"/>
  <c r="I241" i="25" s="1"/>
  <c r="H69" i="39"/>
  <c r="I69" i="39" s="1"/>
  <c r="J69" i="39" s="1"/>
  <c r="I70" i="25" s="1"/>
  <c r="H123" i="39"/>
  <c r="I123" i="39" s="1"/>
  <c r="J123" i="39" s="1"/>
  <c r="I124" i="25" s="1"/>
  <c r="H210" i="39"/>
  <c r="I210" i="39" s="1"/>
  <c r="J210" i="39" s="1"/>
  <c r="I211" i="25" s="1"/>
  <c r="H77" i="39"/>
  <c r="I77" i="39" s="1"/>
  <c r="J77" i="39" s="1"/>
  <c r="I78" i="25" s="1"/>
  <c r="H260" i="39"/>
  <c r="I260" i="39" s="1"/>
  <c r="J260" i="39" s="1"/>
  <c r="I261" i="25" s="1"/>
  <c r="H108" i="39"/>
  <c r="I108" i="39" s="1"/>
  <c r="J108" i="39" s="1"/>
  <c r="I109" i="25" s="1"/>
  <c r="H304" i="39"/>
  <c r="I304" i="39" s="1"/>
  <c r="J304" i="39" s="1"/>
  <c r="I305" i="25" s="1"/>
  <c r="H58" i="39"/>
  <c r="I58" i="39" s="1"/>
  <c r="J58" i="39" s="1"/>
  <c r="I59" i="25" s="1"/>
  <c r="H66" i="39"/>
  <c r="I66" i="39" s="1"/>
  <c r="J66" i="39" s="1"/>
  <c r="I67" i="25" s="1"/>
  <c r="H194" i="39"/>
  <c r="I194" i="39" s="1"/>
  <c r="J194" i="39" s="1"/>
  <c r="I195" i="25" s="1"/>
  <c r="H57" i="39"/>
  <c r="I57" i="39" s="1"/>
  <c r="J57" i="39" s="1"/>
  <c r="I58" i="25" s="1"/>
  <c r="H169" i="39"/>
  <c r="I169" i="39" s="1"/>
  <c r="J169" i="39" s="1"/>
  <c r="I170" i="25" s="1"/>
  <c r="H297" i="39"/>
  <c r="I297" i="39" s="1"/>
  <c r="J297" i="39" s="1"/>
  <c r="I298" i="25" s="1"/>
  <c r="H294" i="39"/>
  <c r="I294" i="39" s="1"/>
  <c r="J294" i="39" s="1"/>
  <c r="I295" i="25" s="1"/>
  <c r="H270" i="39"/>
  <c r="I270" i="39" s="1"/>
  <c r="J270" i="39" s="1"/>
  <c r="I271" i="25" s="1"/>
  <c r="H221" i="39"/>
  <c r="I221" i="39" s="1"/>
  <c r="J221" i="39" s="1"/>
  <c r="I222" i="25" s="1"/>
  <c r="H205" i="39"/>
  <c r="I205" i="39" s="1"/>
  <c r="J205" i="39" s="1"/>
  <c r="I206" i="25" s="1"/>
  <c r="H75" i="39"/>
  <c r="I75" i="39" s="1"/>
  <c r="J75" i="39" s="1"/>
  <c r="I76" i="25" s="1"/>
  <c r="H243" i="39"/>
  <c r="I243" i="39" s="1"/>
  <c r="J243" i="39" s="1"/>
  <c r="I244" i="25" s="1"/>
  <c r="H164" i="39"/>
  <c r="I164" i="39" s="1"/>
  <c r="J164" i="39" s="1"/>
  <c r="I165" i="25" s="1"/>
  <c r="H196" i="39"/>
  <c r="I196" i="39" s="1"/>
  <c r="J196" i="39" s="1"/>
  <c r="I197" i="25" s="1"/>
  <c r="H253" i="39"/>
  <c r="I253" i="39" s="1"/>
  <c r="J253" i="39" s="1"/>
  <c r="I254" i="25" s="1"/>
  <c r="H167" i="39"/>
  <c r="I167" i="39" s="1"/>
  <c r="J167" i="39" s="1"/>
  <c r="I168" i="25" s="1"/>
  <c r="H171" i="39"/>
  <c r="I171" i="39" s="1"/>
  <c r="J171" i="39" s="1"/>
  <c r="I172" i="25" s="1"/>
  <c r="H208" i="39"/>
  <c r="I208" i="39" s="1"/>
  <c r="J208" i="39" s="1"/>
  <c r="I209" i="25" s="1"/>
  <c r="H41" i="39"/>
  <c r="I41" i="39" s="1"/>
  <c r="J41" i="39" s="1"/>
  <c r="I42" i="25" s="1"/>
  <c r="H148" i="39"/>
  <c r="I148" i="39" s="1"/>
  <c r="J148" i="39" s="1"/>
  <c r="I149" i="25" s="1"/>
  <c r="H226" i="39"/>
  <c r="I226" i="39" s="1"/>
  <c r="J226" i="39" s="1"/>
  <c r="I227" i="25" s="1"/>
  <c r="H54" i="39"/>
  <c r="I54" i="39" s="1"/>
  <c r="J54" i="39" s="1"/>
  <c r="I55" i="25" s="1"/>
  <c r="H12" i="39"/>
  <c r="I12" i="39" s="1"/>
  <c r="J12" i="39" s="1"/>
  <c r="I13" i="25" s="1"/>
  <c r="H138" i="39"/>
  <c r="I138" i="39" s="1"/>
  <c r="J138" i="39" s="1"/>
  <c r="I139" i="25" s="1"/>
  <c r="H266" i="39"/>
  <c r="I266" i="39" s="1"/>
  <c r="J266" i="39" s="1"/>
  <c r="I267" i="25" s="1"/>
  <c r="H113" i="39"/>
  <c r="I113" i="39" s="1"/>
  <c r="J113" i="39" s="1"/>
  <c r="I114" i="25" s="1"/>
  <c r="H241" i="39"/>
  <c r="I241" i="39" s="1"/>
  <c r="J241" i="39" s="1"/>
  <c r="I242" i="25" s="1"/>
  <c r="H166" i="39"/>
  <c r="I166" i="39" s="1"/>
  <c r="J166" i="39" s="1"/>
  <c r="I167" i="25" s="1"/>
  <c r="H126" i="39"/>
  <c r="I126" i="39" s="1"/>
  <c r="J126" i="39" s="1"/>
  <c r="I127" i="25" s="1"/>
  <c r="H278" i="39"/>
  <c r="I278" i="39" s="1"/>
  <c r="J278" i="39" s="1"/>
  <c r="I279" i="25" s="1"/>
  <c r="H237" i="39"/>
  <c r="I237" i="39" s="1"/>
  <c r="J237" i="39" s="1"/>
  <c r="I238" i="25" s="1"/>
  <c r="H291" i="39"/>
  <c r="I291" i="39" s="1"/>
  <c r="J291" i="39" s="1"/>
  <c r="I292" i="25" s="1"/>
  <c r="H181" i="39"/>
  <c r="I181" i="39" s="1"/>
  <c r="J181" i="39" s="1"/>
  <c r="I182" i="25" s="1"/>
  <c r="H76" i="39"/>
  <c r="I76" i="39" s="1"/>
  <c r="J76" i="39" s="1"/>
  <c r="I77" i="25" s="1"/>
  <c r="H71" i="39"/>
  <c r="I71" i="39" s="1"/>
  <c r="J71" i="39" s="1"/>
  <c r="I72" i="25" s="1"/>
  <c r="H55" i="39"/>
  <c r="I55" i="39" s="1"/>
  <c r="J55" i="39" s="1"/>
  <c r="I56" i="25" s="1"/>
  <c r="H61" i="39"/>
  <c r="I61" i="39" s="1"/>
  <c r="J61" i="39" s="1"/>
  <c r="I62" i="25" s="1"/>
  <c r="H100" i="39"/>
  <c r="I100" i="39" s="1"/>
  <c r="J100" i="39" s="1"/>
  <c r="I101" i="25" s="1"/>
  <c r="H272" i="39"/>
  <c r="I272" i="39" s="1"/>
  <c r="J272" i="39" s="1"/>
  <c r="I273" i="25" s="1"/>
  <c r="H22" i="39"/>
  <c r="I22" i="39" s="1"/>
  <c r="J22" i="39" s="1"/>
  <c r="I23" i="25" s="1"/>
  <c r="H90" i="39"/>
  <c r="I90" i="39" s="1"/>
  <c r="J90" i="39" s="1"/>
  <c r="I91" i="25" s="1"/>
  <c r="H154" i="39"/>
  <c r="I154" i="39" s="1"/>
  <c r="J154" i="39" s="1"/>
  <c r="I155" i="25" s="1"/>
  <c r="H288" i="39"/>
  <c r="I288" i="39" s="1"/>
  <c r="J288" i="39" s="1"/>
  <c r="I289" i="25" s="1"/>
  <c r="H13" i="39"/>
  <c r="I13" i="39" s="1"/>
  <c r="J13" i="39" s="1"/>
  <c r="I14" i="25" s="1"/>
  <c r="H82" i="39"/>
  <c r="I82" i="39" s="1"/>
  <c r="J82" i="39" s="1"/>
  <c r="I83" i="25" s="1"/>
  <c r="H121" i="39"/>
  <c r="I121" i="39" s="1"/>
  <c r="J121" i="39" s="1"/>
  <c r="I122" i="25" s="1"/>
  <c r="H249" i="39"/>
  <c r="I249" i="39" s="1"/>
  <c r="J249" i="39" s="1"/>
  <c r="I250" i="25" s="1"/>
  <c r="H198" i="39"/>
  <c r="I198" i="39" s="1"/>
  <c r="J198" i="39" s="1"/>
  <c r="I199" i="25" s="1"/>
  <c r="H259" i="39"/>
  <c r="I259" i="39" s="1"/>
  <c r="J259" i="39" s="1"/>
  <c r="I260" i="25" s="1"/>
  <c r="H47" i="39"/>
  <c r="I47" i="39" s="1"/>
  <c r="J47" i="39" s="1"/>
  <c r="I48" i="25" s="1"/>
  <c r="H155" i="39"/>
  <c r="I155" i="39" s="1"/>
  <c r="J155" i="39" s="1"/>
  <c r="I156" i="25" s="1"/>
  <c r="H51" i="39"/>
  <c r="I51" i="39" s="1"/>
  <c r="J51" i="39" s="1"/>
  <c r="I52" i="25" s="1"/>
  <c r="H114" i="39"/>
  <c r="I114" i="39" s="1"/>
  <c r="J114" i="39" s="1"/>
  <c r="I115" i="25" s="1"/>
  <c r="H65" i="39"/>
  <c r="I65" i="39" s="1"/>
  <c r="J65" i="39" s="1"/>
  <c r="I66" i="25" s="1"/>
  <c r="H273" i="39"/>
  <c r="I273" i="39" s="1"/>
  <c r="J273" i="39" s="1"/>
  <c r="I274" i="25" s="1"/>
  <c r="H306" i="39"/>
  <c r="I306" i="39" s="1"/>
  <c r="J306" i="39" s="1"/>
  <c r="I307" i="25" s="1"/>
  <c r="H70" i="39"/>
  <c r="I70" i="39" s="1"/>
  <c r="J70" i="39" s="1"/>
  <c r="I71" i="25" s="1"/>
  <c r="H191" i="39"/>
  <c r="I191" i="39" s="1"/>
  <c r="J191" i="39" s="1"/>
  <c r="I192" i="25" s="1"/>
  <c r="H15" i="39"/>
  <c r="I15" i="39" s="1"/>
  <c r="J15" i="39" s="1"/>
  <c r="I16" i="25" s="1"/>
  <c r="H122" i="39"/>
  <c r="I122" i="39" s="1"/>
  <c r="J122" i="39" s="1"/>
  <c r="I123" i="25" s="1"/>
  <c r="H262" i="39"/>
  <c r="I262" i="39" s="1"/>
  <c r="J262" i="39" s="1"/>
  <c r="I263" i="25" s="1"/>
  <c r="H132" i="39"/>
  <c r="I132" i="39" s="1"/>
  <c r="J132" i="39" s="1"/>
  <c r="I133" i="25" s="1"/>
  <c r="H101" i="39"/>
  <c r="I101" i="39" s="1"/>
  <c r="J101" i="39" s="1"/>
  <c r="I102" i="25" s="1"/>
  <c r="H60" i="39"/>
  <c r="I60" i="39" s="1"/>
  <c r="J60" i="39" s="1"/>
  <c r="I61" i="25" s="1"/>
  <c r="H247" i="39"/>
  <c r="I247" i="39" s="1"/>
  <c r="J247" i="39" s="1"/>
  <c r="I248" i="25" s="1"/>
  <c r="H14" i="39"/>
  <c r="I14" i="39" s="1"/>
  <c r="J14" i="39" s="1"/>
  <c r="I15" i="25" s="1"/>
  <c r="H162" i="39"/>
  <c r="I162" i="39" s="1"/>
  <c r="J162" i="39" s="1"/>
  <c r="I163" i="25" s="1"/>
  <c r="H201" i="39"/>
  <c r="I201" i="39" s="1"/>
  <c r="J201" i="39" s="1"/>
  <c r="I202" i="25" s="1"/>
  <c r="H150" i="39"/>
  <c r="I150" i="39" s="1"/>
  <c r="J150" i="39" s="1"/>
  <c r="I151" i="25" s="1"/>
  <c r="H127" i="39"/>
  <c r="I127" i="39" s="1"/>
  <c r="J127" i="39" s="1"/>
  <c r="I128" i="25" s="1"/>
  <c r="H312" i="39"/>
  <c r="I312" i="39" s="1"/>
  <c r="J312" i="39" s="1"/>
  <c r="I313" i="25" s="1"/>
  <c r="H128" i="39"/>
  <c r="I128" i="39" s="1"/>
  <c r="J128" i="39" s="1"/>
  <c r="I129" i="25" s="1"/>
  <c r="H115" i="39"/>
  <c r="I115" i="39" s="1"/>
  <c r="J115" i="39" s="1"/>
  <c r="I116" i="25" s="1"/>
  <c r="H109" i="39"/>
  <c r="I109" i="39" s="1"/>
  <c r="J109" i="39" s="1"/>
  <c r="I110" i="25" s="1"/>
  <c r="H311" i="39"/>
  <c r="I311" i="39" s="1"/>
  <c r="J311" i="39" s="1"/>
  <c r="I312" i="25" s="1"/>
  <c r="H153" i="39"/>
  <c r="I153" i="39" s="1"/>
  <c r="J153" i="39" s="1"/>
  <c r="I154" i="25" s="1"/>
  <c r="H216" i="39"/>
  <c r="I216" i="39" s="1"/>
  <c r="J216" i="39" s="1"/>
  <c r="I217" i="25" s="1"/>
  <c r="H92" i="39"/>
  <c r="I92" i="39" s="1"/>
  <c r="J92" i="39" s="1"/>
  <c r="I93" i="25" s="1"/>
  <c r="H124" i="39"/>
  <c r="I124" i="39" s="1"/>
  <c r="J124" i="39" s="1"/>
  <c r="I125" i="25" s="1"/>
  <c r="H225" i="39"/>
  <c r="I225" i="39" s="1"/>
  <c r="J225" i="39" s="1"/>
  <c r="I226" i="25" s="1"/>
  <c r="H63" i="39"/>
  <c r="I63" i="39" s="1"/>
  <c r="J63" i="39" s="1"/>
  <c r="I64" i="25" s="1"/>
  <c r="H68" i="39"/>
  <c r="I68" i="39" s="1"/>
  <c r="J68" i="39" s="1"/>
  <c r="I69" i="25" s="1"/>
  <c r="H10" i="39"/>
  <c r="I10" i="39" s="1"/>
  <c r="J10" i="39" s="1"/>
  <c r="I11" i="25" s="1"/>
  <c r="H73" i="39"/>
  <c r="I73" i="39" s="1"/>
  <c r="J73" i="39" s="1"/>
  <c r="I74" i="25" s="1"/>
  <c r="H236" i="39"/>
  <c r="I236" i="39" s="1"/>
  <c r="J236" i="39" s="1"/>
  <c r="I237" i="25" s="1"/>
  <c r="H277" i="39"/>
  <c r="I277" i="39" s="1"/>
  <c r="J277" i="39" s="1"/>
  <c r="I278" i="25" s="1"/>
  <c r="H142" i="39"/>
  <c r="I142" i="39" s="1"/>
  <c r="J142" i="39" s="1"/>
  <c r="I143" i="25" s="1"/>
  <c r="H292" i="39"/>
  <c r="I292" i="39" s="1"/>
  <c r="J292" i="39" s="1"/>
  <c r="I293" i="25" s="1"/>
  <c r="H299" i="39"/>
  <c r="I299" i="39" s="1"/>
  <c r="J299" i="39" s="1"/>
  <c r="I300" i="25" s="1"/>
  <c r="H98" i="39"/>
  <c r="I98" i="39" s="1"/>
  <c r="J98" i="39" s="1"/>
  <c r="I99" i="25" s="1"/>
  <c r="H217" i="39"/>
  <c r="I217" i="39" s="1"/>
  <c r="J217" i="39" s="1"/>
  <c r="I218" i="25" s="1"/>
  <c r="H117" i="39"/>
  <c r="I117" i="39" s="1"/>
  <c r="J117" i="39" s="1"/>
  <c r="I118" i="25" s="1"/>
  <c r="H295" i="39"/>
  <c r="I295" i="39" s="1"/>
  <c r="J295" i="39" s="1"/>
  <c r="I296" i="25" s="1"/>
  <c r="H52" i="39"/>
  <c r="I52" i="39" s="1"/>
  <c r="J52" i="39" s="1"/>
  <c r="I53" i="25" s="1"/>
  <c r="H199" i="39"/>
  <c r="I199" i="39" s="1"/>
  <c r="J199" i="39" s="1"/>
  <c r="I200" i="25" s="1"/>
  <c r="H303" i="39"/>
  <c r="I303" i="39" s="1"/>
  <c r="J303" i="39" s="1"/>
  <c r="I304" i="25" s="1"/>
  <c r="H86" i="39"/>
  <c r="I86" i="39" s="1"/>
  <c r="J86" i="39" s="1"/>
  <c r="I87" i="25" s="1"/>
  <c r="H112" i="39"/>
  <c r="I112" i="39" s="1"/>
  <c r="J112" i="39" s="1"/>
  <c r="I113" i="25" s="1"/>
  <c r="H26" i="39"/>
  <c r="I26" i="39" s="1"/>
  <c r="J26" i="39" s="1"/>
  <c r="I27" i="25" s="1"/>
  <c r="H290" i="39"/>
  <c r="I290" i="39" s="1"/>
  <c r="J290" i="39" s="1"/>
  <c r="I291" i="25" s="1"/>
  <c r="H137" i="39"/>
  <c r="I137" i="39" s="1"/>
  <c r="J137" i="39" s="1"/>
  <c r="I138" i="25" s="1"/>
  <c r="H265" i="39"/>
  <c r="I265" i="39" s="1"/>
  <c r="J265" i="39" s="1"/>
  <c r="I266" i="25" s="1"/>
  <c r="H238" i="39"/>
  <c r="I238" i="39" s="1"/>
  <c r="J238" i="39" s="1"/>
  <c r="I239" i="25" s="1"/>
  <c r="H280" i="39"/>
  <c r="I280" i="39" s="1"/>
  <c r="J280" i="39" s="1"/>
  <c r="I281" i="25" s="1"/>
  <c r="H235" i="39"/>
  <c r="I235" i="39" s="1"/>
  <c r="J235" i="39" s="1"/>
  <c r="I236" i="25" s="1"/>
  <c r="H228" i="39"/>
  <c r="I228" i="39" s="1"/>
  <c r="J228" i="39" s="1"/>
  <c r="I229" i="25" s="1"/>
  <c r="H48" i="39"/>
  <c r="I48" i="39" s="1"/>
  <c r="J48" i="39" s="1"/>
  <c r="I49" i="25" s="1"/>
  <c r="H183" i="39"/>
  <c r="I183" i="39" s="1"/>
  <c r="J183" i="39" s="1"/>
  <c r="I184" i="25" s="1"/>
  <c r="H95" i="39"/>
  <c r="I95" i="39" s="1"/>
  <c r="J95" i="39" s="1"/>
  <c r="I96" i="25" s="1"/>
  <c r="H56" i="39"/>
  <c r="I56" i="39" s="1"/>
  <c r="J56" i="39" s="1"/>
  <c r="I57" i="25" s="1"/>
  <c r="H104" i="39"/>
  <c r="I104" i="39" s="1"/>
  <c r="J104" i="39" s="1"/>
  <c r="I105" i="25" s="1"/>
  <c r="H212" i="39"/>
  <c r="I212" i="39" s="1"/>
  <c r="J212" i="39" s="1"/>
  <c r="I213" i="25" s="1"/>
  <c r="H29" i="39"/>
  <c r="I29" i="39" s="1"/>
  <c r="J29" i="39" s="1"/>
  <c r="I30" i="25" s="1"/>
  <c r="H242" i="39"/>
  <c r="I242" i="39" s="1"/>
  <c r="J242" i="39" s="1"/>
  <c r="I243" i="25" s="1"/>
  <c r="H206" i="39"/>
  <c r="I206" i="39" s="1"/>
  <c r="J206" i="39" s="1"/>
  <c r="I207" i="25" s="1"/>
  <c r="H215" i="39"/>
  <c r="I215" i="39" s="1"/>
  <c r="J215" i="39" s="1"/>
  <c r="I216" i="25" s="1"/>
  <c r="H263" i="39"/>
  <c r="I263" i="39" s="1"/>
  <c r="J263" i="39" s="1"/>
  <c r="I264" i="25" s="1"/>
  <c r="H239" i="39"/>
  <c r="I239" i="39" s="1"/>
  <c r="J239" i="39" s="1"/>
  <c r="I240" i="25" s="1"/>
  <c r="H23" i="39"/>
  <c r="I23" i="39" s="1"/>
  <c r="J23" i="39" s="1"/>
  <c r="I24" i="25" s="1"/>
  <c r="H250" i="39"/>
  <c r="I250" i="39" s="1"/>
  <c r="J250" i="39" s="1"/>
  <c r="I251" i="25" s="1"/>
  <c r="H62" i="39"/>
  <c r="I62" i="39" s="1"/>
  <c r="J62" i="39" s="1"/>
  <c r="I63" i="25" s="1"/>
  <c r="H35" i="39"/>
  <c r="I35" i="39" s="1"/>
  <c r="J35" i="39" s="1"/>
  <c r="I36" i="25" s="1"/>
  <c r="H207" i="39"/>
  <c r="I207" i="39" s="1"/>
  <c r="J207" i="39" s="1"/>
  <c r="I208" i="25" s="1"/>
  <c r="H143" i="39"/>
  <c r="I143" i="39" s="1"/>
  <c r="J143" i="39" s="1"/>
  <c r="I144" i="25" s="1"/>
  <c r="H45" i="39"/>
  <c r="I45" i="39" s="1"/>
  <c r="J45" i="39" s="1"/>
  <c r="I46" i="25" s="1"/>
  <c r="H168" i="39"/>
  <c r="I168" i="39" s="1"/>
  <c r="J168" i="39" s="1"/>
  <c r="I169" i="25" s="1"/>
  <c r="H275" i="39"/>
  <c r="I275" i="39" s="1"/>
  <c r="J275" i="39" s="1"/>
  <c r="I276" i="25" s="1"/>
  <c r="H296" i="39"/>
  <c r="I296" i="39" s="1"/>
  <c r="J296" i="39" s="1"/>
  <c r="I297" i="25" s="1"/>
  <c r="H174" i="39"/>
  <c r="I174" i="39" s="1"/>
  <c r="J174" i="39" s="1"/>
  <c r="I175" i="25" s="1"/>
  <c r="H30" i="39"/>
  <c r="I30" i="39" s="1"/>
  <c r="J30" i="39" s="1"/>
  <c r="I31" i="25" s="1"/>
  <c r="H106" i="39"/>
  <c r="I106" i="39" s="1"/>
  <c r="J106" i="39" s="1"/>
  <c r="I107" i="25" s="1"/>
  <c r="H234" i="39"/>
  <c r="I234" i="39" s="1"/>
  <c r="J234" i="39" s="1"/>
  <c r="I235" i="25" s="1"/>
  <c r="H81" i="39"/>
  <c r="I81" i="39" s="1"/>
  <c r="J81" i="39" s="1"/>
  <c r="I82" i="25" s="1"/>
  <c r="H286" i="39"/>
  <c r="I286" i="39" s="1"/>
  <c r="J286" i="39" s="1"/>
  <c r="I287" i="25" s="1"/>
  <c r="H214" i="39"/>
  <c r="I214" i="39" s="1"/>
  <c r="J214" i="39" s="1"/>
  <c r="I215" i="25" s="1"/>
  <c r="H182" i="39"/>
  <c r="I182" i="39" s="1"/>
  <c r="J182" i="39" s="1"/>
  <c r="I183" i="25" s="1"/>
  <c r="H84" i="39"/>
  <c r="I84" i="39" s="1"/>
  <c r="J84" i="39" s="1"/>
  <c r="I85" i="25" s="1"/>
  <c r="H43" i="39"/>
  <c r="I43" i="39" s="1"/>
  <c r="J43" i="39" s="1"/>
  <c r="I44" i="25" s="1"/>
  <c r="H255" i="39"/>
  <c r="I255" i="39" s="1"/>
  <c r="J255" i="39" s="1"/>
  <c r="I256" i="25" s="1"/>
  <c r="H111" i="39"/>
  <c r="I111" i="39" s="1"/>
  <c r="J111" i="39" s="1"/>
  <c r="I112" i="25" s="1"/>
  <c r="H87" i="39"/>
  <c r="I87" i="39" s="1"/>
  <c r="J87" i="39" s="1"/>
  <c r="I88" i="25" s="1"/>
  <c r="H300" i="39"/>
  <c r="I300" i="39" s="1"/>
  <c r="J300" i="39" s="1"/>
  <c r="I301" i="25" s="1"/>
  <c r="H251" i="39"/>
  <c r="I251" i="39" s="1"/>
  <c r="J251" i="39" s="1"/>
  <c r="I252" i="25" s="1"/>
  <c r="H156" i="39"/>
  <c r="I156" i="39" s="1"/>
  <c r="J156" i="39" s="1"/>
  <c r="I157" i="25" s="1"/>
  <c r="H147" i="39"/>
  <c r="I147" i="39" s="1"/>
  <c r="J147" i="39" s="1"/>
  <c r="I148" i="25" s="1"/>
  <c r="H129" i="39"/>
  <c r="I129" i="39" s="1"/>
  <c r="J129" i="39" s="1"/>
  <c r="I130" i="25" s="1"/>
  <c r="H268" i="39"/>
  <c r="I268" i="39" s="1"/>
  <c r="J268" i="39" s="1"/>
  <c r="I269" i="25" s="1"/>
  <c r="H178" i="39"/>
  <c r="I178" i="39" s="1"/>
  <c r="J178" i="39" s="1"/>
  <c r="I179" i="25" s="1"/>
  <c r="H152" i="39"/>
  <c r="I152" i="39" s="1"/>
  <c r="J152" i="39" s="1"/>
  <c r="I153" i="25" s="1"/>
  <c r="H93" i="39"/>
  <c r="I93" i="39" s="1"/>
  <c r="J93" i="39" s="1"/>
  <c r="I94" i="25" s="1"/>
  <c r="H195" i="39"/>
  <c r="I195" i="39" s="1"/>
  <c r="J195" i="39" s="1"/>
  <c r="I196" i="25" s="1"/>
  <c r="H165" i="39"/>
  <c r="I165" i="39" s="1"/>
  <c r="J165" i="39" s="1"/>
  <c r="I166" i="25" s="1"/>
  <c r="H131" i="39"/>
  <c r="I131" i="39" s="1"/>
  <c r="J131" i="39" s="1"/>
  <c r="I132" i="25" s="1"/>
  <c r="H186" i="39"/>
  <c r="I186" i="39" s="1"/>
  <c r="J186" i="39" s="1"/>
  <c r="I187" i="25" s="1"/>
  <c r="H102" i="39"/>
  <c r="I102" i="39" s="1"/>
  <c r="J102" i="39" s="1"/>
  <c r="I103" i="25" s="1"/>
  <c r="H79" i="39"/>
  <c r="I79" i="39" s="1"/>
  <c r="J79" i="39" s="1"/>
  <c r="I80" i="25" s="1"/>
  <c r="H11" i="39"/>
  <c r="I11" i="39" s="1"/>
  <c r="J11" i="39" s="1"/>
  <c r="I12" i="25" s="1"/>
  <c r="H189" i="39"/>
  <c r="I189" i="39" s="1"/>
  <c r="J189" i="39" s="1"/>
  <c r="I190" i="25" s="1"/>
  <c r="H25" i="39"/>
  <c r="I25" i="39" s="1"/>
  <c r="J25" i="39" s="1"/>
  <c r="I26" i="25" s="1"/>
  <c r="H224" i="39"/>
  <c r="I224" i="39" s="1"/>
  <c r="J224" i="39" s="1"/>
  <c r="I225" i="25" s="1"/>
  <c r="H309" i="39"/>
  <c r="I309" i="39" s="1"/>
  <c r="J309" i="39" s="1"/>
  <c r="I310" i="25" s="1"/>
  <c r="H31" i="39"/>
  <c r="I31" i="39" s="1"/>
  <c r="J31" i="39" s="1"/>
  <c r="I32" i="25" s="1"/>
  <c r="H307" i="39"/>
  <c r="I307" i="39" s="1"/>
  <c r="J307" i="39" s="1"/>
  <c r="I308" i="25" s="1"/>
  <c r="H96" i="39"/>
  <c r="I96" i="39" s="1"/>
  <c r="J96" i="39" s="1"/>
  <c r="I97" i="25" s="1"/>
  <c r="H46" i="39"/>
  <c r="I46" i="39" s="1"/>
  <c r="J46" i="39" s="1"/>
  <c r="I47" i="25" s="1"/>
  <c r="H37" i="39"/>
  <c r="I37" i="39" s="1"/>
  <c r="J37" i="39" s="1"/>
  <c r="I38" i="25" s="1"/>
  <c r="H130" i="39"/>
  <c r="I130" i="39" s="1"/>
  <c r="J130" i="39" s="1"/>
  <c r="I131" i="25" s="1"/>
  <c r="H258" i="39"/>
  <c r="I258" i="39" s="1"/>
  <c r="J258" i="39" s="1"/>
  <c r="I259" i="25" s="1"/>
  <c r="H105" i="39"/>
  <c r="I105" i="39" s="1"/>
  <c r="J105" i="39" s="1"/>
  <c r="I106" i="25" s="1"/>
  <c r="H233" i="39"/>
  <c r="I233" i="39" s="1"/>
  <c r="J233" i="39" s="1"/>
  <c r="I234" i="25" s="1"/>
  <c r="H134" i="39"/>
  <c r="I134" i="39" s="1"/>
  <c r="J134" i="39" s="1"/>
  <c r="I135" i="25" s="1"/>
  <c r="H94" i="39"/>
  <c r="I94" i="39" s="1"/>
  <c r="J94" i="39" s="1"/>
  <c r="I95" i="25" s="1"/>
  <c r="H293" i="39"/>
  <c r="I293" i="39" s="1"/>
  <c r="J293" i="39" s="1"/>
  <c r="I294" i="25" s="1"/>
  <c r="H279" i="39"/>
  <c r="I279" i="39" s="1"/>
  <c r="J279" i="39" s="1"/>
  <c r="I280" i="25" s="1"/>
  <c r="H120" i="39"/>
  <c r="I120" i="39" s="1"/>
  <c r="J120" i="39" s="1"/>
  <c r="I121" i="25" s="1"/>
  <c r="H80" i="39"/>
  <c r="I80" i="39" s="1"/>
  <c r="J80" i="39" s="1"/>
  <c r="I81" i="25" s="1"/>
  <c r="H245" i="39"/>
  <c r="I245" i="39" s="1"/>
  <c r="J245" i="39" s="1"/>
  <c r="I246" i="25" s="1"/>
  <c r="H135" i="39"/>
  <c r="I135" i="39" s="1"/>
  <c r="J135" i="39" s="1"/>
  <c r="I136" i="25" s="1"/>
  <c r="H27" i="39"/>
  <c r="I27" i="39" s="1"/>
  <c r="J27" i="39" s="1"/>
  <c r="I28" i="25" s="1"/>
  <c r="H192" i="39"/>
  <c r="I192" i="39" s="1"/>
  <c r="J192" i="39" s="1"/>
  <c r="I193" i="25" s="1"/>
  <c r="H125" i="39"/>
  <c r="I125" i="39" s="1"/>
  <c r="J125" i="39" s="1"/>
  <c r="I126" i="25" s="1"/>
  <c r="H248" i="39"/>
  <c r="I248" i="39" s="1"/>
  <c r="J248" i="39" s="1"/>
  <c r="I249" i="25" s="1"/>
  <c r="H227" i="39"/>
  <c r="I227" i="39" s="1"/>
  <c r="J227" i="39" s="1"/>
  <c r="I228" i="25" s="1"/>
  <c r="H20" i="39"/>
  <c r="I20" i="39" s="1"/>
  <c r="J20" i="39" s="1"/>
  <c r="I21" i="25" s="1"/>
  <c r="H151" i="39"/>
  <c r="I151" i="39" s="1"/>
  <c r="J151" i="39" s="1"/>
  <c r="I152" i="25" s="1"/>
  <c r="H257" i="39"/>
  <c r="I257" i="39" s="1"/>
  <c r="J257" i="39" s="1"/>
  <c r="I258" i="25" s="1"/>
  <c r="H74" i="39"/>
  <c r="I74" i="39" s="1"/>
  <c r="J74" i="39" s="1"/>
  <c r="I75" i="25" s="1"/>
  <c r="H202" i="39"/>
  <c r="I202" i="39" s="1"/>
  <c r="J202" i="39" s="1"/>
  <c r="I203" i="25" s="1"/>
  <c r="H40" i="39"/>
  <c r="I40" i="39" s="1"/>
  <c r="J40" i="39" s="1"/>
  <c r="I41" i="25" s="1"/>
  <c r="H177" i="39"/>
  <c r="I177" i="39" s="1"/>
  <c r="J177" i="39" s="1"/>
  <c r="I178" i="25" s="1"/>
  <c r="H305" i="39"/>
  <c r="I305" i="39" s="1"/>
  <c r="J305" i="39" s="1"/>
  <c r="I306" i="25" s="1"/>
  <c r="H78" i="39"/>
  <c r="I78" i="39" s="1"/>
  <c r="J78" i="39" s="1"/>
  <c r="I79" i="25" s="1"/>
  <c r="H302" i="39"/>
  <c r="I302" i="39" s="1"/>
  <c r="J302" i="39" s="1"/>
  <c r="I303" i="25" s="1"/>
  <c r="H223" i="39"/>
  <c r="I223" i="39" s="1"/>
  <c r="J223" i="39" s="1"/>
  <c r="I224" i="25" s="1"/>
  <c r="H188" i="39"/>
  <c r="I188" i="39" s="1"/>
  <c r="J188" i="39" s="1"/>
  <c r="I189" i="25" s="1"/>
  <c r="H141" i="39"/>
  <c r="I141" i="39" s="1"/>
  <c r="J141" i="39" s="1"/>
  <c r="I142" i="25" s="1"/>
  <c r="H107" i="39"/>
  <c r="I107" i="39" s="1"/>
  <c r="J107" i="39" s="1"/>
  <c r="I108" i="25" s="1"/>
  <c r="H72" i="39"/>
  <c r="I72" i="39" s="1"/>
  <c r="J72" i="39" s="1"/>
  <c r="I73" i="25" s="1"/>
  <c r="H64" i="39"/>
  <c r="I64" i="39" s="1"/>
  <c r="J64" i="39" s="1"/>
  <c r="I65" i="25" s="1"/>
  <c r="H184" i="39"/>
  <c r="I184" i="39" s="1"/>
  <c r="J184" i="39" s="1"/>
  <c r="I185" i="25" s="1"/>
  <c r="H103" i="39"/>
  <c r="I103" i="39" s="1"/>
  <c r="J103" i="39" s="1"/>
  <c r="I104" i="25" s="1"/>
  <c r="H99" i="39"/>
  <c r="I99" i="39" s="1"/>
  <c r="J99" i="39" s="1"/>
  <c r="I100" i="25" s="1"/>
  <c r="H172" i="39"/>
  <c r="I172" i="39" s="1"/>
  <c r="J172" i="39" s="1"/>
  <c r="I173" i="25" s="1"/>
  <c r="H49" i="39"/>
  <c r="I49" i="39" s="1"/>
  <c r="J49" i="39" s="1"/>
  <c r="I50" i="25" s="1"/>
  <c r="H159" i="39"/>
  <c r="I159" i="39" s="1"/>
  <c r="J159" i="39" s="1"/>
  <c r="I160" i="25" s="1"/>
  <c r="H246" i="39"/>
  <c r="I246" i="39" s="1"/>
  <c r="J246" i="39" s="1"/>
  <c r="I247" i="25" s="1"/>
  <c r="H6" i="39"/>
  <c r="I6" i="39" s="1"/>
  <c r="J6" i="39" s="1"/>
  <c r="I7" i="25" s="1"/>
  <c r="H16" i="39"/>
  <c r="I16" i="39" s="1"/>
  <c r="J16" i="39" s="1"/>
  <c r="I17" i="25" s="1"/>
  <c r="H274" i="39"/>
  <c r="I274" i="39" s="1"/>
  <c r="J274" i="39" s="1"/>
  <c r="I275" i="25" s="1"/>
  <c r="H185" i="39"/>
  <c r="I185" i="39" s="1"/>
  <c r="J185" i="39" s="1"/>
  <c r="I186" i="25" s="1"/>
  <c r="H158" i="39"/>
  <c r="I158" i="39" s="1"/>
  <c r="J158" i="39" s="1"/>
  <c r="I159" i="25" s="1"/>
  <c r="H116" i="39"/>
  <c r="I116" i="39" s="1"/>
  <c r="J116" i="39" s="1"/>
  <c r="I117" i="25" s="1"/>
  <c r="H244" i="39"/>
  <c r="I244" i="39" s="1"/>
  <c r="J244" i="39" s="1"/>
  <c r="I245" i="25" s="1"/>
  <c r="H149" i="39"/>
  <c r="I149" i="39" s="1"/>
  <c r="J149" i="39" s="1"/>
  <c r="I150" i="25" s="1"/>
  <c r="H44" i="39"/>
  <c r="I44" i="39" s="1"/>
  <c r="J44" i="39" s="1"/>
  <c r="I45" i="25" s="1"/>
  <c r="H308" i="39"/>
  <c r="I308" i="39" s="1"/>
  <c r="J308" i="39" s="1"/>
  <c r="I309" i="25" s="1"/>
  <c r="H301" i="39"/>
  <c r="I301" i="39" s="1"/>
  <c r="J301" i="39" s="1"/>
  <c r="I302" i="25" s="1"/>
  <c r="H133" i="39"/>
  <c r="I133" i="39" s="1"/>
  <c r="J133" i="39" s="1"/>
  <c r="I134" i="25" s="1"/>
  <c r="H83" i="39"/>
  <c r="I83" i="39" s="1"/>
  <c r="J83" i="39" s="1"/>
  <c r="I84" i="25" s="1"/>
  <c r="H33" i="39"/>
  <c r="I33" i="39" s="1"/>
  <c r="J33" i="39" s="1"/>
  <c r="I34" i="25" s="1"/>
  <c r="H144" i="39"/>
  <c r="I144" i="39" s="1"/>
  <c r="J144" i="39" s="1"/>
  <c r="I145" i="25" s="1"/>
  <c r="H231" i="39"/>
  <c r="I231" i="39" s="1"/>
  <c r="J231" i="39" s="1"/>
  <c r="I232" i="25" s="1"/>
  <c r="H59" i="39"/>
  <c r="I59" i="39" s="1"/>
  <c r="J59" i="39" s="1"/>
  <c r="I60" i="25" s="1"/>
  <c r="H173" i="39"/>
  <c r="I173" i="39" s="1"/>
  <c r="J173" i="39" s="1"/>
  <c r="I174" i="25" s="1"/>
  <c r="H24" i="39"/>
  <c r="I24" i="39" s="1"/>
  <c r="J24" i="39" s="1"/>
  <c r="I25" i="25" s="1"/>
  <c r="H136" i="39"/>
  <c r="I136" i="39" s="1"/>
  <c r="J136" i="39" s="1"/>
  <c r="I137" i="25" s="1"/>
  <c r="H289" i="39"/>
  <c r="I289" i="39" s="1"/>
  <c r="J289" i="39" s="1"/>
  <c r="I290" i="25" s="1"/>
  <c r="H261" i="39"/>
  <c r="I261" i="39" s="1"/>
  <c r="J261" i="39" s="1"/>
  <c r="I262" i="25" s="1"/>
  <c r="H287" i="39"/>
  <c r="I287" i="39" s="1"/>
  <c r="J287" i="39" s="1"/>
  <c r="I288" i="25" s="1"/>
  <c r="H276" i="39"/>
  <c r="I276" i="39" s="1"/>
  <c r="J276" i="39" s="1"/>
  <c r="I277" i="25" s="1"/>
  <c r="H267" i="39"/>
  <c r="I267" i="39" s="1"/>
  <c r="J267" i="39" s="1"/>
  <c r="I268" i="25" s="1"/>
  <c r="H271" i="39"/>
  <c r="I271" i="39" s="1"/>
  <c r="J271" i="39" s="1"/>
  <c r="I272" i="25" s="1"/>
  <c r="H200" i="39"/>
  <c r="I200" i="39" s="1"/>
  <c r="J200" i="39" s="1"/>
  <c r="I201" i="25" s="1"/>
  <c r="H209" i="39"/>
  <c r="I209" i="39" s="1"/>
  <c r="J209" i="39" s="1"/>
  <c r="I210" i="25" s="1"/>
  <c r="H281" i="39"/>
  <c r="I281" i="39" s="1"/>
  <c r="J281" i="39" s="1"/>
  <c r="I282" i="25" s="1"/>
  <c r="H50" i="39"/>
  <c r="I50" i="39" s="1"/>
  <c r="J50" i="39" s="1"/>
  <c r="I51" i="25" s="1"/>
  <c r="H284" i="39"/>
  <c r="I284" i="39" s="1"/>
  <c r="J284" i="39" s="1"/>
  <c r="I285" i="25" s="1"/>
  <c r="H9" i="39"/>
  <c r="I9" i="39" s="1"/>
  <c r="J9" i="39" s="1"/>
  <c r="I10" i="25" s="1"/>
  <c r="H176" i="39"/>
  <c r="I176" i="39" s="1"/>
  <c r="J176" i="39" s="1"/>
  <c r="I177" i="25" s="1"/>
  <c r="H313" i="39"/>
  <c r="I313" i="39" s="1"/>
  <c r="J313" i="39" s="1"/>
  <c r="I314" i="25" s="1"/>
  <c r="H252" i="39"/>
  <c r="I252" i="39" s="1"/>
  <c r="J252" i="39" s="1"/>
  <c r="I253" i="25" s="1"/>
  <c r="I44" i="12"/>
  <c r="J45" i="25" s="1"/>
  <c r="I86" i="12"/>
  <c r="J87" i="25" s="1"/>
  <c r="J86" i="12"/>
  <c r="I150" i="12"/>
  <c r="J151" i="25" s="1"/>
  <c r="I160" i="12"/>
  <c r="J161" i="25" s="1"/>
  <c r="I275" i="12"/>
  <c r="J276" i="25" s="1"/>
  <c r="I214" i="12"/>
  <c r="J215" i="25" s="1"/>
  <c r="I31" i="12"/>
  <c r="J32" i="25" s="1"/>
  <c r="I37" i="12"/>
  <c r="J38" i="25" s="1"/>
  <c r="I208" i="12"/>
  <c r="J209" i="25" s="1"/>
  <c r="I54" i="12"/>
  <c r="J55" i="25" s="1"/>
  <c r="I202" i="12"/>
  <c r="J203" i="25" s="1"/>
  <c r="I113" i="12"/>
  <c r="J114" i="25" s="1"/>
  <c r="I278" i="12"/>
  <c r="J279" i="25" s="1"/>
  <c r="I76" i="12"/>
  <c r="J77" i="25" s="1"/>
  <c r="I172" i="12"/>
  <c r="J173" i="25" s="1"/>
  <c r="I90" i="12"/>
  <c r="J91" i="25" s="1"/>
  <c r="J90" i="12"/>
  <c r="I82" i="12"/>
  <c r="J83" i="25" s="1"/>
  <c r="I313" i="12"/>
  <c r="J314" i="25" s="1"/>
  <c r="I149" i="12"/>
  <c r="J150" i="25" s="1"/>
  <c r="I193" i="12"/>
  <c r="J194" i="25" s="1"/>
  <c r="I15" i="12"/>
  <c r="J16" i="25" s="1"/>
  <c r="I33" i="12"/>
  <c r="J34" i="25" s="1"/>
  <c r="I52" i="12"/>
  <c r="J53" i="25" s="1"/>
  <c r="I144" i="12"/>
  <c r="J145" i="25" s="1"/>
  <c r="I101" i="12"/>
  <c r="J102" i="25" s="1"/>
  <c r="I231" i="12"/>
  <c r="J232" i="25" s="1"/>
  <c r="I173" i="12"/>
  <c r="J174" i="25" s="1"/>
  <c r="I162" i="12"/>
  <c r="J163" i="25" s="1"/>
  <c r="I136" i="12"/>
  <c r="J137" i="25" s="1"/>
  <c r="I183" i="12"/>
  <c r="J184" i="25" s="1"/>
  <c r="I109" i="12"/>
  <c r="J110" i="25" s="1"/>
  <c r="I212" i="12"/>
  <c r="J213" i="25" s="1"/>
  <c r="I153" i="12"/>
  <c r="J154" i="25" s="1"/>
  <c r="I215" i="12"/>
  <c r="J216" i="25" s="1"/>
  <c r="I276" i="12"/>
  <c r="J277" i="25" s="1"/>
  <c r="I88" i="12"/>
  <c r="J89" i="25" s="1"/>
  <c r="I35" i="12"/>
  <c r="J36" i="25" s="1"/>
  <c r="I168" i="12"/>
  <c r="J169" i="25" s="1"/>
  <c r="I28" i="12"/>
  <c r="J29" i="25" s="1"/>
  <c r="I30" i="12"/>
  <c r="J31" i="25" s="1"/>
  <c r="I298" i="12"/>
  <c r="J299" i="25" s="1"/>
  <c r="I39" i="12"/>
  <c r="J40" i="25" s="1"/>
  <c r="J39" i="12"/>
  <c r="I87" i="12"/>
  <c r="J88" i="25" s="1"/>
  <c r="I175" i="12"/>
  <c r="J176" i="25" s="1"/>
  <c r="I156" i="12"/>
  <c r="J157" i="25" s="1"/>
  <c r="I118" i="12"/>
  <c r="J119" i="25" s="1"/>
  <c r="I268" i="12"/>
  <c r="J269" i="25" s="1"/>
  <c r="I285" i="12"/>
  <c r="J286" i="25" s="1"/>
  <c r="I85" i="12"/>
  <c r="J86" i="25" s="1"/>
  <c r="I50" i="12"/>
  <c r="J51" i="25" s="1"/>
  <c r="I11" i="12"/>
  <c r="J12" i="25" s="1"/>
  <c r="I46" i="12"/>
  <c r="J47" i="25" s="1"/>
  <c r="J46" i="12"/>
  <c r="I294" i="12"/>
  <c r="J295" i="25" s="1"/>
  <c r="I205" i="12"/>
  <c r="J206" i="25" s="1"/>
  <c r="I245" i="12"/>
  <c r="J246" i="25" s="1"/>
  <c r="I125" i="12"/>
  <c r="J126" i="25" s="1"/>
  <c r="I151" i="12"/>
  <c r="J152" i="25" s="1"/>
  <c r="I74" i="12"/>
  <c r="J75" i="25" s="1"/>
  <c r="I188" i="12"/>
  <c r="J189" i="25" s="1"/>
  <c r="I61" i="12"/>
  <c r="J62" i="25" s="1"/>
  <c r="I99" i="12"/>
  <c r="J100" i="25" s="1"/>
  <c r="I246" i="12"/>
  <c r="J247" i="25" s="1"/>
  <c r="I244" i="12"/>
  <c r="J245" i="25" s="1"/>
  <c r="I65" i="12"/>
  <c r="J66" i="25" s="1"/>
  <c r="J65" i="12"/>
  <c r="I308" i="12"/>
  <c r="J309" i="25" s="1"/>
  <c r="I306" i="12"/>
  <c r="J307" i="25" s="1"/>
  <c r="J306" i="12"/>
  <c r="I117" i="12"/>
  <c r="J118" i="25" s="1"/>
  <c r="I163" i="12"/>
  <c r="J164" i="25" s="1"/>
  <c r="I137" i="12"/>
  <c r="J138" i="25" s="1"/>
  <c r="I254" i="12"/>
  <c r="J255" i="25" s="1"/>
  <c r="I312" i="12"/>
  <c r="J313" i="25" s="1"/>
  <c r="I115" i="12"/>
  <c r="J116" i="25" s="1"/>
  <c r="I36" i="12"/>
  <c r="J37" i="25" s="1"/>
  <c r="I179" i="12"/>
  <c r="J180" i="25" s="1"/>
  <c r="I225" i="12"/>
  <c r="J226" i="25" s="1"/>
  <c r="I213" i="12"/>
  <c r="J214" i="25" s="1"/>
  <c r="I170" i="12"/>
  <c r="J171" i="25" s="1"/>
  <c r="I286" i="12"/>
  <c r="J287" i="25" s="1"/>
  <c r="I43" i="12"/>
  <c r="J44" i="25" s="1"/>
  <c r="I157" i="12"/>
  <c r="J158" i="25" s="1"/>
  <c r="I7" i="12"/>
  <c r="J8" i="25" s="1"/>
  <c r="I17" i="12"/>
  <c r="J18" i="25" s="1"/>
  <c r="I89" i="12"/>
  <c r="J90" i="25" s="1"/>
  <c r="I93" i="12"/>
  <c r="J94" i="25" s="1"/>
  <c r="J93" i="12"/>
  <c r="I256" i="12"/>
  <c r="J257" i="25" s="1"/>
  <c r="I97" i="12"/>
  <c r="J98" i="25" s="1"/>
  <c r="I123" i="12"/>
  <c r="J124" i="25" s="1"/>
  <c r="I309" i="12"/>
  <c r="J310" i="25" s="1"/>
  <c r="I260" i="12"/>
  <c r="J261" i="25" s="1"/>
  <c r="I66" i="12"/>
  <c r="J67" i="25" s="1"/>
  <c r="J66" i="12"/>
  <c r="I105" i="12"/>
  <c r="J106" i="25" s="1"/>
  <c r="I297" i="12"/>
  <c r="J298" i="25" s="1"/>
  <c r="I293" i="12"/>
  <c r="J294" i="25" s="1"/>
  <c r="I164" i="12"/>
  <c r="J165" i="25" s="1"/>
  <c r="I171" i="12"/>
  <c r="J172" i="25" s="1"/>
  <c r="I226" i="12"/>
  <c r="J227" i="25" s="1"/>
  <c r="I266" i="12"/>
  <c r="J267" i="25" s="1"/>
  <c r="I305" i="12"/>
  <c r="J306" i="25" s="1"/>
  <c r="I64" i="12"/>
  <c r="J65" i="25" s="1"/>
  <c r="I299" i="12"/>
  <c r="J300" i="25" s="1"/>
  <c r="I22" i="12"/>
  <c r="J23" i="25" s="1"/>
  <c r="I185" i="12"/>
  <c r="J186" i="25" s="1"/>
  <c r="I262" i="12"/>
  <c r="J263" i="25" s="1"/>
  <c r="I29" i="12"/>
  <c r="J30" i="25" s="1"/>
  <c r="I263" i="12"/>
  <c r="J264" i="25" s="1"/>
  <c r="I232" i="12"/>
  <c r="J233" i="25" s="1"/>
  <c r="J232" i="12"/>
  <c r="I147" i="12"/>
  <c r="J148" i="25" s="1"/>
  <c r="I195" i="12"/>
  <c r="J196" i="25" s="1"/>
  <c r="I196" i="12"/>
  <c r="J197" i="25" s="1"/>
  <c r="I259" i="12"/>
  <c r="J260" i="25" s="1"/>
  <c r="I261" i="12"/>
  <c r="J262" i="25" s="1"/>
  <c r="I60" i="12"/>
  <c r="J61" i="25" s="1"/>
  <c r="J60" i="12"/>
  <c r="I267" i="12"/>
  <c r="J268" i="25" s="1"/>
  <c r="I283" i="12"/>
  <c r="J284" i="25" s="1"/>
  <c r="I269" i="12"/>
  <c r="J270" i="25" s="1"/>
  <c r="I131" i="12"/>
  <c r="J132" i="25" s="1"/>
  <c r="I224" i="12"/>
  <c r="J225" i="25" s="1"/>
  <c r="I96" i="12"/>
  <c r="J97" i="25" s="1"/>
  <c r="I94" i="12"/>
  <c r="J95" i="25" s="1"/>
  <c r="I221" i="12"/>
  <c r="J222" i="25" s="1"/>
  <c r="J221" i="12"/>
  <c r="I126" i="12"/>
  <c r="J127" i="25" s="1"/>
  <c r="I181" i="12"/>
  <c r="J182" i="25" s="1"/>
  <c r="I103" i="12"/>
  <c r="J104" i="25" s="1"/>
  <c r="I13" i="12"/>
  <c r="J14" i="25" s="1"/>
  <c r="I198" i="12"/>
  <c r="J199" i="25" s="1"/>
  <c r="I190" i="12"/>
  <c r="J191" i="25" s="1"/>
  <c r="I122" i="12"/>
  <c r="J123" i="25" s="1"/>
  <c r="I132" i="12"/>
  <c r="J133" i="25" s="1"/>
  <c r="I48" i="12"/>
  <c r="J49" i="25" s="1"/>
  <c r="I42" i="12"/>
  <c r="J43" i="25" s="1"/>
  <c r="I152" i="12"/>
  <c r="J153" i="25" s="1"/>
  <c r="I258" i="12"/>
  <c r="J259" i="25" s="1"/>
  <c r="I20" i="12"/>
  <c r="J21" i="25" s="1"/>
  <c r="I223" i="12"/>
  <c r="J224" i="25" s="1"/>
  <c r="J223" i="12"/>
  <c r="I272" i="12"/>
  <c r="J273" i="25" s="1"/>
  <c r="I8" i="12"/>
  <c r="J9" i="25" s="1"/>
  <c r="I98" i="12"/>
  <c r="J99" i="25" s="1"/>
  <c r="I217" i="12"/>
  <c r="J218" i="25" s="1"/>
  <c r="I191" i="12"/>
  <c r="J192" i="25" s="1"/>
  <c r="I289" i="12"/>
  <c r="J290" i="25" s="1"/>
  <c r="I146" i="12"/>
  <c r="J147" i="25" s="1"/>
  <c r="I59" i="12"/>
  <c r="J60" i="25" s="1"/>
  <c r="I290" i="12"/>
  <c r="J291" i="25" s="1"/>
  <c r="I228" i="12"/>
  <c r="J229" i="25" s="1"/>
  <c r="I311" i="12"/>
  <c r="J312" i="25" s="1"/>
  <c r="I242" i="12"/>
  <c r="J243" i="25" s="1"/>
  <c r="I216" i="12"/>
  <c r="J217" i="25" s="1"/>
  <c r="I62" i="12"/>
  <c r="J63" i="25" s="1"/>
  <c r="I187" i="12"/>
  <c r="J188" i="25" s="1"/>
  <c r="I143" i="12"/>
  <c r="J144" i="25" s="1"/>
  <c r="I68" i="12"/>
  <c r="J69" i="25" s="1"/>
  <c r="I296" i="12"/>
  <c r="J297" i="25" s="1"/>
  <c r="J296" i="12"/>
  <c r="I32" i="12"/>
  <c r="J33" i="25" s="1"/>
  <c r="I310" i="12"/>
  <c r="J311" i="25" s="1"/>
  <c r="I271" i="12"/>
  <c r="J272" i="25" s="1"/>
  <c r="I300" i="12"/>
  <c r="J301" i="25" s="1"/>
  <c r="I219" i="12"/>
  <c r="J220" i="25" s="1"/>
  <c r="I281" i="12"/>
  <c r="J282" i="25" s="1"/>
  <c r="I180" i="12"/>
  <c r="J181" i="25" s="1"/>
  <c r="I165" i="12"/>
  <c r="J166" i="25" s="1"/>
  <c r="I53" i="12"/>
  <c r="J54" i="25" s="1"/>
  <c r="I102" i="12"/>
  <c r="J103" i="25" s="1"/>
  <c r="I69" i="12"/>
  <c r="J70" i="25" s="1"/>
  <c r="I25" i="12"/>
  <c r="J26" i="25" s="1"/>
  <c r="I77" i="12"/>
  <c r="J78" i="25" s="1"/>
  <c r="I130" i="12"/>
  <c r="J131" i="25" s="1"/>
  <c r="I134" i="12"/>
  <c r="J135" i="25" s="1"/>
  <c r="I120" i="12"/>
  <c r="J121" i="25" s="1"/>
  <c r="I243" i="12"/>
  <c r="J244" i="25" s="1"/>
  <c r="I27" i="12"/>
  <c r="J28" i="25" s="1"/>
  <c r="J27" i="12"/>
  <c r="I167" i="12"/>
  <c r="J168" i="25" s="1"/>
  <c r="I227" i="12"/>
  <c r="J228" i="25" s="1"/>
  <c r="I284" i="12"/>
  <c r="J285" i="25" s="1"/>
  <c r="I138" i="12"/>
  <c r="J139" i="25" s="1"/>
  <c r="I107" i="12"/>
  <c r="J108" i="25" s="1"/>
  <c r="I55" i="12"/>
  <c r="J56" i="25" s="1"/>
  <c r="I176" i="12"/>
  <c r="J177" i="25" s="1"/>
  <c r="I49" i="12"/>
  <c r="J50" i="25" s="1"/>
  <c r="I288" i="12"/>
  <c r="J289" i="25" s="1"/>
  <c r="I249" i="12"/>
  <c r="J250" i="25" s="1"/>
  <c r="I155" i="12"/>
  <c r="J156" i="25" s="1"/>
  <c r="I252" i="12"/>
  <c r="J253" i="25" s="1"/>
  <c r="I83" i="12"/>
  <c r="J84" i="25" s="1"/>
  <c r="I21" i="12"/>
  <c r="J22" i="25" s="1"/>
  <c r="I280" i="12"/>
  <c r="J281" i="25" s="1"/>
  <c r="I81" i="12"/>
  <c r="J82" i="25" s="1"/>
  <c r="I9" i="12"/>
  <c r="J10" i="25" s="1"/>
  <c r="I116" i="12"/>
  <c r="J117" i="25" s="1"/>
  <c r="I303" i="12"/>
  <c r="J304" i="25" s="1"/>
  <c r="I112" i="12"/>
  <c r="J113" i="25" s="1"/>
  <c r="I206" i="12"/>
  <c r="J207" i="25" s="1"/>
  <c r="I23" i="12"/>
  <c r="J24" i="25" s="1"/>
  <c r="I45" i="12"/>
  <c r="J46" i="25" s="1"/>
  <c r="I277" i="12"/>
  <c r="J278" i="25" s="1"/>
  <c r="I34" i="12"/>
  <c r="J35" i="25" s="1"/>
  <c r="I79" i="12"/>
  <c r="J80" i="25" s="1"/>
  <c r="I169" i="12"/>
  <c r="J170" i="25" s="1"/>
  <c r="I148" i="12"/>
  <c r="J149" i="25" s="1"/>
  <c r="I177" i="12"/>
  <c r="J178" i="25" s="1"/>
  <c r="I159" i="12"/>
  <c r="J160" i="25" s="1"/>
  <c r="I273" i="12"/>
  <c r="J274" i="25" s="1"/>
  <c r="I139" i="12"/>
  <c r="J140" i="25" s="1"/>
  <c r="I295" i="12"/>
  <c r="J296" i="25" s="1"/>
  <c r="I229" i="12"/>
  <c r="J230" i="25" s="1"/>
  <c r="I67" i="12"/>
  <c r="J68" i="25" s="1"/>
  <c r="I287" i="12"/>
  <c r="J288" i="25" s="1"/>
  <c r="J287" i="12"/>
  <c r="I10" i="12"/>
  <c r="J11" i="25" s="1"/>
  <c r="I247" i="12"/>
  <c r="J248" i="25" s="1"/>
  <c r="I24" i="12"/>
  <c r="J25" i="25" s="1"/>
  <c r="I73" i="12"/>
  <c r="J74" i="25" s="1"/>
  <c r="I238" i="12"/>
  <c r="J239" i="25" s="1"/>
  <c r="I127" i="12"/>
  <c r="J128" i="25" s="1"/>
  <c r="I128" i="12"/>
  <c r="J129" i="25" s="1"/>
  <c r="I56" i="12"/>
  <c r="J57" i="25" s="1"/>
  <c r="I239" i="12"/>
  <c r="J240" i="25" s="1"/>
  <c r="I124" i="12"/>
  <c r="J125" i="25" s="1"/>
  <c r="I110" i="12"/>
  <c r="J111" i="25" s="1"/>
  <c r="I18" i="12"/>
  <c r="J19" i="25" s="1"/>
  <c r="I234" i="12"/>
  <c r="J235" i="25" s="1"/>
  <c r="I145" i="12"/>
  <c r="J146" i="25" s="1"/>
  <c r="I182" i="12"/>
  <c r="J183" i="25" s="1"/>
  <c r="I91" i="12"/>
  <c r="J92" i="25" s="1"/>
  <c r="I119" i="12"/>
  <c r="J120" i="25" s="1"/>
  <c r="I129" i="12"/>
  <c r="J130" i="25" s="1"/>
  <c r="I218" i="12"/>
  <c r="J219" i="25" s="1"/>
  <c r="I140" i="12"/>
  <c r="J141" i="25" s="1"/>
  <c r="I220" i="12"/>
  <c r="J221" i="25" s="1"/>
  <c r="I240" i="12"/>
  <c r="J241" i="25" s="1"/>
  <c r="I210" i="12"/>
  <c r="J211" i="25" s="1"/>
  <c r="I307" i="12"/>
  <c r="J308" i="25" s="1"/>
  <c r="I304" i="12"/>
  <c r="J305" i="25" s="1"/>
  <c r="I57" i="12"/>
  <c r="J58" i="25" s="1"/>
  <c r="I270" i="12"/>
  <c r="J271" i="25" s="1"/>
  <c r="I75" i="12"/>
  <c r="J76" i="25" s="1"/>
  <c r="I253" i="12"/>
  <c r="J254" i="25" s="1"/>
  <c r="I40" i="12"/>
  <c r="J41" i="25" s="1"/>
  <c r="I241" i="12"/>
  <c r="J242" i="25" s="1"/>
  <c r="I302" i="12"/>
  <c r="J303" i="25" s="1"/>
  <c r="I237" i="12"/>
  <c r="J238" i="25" s="1"/>
  <c r="I100" i="12"/>
  <c r="J101" i="25" s="1"/>
  <c r="I154" i="12"/>
  <c r="J155" i="25" s="1"/>
  <c r="I16" i="12"/>
  <c r="J17" i="25" s="1"/>
  <c r="I121" i="12"/>
  <c r="J122" i="25" s="1"/>
  <c r="I158" i="12"/>
  <c r="J159" i="25" s="1"/>
  <c r="I70" i="12"/>
  <c r="J71" i="25" s="1"/>
  <c r="I133" i="12"/>
  <c r="J134" i="25" s="1"/>
  <c r="I264" i="12"/>
  <c r="J265" i="25" s="1"/>
  <c r="I92" i="12"/>
  <c r="J93" i="25" s="1"/>
  <c r="I250" i="12"/>
  <c r="J251" i="25" s="1"/>
  <c r="I282" i="12"/>
  <c r="J283" i="25" s="1"/>
  <c r="I200" i="12"/>
  <c r="J201" i="25" s="1"/>
  <c r="I222" i="12"/>
  <c r="J223" i="25" s="1"/>
  <c r="I142" i="12"/>
  <c r="J143" i="25" s="1"/>
  <c r="I108" i="12"/>
  <c r="J109" i="25" s="1"/>
  <c r="I194" i="12"/>
  <c r="J195" i="25" s="1"/>
  <c r="I161" i="12"/>
  <c r="J162" i="25" s="1"/>
  <c r="I211" i="12"/>
  <c r="J212" i="25" s="1"/>
  <c r="I104" i="12"/>
  <c r="J105" i="25" s="1"/>
  <c r="I111" i="12"/>
  <c r="J112" i="25" s="1"/>
  <c r="I251" i="12"/>
  <c r="J252" i="25" s="1"/>
  <c r="J251" i="12"/>
  <c r="I209" i="12"/>
  <c r="J210" i="25" s="1"/>
  <c r="I274" i="12"/>
  <c r="J275" i="25" s="1"/>
  <c r="J274" i="12"/>
  <c r="I51" i="12"/>
  <c r="J52" i="25" s="1"/>
  <c r="I38" i="12"/>
  <c r="J39" i="25" s="1"/>
  <c r="I301" i="12"/>
  <c r="J302" i="25" s="1"/>
  <c r="I14" i="12"/>
  <c r="J15" i="25" s="1"/>
  <c r="J14" i="12"/>
  <c r="I201" i="12"/>
  <c r="J202" i="25" s="1"/>
  <c r="I19" i="12"/>
  <c r="J20" i="25" s="1"/>
  <c r="J19" i="12"/>
  <c r="I236" i="12"/>
  <c r="J237" i="25" s="1"/>
  <c r="I174" i="12"/>
  <c r="J175" i="25" s="1"/>
  <c r="I84" i="12"/>
  <c r="J85" i="25" s="1"/>
  <c r="I204" i="12"/>
  <c r="J205" i="25" s="1"/>
  <c r="I58" i="12"/>
  <c r="J59" i="25" s="1"/>
  <c r="I292" i="12"/>
  <c r="J293" i="25" s="1"/>
  <c r="I80" i="12"/>
  <c r="J81" i="25" s="1"/>
  <c r="I192" i="12"/>
  <c r="J193" i="25" s="1"/>
  <c r="I166" i="12"/>
  <c r="J167" i="25" s="1"/>
  <c r="I291" i="12"/>
  <c r="J292" i="25" s="1"/>
  <c r="I72" i="12"/>
  <c r="J73" i="25" s="1"/>
  <c r="I114" i="12"/>
  <c r="J115" i="25" s="1"/>
  <c r="I199" i="12"/>
  <c r="J200" i="25" s="1"/>
  <c r="I26" i="12"/>
  <c r="J27" i="25" s="1"/>
  <c r="I265" i="12"/>
  <c r="J266" i="25" s="1"/>
  <c r="I235" i="12"/>
  <c r="J236" i="25" s="1"/>
  <c r="I95" i="12"/>
  <c r="J96" i="25" s="1"/>
  <c r="I203" i="12"/>
  <c r="J204" i="25" s="1"/>
  <c r="I230" i="12"/>
  <c r="J231" i="25" s="1"/>
  <c r="I63" i="12"/>
  <c r="J64" i="25" s="1"/>
  <c r="I207" i="12"/>
  <c r="J208" i="25" s="1"/>
  <c r="I106" i="12"/>
  <c r="J107" i="25" s="1"/>
  <c r="I255" i="12"/>
  <c r="J256" i="25" s="1"/>
  <c r="I197" i="12"/>
  <c r="J198" i="25" s="1"/>
  <c r="I178" i="12"/>
  <c r="J179" i="25" s="1"/>
  <c r="I186" i="12"/>
  <c r="J187" i="25" s="1"/>
  <c r="I189" i="12"/>
  <c r="J190" i="25" s="1"/>
  <c r="I233" i="12"/>
  <c r="J234" i="25" s="1"/>
  <c r="I279" i="12"/>
  <c r="J280" i="25" s="1"/>
  <c r="I135" i="12"/>
  <c r="J136" i="25" s="1"/>
  <c r="I248" i="12"/>
  <c r="J249" i="25" s="1"/>
  <c r="I41" i="12"/>
  <c r="J42" i="25" s="1"/>
  <c r="I257" i="12"/>
  <c r="J258" i="25" s="1"/>
  <c r="I12" i="12"/>
  <c r="J13" i="25" s="1"/>
  <c r="I78" i="12"/>
  <c r="J79" i="25" s="1"/>
  <c r="I141" i="12"/>
  <c r="J142" i="25" s="1"/>
  <c r="I71" i="12"/>
  <c r="J72" i="25" s="1"/>
  <c r="I184" i="12"/>
  <c r="J185" i="25" s="1"/>
  <c r="I6" i="12"/>
  <c r="J7" i="25" s="1"/>
  <c r="I47" i="12"/>
  <c r="J48" i="25" s="1"/>
  <c r="E5" i="12"/>
  <c r="G5" i="12" s="1"/>
  <c r="E5" i="39"/>
  <c r="G5" i="39" s="1"/>
  <c r="E314" i="12"/>
  <c r="G314" i="12" s="1"/>
  <c r="J314" i="12" s="1"/>
  <c r="C4" i="34"/>
  <c r="C10" i="34" s="1"/>
  <c r="C11" i="34" s="1"/>
  <c r="G315" i="25"/>
  <c r="G6" i="25"/>
  <c r="N68" i="13"/>
  <c r="O68" i="13" s="1"/>
  <c r="P68" i="13" s="1"/>
  <c r="Q68" i="13" s="1"/>
  <c r="E38" i="48"/>
  <c r="N102" i="13" l="1"/>
  <c r="O102" i="13" s="1"/>
  <c r="N53" i="13"/>
  <c r="O53" i="13" s="1"/>
  <c r="N232" i="13"/>
  <c r="O232" i="13" s="1"/>
  <c r="P232" i="13" s="1"/>
  <c r="Q232" i="13" s="1"/>
  <c r="K232" i="25" s="1"/>
  <c r="N87" i="13"/>
  <c r="O87" i="13" s="1"/>
  <c r="P87" i="13" s="1"/>
  <c r="Q87" i="13" s="1"/>
  <c r="K87" i="25" s="1"/>
  <c r="N147" i="13"/>
  <c r="O147" i="13" s="1"/>
  <c r="P147" i="13" s="1"/>
  <c r="Q147" i="13" s="1"/>
  <c r="K147" i="25" s="1"/>
  <c r="N268" i="13"/>
  <c r="O268" i="13" s="1"/>
  <c r="P268" i="13" s="1"/>
  <c r="Q268" i="13" s="1"/>
  <c r="K268" i="25" s="1"/>
  <c r="N267" i="13"/>
  <c r="O267" i="13" s="1"/>
  <c r="P267" i="13" s="1"/>
  <c r="Q267" i="13" s="1"/>
  <c r="K267" i="25" s="1"/>
  <c r="N243" i="13"/>
  <c r="O243" i="13" s="1"/>
  <c r="P243" i="13" s="1"/>
  <c r="Q243" i="13" s="1"/>
  <c r="N144" i="13"/>
  <c r="O144" i="13" s="1"/>
  <c r="P144" i="13" s="1"/>
  <c r="Q144" i="13" s="1"/>
  <c r="K144" i="25" s="1"/>
  <c r="N83" i="13"/>
  <c r="O83" i="13" s="1"/>
  <c r="P83" i="13" s="1"/>
  <c r="Q83" i="13" s="1"/>
  <c r="K83" i="25" s="1"/>
  <c r="N209" i="13"/>
  <c r="O209" i="13" s="1"/>
  <c r="P209" i="13" s="1"/>
  <c r="Q209" i="13" s="1"/>
  <c r="K209" i="25" s="1"/>
  <c r="N127" i="13"/>
  <c r="O127" i="13" s="1"/>
  <c r="P127" i="13" s="1"/>
  <c r="Q127" i="13" s="1"/>
  <c r="K127" i="25" s="1"/>
  <c r="N241" i="13"/>
  <c r="O241" i="13" s="1"/>
  <c r="P241" i="13" s="1"/>
  <c r="Q241" i="13" s="1"/>
  <c r="N95" i="13"/>
  <c r="O95" i="13" s="1"/>
  <c r="P95" i="13" s="1"/>
  <c r="Q95" i="13" s="1"/>
  <c r="K95" i="25" s="1"/>
  <c r="N284" i="13"/>
  <c r="O284" i="13" s="1"/>
  <c r="P284" i="13" s="1"/>
  <c r="Q284" i="13" s="1"/>
  <c r="K284" i="25" s="1"/>
  <c r="N220" i="13"/>
  <c r="O220" i="13" s="1"/>
  <c r="P220" i="13" s="1"/>
  <c r="Q220" i="13" s="1"/>
  <c r="K220" i="25" s="1"/>
  <c r="H5" i="12"/>
  <c r="N45" i="13"/>
  <c r="O45" i="13" s="1"/>
  <c r="P45" i="13" s="1"/>
  <c r="Q45" i="13" s="1"/>
  <c r="K45" i="25" s="1"/>
  <c r="N306" i="13"/>
  <c r="O306" i="13" s="1"/>
  <c r="P306" i="13" s="1"/>
  <c r="Q306" i="13" s="1"/>
  <c r="K306" i="25" s="1"/>
  <c r="H5" i="39"/>
  <c r="I5" i="39" s="1"/>
  <c r="J5" i="39" s="1"/>
  <c r="J314" i="39" s="1"/>
  <c r="I315" i="25" s="1"/>
  <c r="N314" i="13"/>
  <c r="O314" i="13" s="1"/>
  <c r="P314" i="13" s="1"/>
  <c r="Q314" i="13" s="1"/>
  <c r="N8" i="13"/>
  <c r="O8" i="13" s="1"/>
  <c r="P8" i="13" s="1"/>
  <c r="Q8" i="13" s="1"/>
  <c r="K8" i="25" s="1"/>
  <c r="J292" i="12"/>
  <c r="N199" i="13"/>
  <c r="O199" i="13" s="1"/>
  <c r="P199" i="13" s="1"/>
  <c r="Q199" i="13" s="1"/>
  <c r="N260" i="13"/>
  <c r="O260" i="13" s="1"/>
  <c r="P260" i="13" s="1"/>
  <c r="Q260" i="13" s="1"/>
  <c r="K260" i="25" s="1"/>
  <c r="N81" i="13"/>
  <c r="O81" i="13" s="1"/>
  <c r="P81" i="13" s="1"/>
  <c r="Q81" i="13" s="1"/>
  <c r="N93" i="13"/>
  <c r="O93" i="13" s="1"/>
  <c r="P93" i="13" s="1"/>
  <c r="Q93" i="13" s="1"/>
  <c r="K93" i="25" s="1"/>
  <c r="N140" i="13"/>
  <c r="O140" i="13" s="1"/>
  <c r="P140" i="13" s="1"/>
  <c r="Q140" i="13" s="1"/>
  <c r="K140" i="25" s="1"/>
  <c r="N196" i="13"/>
  <c r="O196" i="13" s="1"/>
  <c r="P196" i="13" s="1"/>
  <c r="Q196" i="13" s="1"/>
  <c r="J291" i="12"/>
  <c r="J40" i="12"/>
  <c r="J120" i="12"/>
  <c r="J242" i="12"/>
  <c r="N297" i="13"/>
  <c r="O297" i="13" s="1"/>
  <c r="P297" i="13" s="1"/>
  <c r="Q297" i="13" s="1"/>
  <c r="K297" i="25" s="1"/>
  <c r="N181" i="13"/>
  <c r="O181" i="13" s="1"/>
  <c r="P181" i="13" s="1"/>
  <c r="Q181" i="13" s="1"/>
  <c r="N128" i="13"/>
  <c r="O128" i="13" s="1"/>
  <c r="P128" i="13" s="1"/>
  <c r="Q128" i="13" s="1"/>
  <c r="N43" i="13"/>
  <c r="O43" i="13" s="1"/>
  <c r="P43" i="13" s="1"/>
  <c r="Q43" i="13" s="1"/>
  <c r="J21" i="12"/>
  <c r="N167" i="13"/>
  <c r="O167" i="13" s="1"/>
  <c r="P167" i="13" s="1"/>
  <c r="Q167" i="13" s="1"/>
  <c r="K167" i="25" s="1"/>
  <c r="N165" i="13"/>
  <c r="O165" i="13" s="1"/>
  <c r="P165" i="13" s="1"/>
  <c r="Q165" i="13" s="1"/>
  <c r="K165" i="25" s="1"/>
  <c r="N183" i="13"/>
  <c r="O183" i="13" s="1"/>
  <c r="P183" i="13" s="1"/>
  <c r="Q183" i="13" s="1"/>
  <c r="N157" i="13"/>
  <c r="O157" i="13" s="1"/>
  <c r="P157" i="13" s="1"/>
  <c r="Q157" i="13" s="1"/>
  <c r="N18" i="13"/>
  <c r="O18" i="13" s="1"/>
  <c r="P18" i="13" s="1"/>
  <c r="Q18" i="13" s="1"/>
  <c r="K18" i="25" s="1"/>
  <c r="J59" i="12"/>
  <c r="N121" i="13"/>
  <c r="O121" i="13" s="1"/>
  <c r="P121" i="13" s="1"/>
  <c r="Q121" i="13" s="1"/>
  <c r="K121" i="25" s="1"/>
  <c r="N60" i="13"/>
  <c r="O60" i="13" s="1"/>
  <c r="P60" i="13" s="1"/>
  <c r="Q60" i="13" s="1"/>
  <c r="N197" i="13"/>
  <c r="O197" i="13" s="1"/>
  <c r="P197" i="13" s="1"/>
  <c r="Q197" i="13" s="1"/>
  <c r="K197" i="25" s="1"/>
  <c r="N117" i="13"/>
  <c r="O117" i="13" s="1"/>
  <c r="P117" i="13" s="1"/>
  <c r="Q117" i="13" s="1"/>
  <c r="J159" i="12"/>
  <c r="J49" i="12"/>
  <c r="J143" i="12"/>
  <c r="J228" i="12"/>
  <c r="J217" i="12"/>
  <c r="J309" i="12"/>
  <c r="J17" i="12"/>
  <c r="N75" i="13"/>
  <c r="O75" i="13" s="1"/>
  <c r="P75" i="13" s="1"/>
  <c r="Q75" i="13" s="1"/>
  <c r="N109" i="13"/>
  <c r="O109" i="13" s="1"/>
  <c r="P109" i="13" s="1"/>
  <c r="Q109" i="13" s="1"/>
  <c r="N15" i="13"/>
  <c r="O15" i="13" s="1"/>
  <c r="P15" i="13" s="1"/>
  <c r="Q15" i="13" s="1"/>
  <c r="J184" i="12"/>
  <c r="J192" i="12"/>
  <c r="J174" i="12"/>
  <c r="J285" i="12"/>
  <c r="N278" i="13"/>
  <c r="O278" i="13" s="1"/>
  <c r="P278" i="13" s="1"/>
  <c r="Q278" i="13" s="1"/>
  <c r="K278" i="25" s="1"/>
  <c r="N169" i="13"/>
  <c r="O169" i="13" s="1"/>
  <c r="P169" i="13" s="1"/>
  <c r="Q169" i="13" s="1"/>
  <c r="N129" i="13"/>
  <c r="O129" i="13" s="1"/>
  <c r="P129" i="13" s="1"/>
  <c r="Q129" i="13" s="1"/>
  <c r="N160" i="13"/>
  <c r="O160" i="13" s="1"/>
  <c r="P160" i="13" s="1"/>
  <c r="Q160" i="13" s="1"/>
  <c r="K160" i="25" s="1"/>
  <c r="N171" i="13"/>
  <c r="O171" i="13" s="1"/>
  <c r="P171" i="13" s="1"/>
  <c r="Q171" i="13" s="1"/>
  <c r="N228" i="13"/>
  <c r="O228" i="13" s="1"/>
  <c r="P228" i="13" s="1"/>
  <c r="Q228" i="13" s="1"/>
  <c r="K228" i="25" s="1"/>
  <c r="J283" i="12"/>
  <c r="J195" i="12"/>
  <c r="J30" i="12"/>
  <c r="N233" i="13"/>
  <c r="O233" i="13" s="1"/>
  <c r="P233" i="13" s="1"/>
  <c r="Q233" i="13" s="1"/>
  <c r="K233" i="25" s="1"/>
  <c r="N152" i="13"/>
  <c r="O152" i="13" s="1"/>
  <c r="P152" i="13" s="1"/>
  <c r="Q152" i="13" s="1"/>
  <c r="N175" i="13"/>
  <c r="O175" i="13" s="1"/>
  <c r="P175" i="13" s="1"/>
  <c r="Q175" i="13" s="1"/>
  <c r="K175" i="25" s="1"/>
  <c r="N184" i="13"/>
  <c r="O184" i="13" s="1"/>
  <c r="P184" i="13" s="1"/>
  <c r="Q184" i="13" s="1"/>
  <c r="N288" i="13"/>
  <c r="O288" i="13" s="1"/>
  <c r="P288" i="13" s="1"/>
  <c r="Q288" i="13" s="1"/>
  <c r="N211" i="13"/>
  <c r="O211" i="13" s="1"/>
  <c r="P211" i="13" s="1"/>
  <c r="Q211" i="13" s="1"/>
  <c r="N51" i="13"/>
  <c r="O51" i="13" s="1"/>
  <c r="P51" i="13" s="1"/>
  <c r="Q51" i="13" s="1"/>
  <c r="K51" i="25" s="1"/>
  <c r="N303" i="13"/>
  <c r="O303" i="13" s="1"/>
  <c r="P303" i="13" s="1"/>
  <c r="Q303" i="13" s="1"/>
  <c r="K303" i="25" s="1"/>
  <c r="N299" i="13"/>
  <c r="O299" i="13" s="1"/>
  <c r="P299" i="13" s="1"/>
  <c r="Q299" i="13" s="1"/>
  <c r="N134" i="13"/>
  <c r="O134" i="13" s="1"/>
  <c r="P134" i="13" s="1"/>
  <c r="Q134" i="13" s="1"/>
  <c r="N94" i="13"/>
  <c r="O94" i="13" s="1"/>
  <c r="P94" i="13" s="1"/>
  <c r="Q94" i="13" s="1"/>
  <c r="N17" i="13"/>
  <c r="O17" i="13" s="1"/>
  <c r="P17" i="13" s="1"/>
  <c r="Q17" i="13" s="1"/>
  <c r="K17" i="25" s="1"/>
  <c r="N229" i="13"/>
  <c r="O229" i="13" s="1"/>
  <c r="P229" i="13" s="1"/>
  <c r="Q229" i="13" s="1"/>
  <c r="N215" i="13"/>
  <c r="O215" i="13" s="1"/>
  <c r="P215" i="13" s="1"/>
  <c r="Q215" i="13" s="1"/>
  <c r="N287" i="13"/>
  <c r="O287" i="13" s="1"/>
  <c r="P287" i="13" s="1"/>
  <c r="Q287" i="13" s="1"/>
  <c r="K287" i="25" s="1"/>
  <c r="N264" i="13"/>
  <c r="O264" i="13" s="1"/>
  <c r="P264" i="13" s="1"/>
  <c r="Q264" i="13" s="1"/>
  <c r="K264" i="25" s="1"/>
  <c r="J277" i="12"/>
  <c r="J190" i="12"/>
  <c r="J115" i="12"/>
  <c r="N282" i="13"/>
  <c r="O282" i="13" s="1"/>
  <c r="P282" i="13" s="1"/>
  <c r="Q282" i="13" s="1"/>
  <c r="N164" i="13"/>
  <c r="O164" i="13" s="1"/>
  <c r="P164" i="13" s="1"/>
  <c r="Q164" i="13" s="1"/>
  <c r="K164" i="25" s="1"/>
  <c r="N31" i="13"/>
  <c r="O31" i="13" s="1"/>
  <c r="P31" i="13" s="1"/>
  <c r="Q31" i="13" s="1"/>
  <c r="N200" i="13"/>
  <c r="O200" i="13" s="1"/>
  <c r="P200" i="13" s="1"/>
  <c r="Q200" i="13" s="1"/>
  <c r="K200" i="25" s="1"/>
  <c r="N304" i="13"/>
  <c r="O304" i="13" s="1"/>
  <c r="P304" i="13" s="1"/>
  <c r="Q304" i="13" s="1"/>
  <c r="K304" i="25" s="1"/>
  <c r="N188" i="13"/>
  <c r="O188" i="13" s="1"/>
  <c r="P188" i="13" s="1"/>
  <c r="Q188" i="13" s="1"/>
  <c r="K188" i="25" s="1"/>
  <c r="J106" i="12"/>
  <c r="J235" i="12"/>
  <c r="J108" i="12"/>
  <c r="J145" i="12"/>
  <c r="J132" i="12"/>
  <c r="J181" i="12"/>
  <c r="J131" i="12"/>
  <c r="J74" i="12"/>
  <c r="J144" i="12"/>
  <c r="J313" i="12"/>
  <c r="J160" i="12"/>
  <c r="N291" i="13"/>
  <c r="O291" i="13" s="1"/>
  <c r="P291" i="13" s="1"/>
  <c r="Q291" i="13" s="1"/>
  <c r="N119" i="13"/>
  <c r="O119" i="13" s="1"/>
  <c r="P119" i="13" s="1"/>
  <c r="Q119" i="13" s="1"/>
  <c r="N245" i="13"/>
  <c r="O245" i="13" s="1"/>
  <c r="P245" i="13" s="1"/>
  <c r="Q245" i="13" s="1"/>
  <c r="N302" i="13"/>
  <c r="O302" i="13" s="1"/>
  <c r="P302" i="13" s="1"/>
  <c r="Q302" i="13" s="1"/>
  <c r="K302" i="25" s="1"/>
  <c r="N96" i="13"/>
  <c r="O96" i="13" s="1"/>
  <c r="P96" i="13" s="1"/>
  <c r="Q96" i="13" s="1"/>
  <c r="K96" i="25" s="1"/>
  <c r="N98" i="13"/>
  <c r="O98" i="13" s="1"/>
  <c r="P98" i="13" s="1"/>
  <c r="Q98" i="13" s="1"/>
  <c r="K98" i="25" s="1"/>
  <c r="N307" i="13"/>
  <c r="O307" i="13" s="1"/>
  <c r="P307" i="13" s="1"/>
  <c r="Q307" i="13" s="1"/>
  <c r="K307" i="25" s="1"/>
  <c r="N137" i="13"/>
  <c r="O137" i="13" s="1"/>
  <c r="P137" i="13" s="1"/>
  <c r="Q137" i="13" s="1"/>
  <c r="N138" i="13"/>
  <c r="O138" i="13" s="1"/>
  <c r="P138" i="13" s="1"/>
  <c r="Q138" i="13" s="1"/>
  <c r="N187" i="13"/>
  <c r="O187" i="13" s="1"/>
  <c r="P187" i="13" s="1"/>
  <c r="Q187" i="13" s="1"/>
  <c r="K187" i="25" s="1"/>
  <c r="N42" i="13"/>
  <c r="O42" i="13" s="1"/>
  <c r="P42" i="13" s="1"/>
  <c r="Q42" i="13" s="1"/>
  <c r="K42" i="25" s="1"/>
  <c r="N86" i="13"/>
  <c r="O86" i="13" s="1"/>
  <c r="P86" i="13" s="1"/>
  <c r="Q86" i="13" s="1"/>
  <c r="N111" i="13"/>
  <c r="O111" i="13" s="1"/>
  <c r="P111" i="13" s="1"/>
  <c r="Q111" i="13" s="1"/>
  <c r="N154" i="13"/>
  <c r="O154" i="13" s="1"/>
  <c r="P154" i="13" s="1"/>
  <c r="Q154" i="13" s="1"/>
  <c r="N112" i="13"/>
  <c r="O112" i="13" s="1"/>
  <c r="P112" i="13" s="1"/>
  <c r="Q112" i="13" s="1"/>
  <c r="N279" i="13"/>
  <c r="O279" i="13" s="1"/>
  <c r="P279" i="13" s="1"/>
  <c r="Q279" i="13" s="1"/>
  <c r="N311" i="13"/>
  <c r="O311" i="13" s="1"/>
  <c r="P311" i="13" s="1"/>
  <c r="Q311" i="13" s="1"/>
  <c r="K311" i="25" s="1"/>
  <c r="N280" i="13"/>
  <c r="O280" i="13" s="1"/>
  <c r="P280" i="13" s="1"/>
  <c r="Q280" i="13" s="1"/>
  <c r="K280" i="25" s="1"/>
  <c r="J41" i="12"/>
  <c r="J186" i="12"/>
  <c r="J307" i="12"/>
  <c r="J129" i="12"/>
  <c r="J148" i="12"/>
  <c r="J23" i="12"/>
  <c r="J281" i="12"/>
  <c r="J226" i="12"/>
  <c r="N64" i="13"/>
  <c r="O64" i="13" s="1"/>
  <c r="P64" i="13" s="1"/>
  <c r="Q64" i="13" s="1"/>
  <c r="K64" i="25" s="1"/>
  <c r="N126" i="13"/>
  <c r="O126" i="13" s="1"/>
  <c r="P126" i="13" s="1"/>
  <c r="Q126" i="13" s="1"/>
  <c r="N294" i="13"/>
  <c r="O294" i="13" s="1"/>
  <c r="P294" i="13" s="1"/>
  <c r="Q294" i="13" s="1"/>
  <c r="N77" i="13"/>
  <c r="O77" i="13" s="1"/>
  <c r="P77" i="13" s="1"/>
  <c r="Q77" i="13" s="1"/>
  <c r="N281" i="13"/>
  <c r="O281" i="13" s="1"/>
  <c r="P281" i="13" s="1"/>
  <c r="Q281" i="13" s="1"/>
  <c r="N222" i="13"/>
  <c r="O222" i="13" s="1"/>
  <c r="P222" i="13" s="1"/>
  <c r="Q222" i="13" s="1"/>
  <c r="K222" i="25" s="1"/>
  <c r="N23" i="13"/>
  <c r="O23" i="13" s="1"/>
  <c r="P23" i="13" s="1"/>
  <c r="Q23" i="13" s="1"/>
  <c r="N247" i="13"/>
  <c r="O247" i="13" s="1"/>
  <c r="P247" i="13" s="1"/>
  <c r="Q247" i="13" s="1"/>
  <c r="K247" i="25" s="1"/>
  <c r="J135" i="12"/>
  <c r="J197" i="12"/>
  <c r="J203" i="12"/>
  <c r="J114" i="12"/>
  <c r="J240" i="12"/>
  <c r="J91" i="12"/>
  <c r="J124" i="12"/>
  <c r="J112" i="12"/>
  <c r="J299" i="12"/>
  <c r="J215" i="12"/>
  <c r="J193" i="12"/>
  <c r="N13" i="13"/>
  <c r="O13" i="13" s="1"/>
  <c r="P13" i="13" s="1"/>
  <c r="Q13" i="13" s="1"/>
  <c r="N255" i="13"/>
  <c r="O255" i="13" s="1"/>
  <c r="P255" i="13" s="1"/>
  <c r="Q255" i="13" s="1"/>
  <c r="N218" i="13"/>
  <c r="O218" i="13" s="1"/>
  <c r="P218" i="13" s="1"/>
  <c r="Q218" i="13" s="1"/>
  <c r="N261" i="13"/>
  <c r="O261" i="13" s="1"/>
  <c r="P261" i="13" s="1"/>
  <c r="Q261" i="13" s="1"/>
  <c r="N250" i="13"/>
  <c r="O250" i="13" s="1"/>
  <c r="P250" i="13" s="1"/>
  <c r="Q250" i="13" s="1"/>
  <c r="N22" i="13"/>
  <c r="O22" i="13" s="1"/>
  <c r="P22" i="13" s="1"/>
  <c r="Q22" i="13" s="1"/>
  <c r="K22" i="25" s="1"/>
  <c r="N40" i="13"/>
  <c r="O40" i="13" s="1"/>
  <c r="P40" i="13" s="1"/>
  <c r="Q40" i="13" s="1"/>
  <c r="K40" i="25" s="1"/>
  <c r="N309" i="13"/>
  <c r="O309" i="13" s="1"/>
  <c r="P309" i="13" s="1"/>
  <c r="Q309" i="13" s="1"/>
  <c r="K309" i="25" s="1"/>
  <c r="J12" i="12"/>
  <c r="J282" i="12"/>
  <c r="J158" i="12"/>
  <c r="J302" i="12"/>
  <c r="J57" i="12"/>
  <c r="J247" i="12"/>
  <c r="J139" i="12"/>
  <c r="J227" i="12"/>
  <c r="J165" i="12"/>
  <c r="J310" i="12"/>
  <c r="J42" i="12"/>
  <c r="J54" i="12"/>
  <c r="N33" i="13"/>
  <c r="O33" i="13" s="1"/>
  <c r="P33" i="13" s="1"/>
  <c r="Q33" i="13" s="1"/>
  <c r="N71" i="13"/>
  <c r="O71" i="13" s="1"/>
  <c r="P71" i="13" s="1"/>
  <c r="Q71" i="13" s="1"/>
  <c r="N251" i="13"/>
  <c r="O251" i="13" s="1"/>
  <c r="P251" i="13" s="1"/>
  <c r="Q251" i="13" s="1"/>
  <c r="N191" i="13"/>
  <c r="N11" i="13"/>
  <c r="O11" i="13" s="1"/>
  <c r="P11" i="13" s="1"/>
  <c r="Q11" i="13" s="1"/>
  <c r="N47" i="13"/>
  <c r="O47" i="13" s="1"/>
  <c r="P47" i="13" s="1"/>
  <c r="Q47" i="13" s="1"/>
  <c r="N82" i="13"/>
  <c r="O82" i="13" s="1"/>
  <c r="P82" i="13" s="1"/>
  <c r="Q82" i="13" s="1"/>
  <c r="N159" i="13"/>
  <c r="O159" i="13" s="1"/>
  <c r="P159" i="13" s="1"/>
  <c r="Q159" i="13" s="1"/>
  <c r="N92" i="13"/>
  <c r="O92" i="13" s="1"/>
  <c r="P92" i="13" s="1"/>
  <c r="Q92" i="13" s="1"/>
  <c r="K92" i="25" s="1"/>
  <c r="N113" i="13"/>
  <c r="O113" i="13" s="1"/>
  <c r="P113" i="13" s="1"/>
  <c r="Q113" i="13" s="1"/>
  <c r="K113" i="25" s="1"/>
  <c r="J231" i="12"/>
  <c r="N101" i="13"/>
  <c r="O101" i="13" s="1"/>
  <c r="P101" i="13" s="1"/>
  <c r="Q101" i="13" s="1"/>
  <c r="K101" i="25" s="1"/>
  <c r="N156" i="13"/>
  <c r="O156" i="13" s="1"/>
  <c r="P156" i="13" s="1"/>
  <c r="Q156" i="13" s="1"/>
  <c r="N10" i="13"/>
  <c r="O10" i="13" s="1"/>
  <c r="P10" i="13" s="1"/>
  <c r="Q10" i="13" s="1"/>
  <c r="N100" i="13"/>
  <c r="O100" i="13" s="1"/>
  <c r="P100" i="13" s="1"/>
  <c r="Q100" i="13" s="1"/>
  <c r="K100" i="25" s="1"/>
  <c r="N103" i="13"/>
  <c r="O103" i="13" s="1"/>
  <c r="P103" i="13" s="1"/>
  <c r="Q103" i="13" s="1"/>
  <c r="N37" i="13"/>
  <c r="O37" i="13" s="1"/>
  <c r="P37" i="13" s="1"/>
  <c r="Q37" i="13" s="1"/>
  <c r="N78" i="13"/>
  <c r="O78" i="13" s="1"/>
  <c r="P78" i="13" s="1"/>
  <c r="Q78" i="13" s="1"/>
  <c r="N36" i="13"/>
  <c r="O36" i="13" s="1"/>
  <c r="P36" i="13" s="1"/>
  <c r="Q36" i="13" s="1"/>
  <c r="N274" i="13"/>
  <c r="O274" i="13" s="1"/>
  <c r="P274" i="13" s="1"/>
  <c r="Q274" i="13" s="1"/>
  <c r="K274" i="25" s="1"/>
  <c r="N216" i="13"/>
  <c r="O216" i="13" s="1"/>
  <c r="P216" i="13" s="1"/>
  <c r="Q216" i="13" s="1"/>
  <c r="K216" i="25" s="1"/>
  <c r="N283" i="13"/>
  <c r="O283" i="13" s="1"/>
  <c r="P283" i="13" s="1"/>
  <c r="Q283" i="13" s="1"/>
  <c r="K283" i="25" s="1"/>
  <c r="J116" i="12"/>
  <c r="J252" i="12"/>
  <c r="J29" i="12"/>
  <c r="J305" i="12"/>
  <c r="J297" i="12"/>
  <c r="J179" i="12"/>
  <c r="J163" i="12"/>
  <c r="J125" i="12"/>
  <c r="J50" i="12"/>
  <c r="J168" i="12"/>
  <c r="J212" i="12"/>
  <c r="J44" i="12"/>
  <c r="N242" i="13"/>
  <c r="O242" i="13" s="1"/>
  <c r="P242" i="13" s="1"/>
  <c r="Q242" i="13" s="1"/>
  <c r="N198" i="13"/>
  <c r="O198" i="13" s="1"/>
  <c r="P198" i="13" s="1"/>
  <c r="Q198" i="13" s="1"/>
  <c r="N58" i="13"/>
  <c r="O58" i="13" s="1"/>
  <c r="P58" i="13" s="1"/>
  <c r="Q58" i="13" s="1"/>
  <c r="K58" i="25" s="1"/>
  <c r="N50" i="13"/>
  <c r="O50" i="13" s="1"/>
  <c r="P50" i="13" s="1"/>
  <c r="Q50" i="13" s="1"/>
  <c r="K50" i="25" s="1"/>
  <c r="N62" i="13"/>
  <c r="O62" i="13" s="1"/>
  <c r="P62" i="13" s="1"/>
  <c r="Q62" i="13" s="1"/>
  <c r="K62" i="25" s="1"/>
  <c r="N74" i="13"/>
  <c r="O74" i="13" s="1"/>
  <c r="P74" i="13" s="1"/>
  <c r="Q74" i="13" s="1"/>
  <c r="K74" i="25" s="1"/>
  <c r="J104" i="12"/>
  <c r="J222" i="12"/>
  <c r="J133" i="12"/>
  <c r="J100" i="12"/>
  <c r="J73" i="12"/>
  <c r="J102" i="12"/>
  <c r="J157" i="12"/>
  <c r="N25" i="13"/>
  <c r="O25" i="13" s="1"/>
  <c r="P25" i="13" s="1"/>
  <c r="Q25" i="13" s="1"/>
  <c r="K25" i="25" s="1"/>
  <c r="J77" i="12"/>
  <c r="N99" i="13"/>
  <c r="O99" i="13" s="1"/>
  <c r="P99" i="13" s="1"/>
  <c r="Q99" i="13" s="1"/>
  <c r="N182" i="13"/>
  <c r="O182" i="13" s="1"/>
  <c r="P182" i="13" s="1"/>
  <c r="Q182" i="13" s="1"/>
  <c r="N177" i="13"/>
  <c r="O177" i="13" s="1"/>
  <c r="P177" i="13" s="1"/>
  <c r="Q177" i="13" s="1"/>
  <c r="N55" i="13"/>
  <c r="O55" i="13" s="1"/>
  <c r="P55" i="13" s="1"/>
  <c r="Q55" i="13" s="1"/>
  <c r="N208" i="13"/>
  <c r="O208" i="13" s="1"/>
  <c r="P208" i="13" s="1"/>
  <c r="Q208" i="13" s="1"/>
  <c r="N225" i="13"/>
  <c r="O225" i="13" s="1"/>
  <c r="P225" i="13" s="1"/>
  <c r="Q225" i="13" s="1"/>
  <c r="N168" i="13"/>
  <c r="O168" i="13" s="1"/>
  <c r="P168" i="13" s="1"/>
  <c r="Q168" i="13" s="1"/>
  <c r="K168" i="25" s="1"/>
  <c r="N301" i="13"/>
  <c r="O301" i="13" s="1"/>
  <c r="P301" i="13" s="1"/>
  <c r="Q301" i="13" s="1"/>
  <c r="N88" i="13"/>
  <c r="O88" i="13" s="1"/>
  <c r="P88" i="13" s="1"/>
  <c r="Q88" i="13" s="1"/>
  <c r="K88" i="25" s="1"/>
  <c r="N54" i="13"/>
  <c r="O54" i="13" s="1"/>
  <c r="P54" i="13" s="1"/>
  <c r="Q54" i="13" s="1"/>
  <c r="K54" i="25" s="1"/>
  <c r="N46" i="13"/>
  <c r="O46" i="13" s="1"/>
  <c r="P46" i="13" s="1"/>
  <c r="Q46" i="13" s="1"/>
  <c r="K46" i="25" s="1"/>
  <c r="N237" i="13"/>
  <c r="O237" i="13" s="1"/>
  <c r="P237" i="13" s="1"/>
  <c r="Q237" i="13" s="1"/>
  <c r="K237" i="25" s="1"/>
  <c r="N148" i="13"/>
  <c r="O148" i="13" s="1"/>
  <c r="P148" i="13" s="1"/>
  <c r="Q148" i="13" s="1"/>
  <c r="K148" i="25" s="1"/>
  <c r="N179" i="13"/>
  <c r="O179" i="13" s="1"/>
  <c r="P179" i="13" s="1"/>
  <c r="Q179" i="13" s="1"/>
  <c r="K179" i="25" s="1"/>
  <c r="N253" i="13"/>
  <c r="O253" i="13" s="1"/>
  <c r="P253" i="13" s="1"/>
  <c r="Q253" i="13" s="1"/>
  <c r="K253" i="25" s="1"/>
  <c r="J141" i="12"/>
  <c r="J26" i="12"/>
  <c r="J204" i="12"/>
  <c r="J161" i="12"/>
  <c r="J75" i="12"/>
  <c r="J18" i="12"/>
  <c r="J127" i="12"/>
  <c r="J79" i="12"/>
  <c r="J81" i="12"/>
  <c r="J138" i="12"/>
  <c r="J25" i="12"/>
  <c r="J62" i="12"/>
  <c r="J258" i="12"/>
  <c r="J259" i="12"/>
  <c r="J164" i="12"/>
  <c r="J286" i="12"/>
  <c r="J246" i="12"/>
  <c r="J118" i="12"/>
  <c r="J183" i="12"/>
  <c r="J76" i="12"/>
  <c r="N49" i="13"/>
  <c r="O49" i="13" s="1"/>
  <c r="P49" i="13" s="1"/>
  <c r="Q49" i="13" s="1"/>
  <c r="J257" i="12"/>
  <c r="N158" i="13"/>
  <c r="O158" i="13" s="1"/>
  <c r="P158" i="13" s="1"/>
  <c r="Q158" i="13" s="1"/>
  <c r="K158" i="25" s="1"/>
  <c r="N272" i="13"/>
  <c r="O272" i="13" s="1"/>
  <c r="P272" i="13" s="1"/>
  <c r="Q272" i="13" s="1"/>
  <c r="K272" i="25" s="1"/>
  <c r="N227" i="13"/>
  <c r="O227" i="13" s="1"/>
  <c r="P227" i="13" s="1"/>
  <c r="Q227" i="13" s="1"/>
  <c r="K227" i="25" s="1"/>
  <c r="N295" i="13"/>
  <c r="O295" i="13" s="1"/>
  <c r="P295" i="13" s="1"/>
  <c r="Q295" i="13" s="1"/>
  <c r="N149" i="13"/>
  <c r="O149" i="13" s="1"/>
  <c r="P149" i="13" s="1"/>
  <c r="Q149" i="13" s="1"/>
  <c r="N186" i="13"/>
  <c r="O186" i="13" s="1"/>
  <c r="P186" i="13" s="1"/>
  <c r="Q186" i="13" s="1"/>
  <c r="N146" i="13"/>
  <c r="O146" i="13" s="1"/>
  <c r="P146" i="13" s="1"/>
  <c r="Q146" i="13" s="1"/>
  <c r="N180" i="13"/>
  <c r="O180" i="13" s="1"/>
  <c r="P180" i="13" s="1"/>
  <c r="Q180" i="13" s="1"/>
  <c r="N308" i="13"/>
  <c r="O308" i="13" s="1"/>
  <c r="P308" i="13" s="1"/>
  <c r="Q308" i="13" s="1"/>
  <c r="N213" i="13"/>
  <c r="O213" i="13" s="1"/>
  <c r="P213" i="13" s="1"/>
  <c r="Q213" i="13" s="1"/>
  <c r="N105" i="13"/>
  <c r="O105" i="13" s="1"/>
  <c r="P105" i="13" s="1"/>
  <c r="Q105" i="13" s="1"/>
  <c r="N206" i="13"/>
  <c r="O206" i="13" s="1"/>
  <c r="P206" i="13" s="1"/>
  <c r="Q206" i="13" s="1"/>
  <c r="N118" i="13"/>
  <c r="O118" i="13" s="1"/>
  <c r="P118" i="13" s="1"/>
  <c r="Q118" i="13" s="1"/>
  <c r="K118" i="25" s="1"/>
  <c r="N161" i="13"/>
  <c r="O161" i="13" s="1"/>
  <c r="P161" i="13" s="1"/>
  <c r="Q161" i="13" s="1"/>
  <c r="K161" i="25" s="1"/>
  <c r="N59" i="13"/>
  <c r="O59" i="13" s="1"/>
  <c r="P59" i="13" s="1"/>
  <c r="Q59" i="13" s="1"/>
  <c r="K59" i="25" s="1"/>
  <c r="N276" i="13"/>
  <c r="O276" i="13" s="1"/>
  <c r="P276" i="13" s="1"/>
  <c r="Q276" i="13" s="1"/>
  <c r="K276" i="25" s="1"/>
  <c r="N20" i="13"/>
  <c r="O20" i="13" s="1"/>
  <c r="P20" i="13" s="1"/>
  <c r="Q20" i="13" s="1"/>
  <c r="K20" i="25" s="1"/>
  <c r="N19" i="13"/>
  <c r="O19" i="13" s="1"/>
  <c r="P19" i="13" s="1"/>
  <c r="Q19" i="13" s="1"/>
  <c r="K19" i="25" s="1"/>
  <c r="J8" i="12"/>
  <c r="J45" i="12"/>
  <c r="N185" i="13"/>
  <c r="O185" i="13" s="1"/>
  <c r="P185" i="13" s="1"/>
  <c r="Q185" i="13" s="1"/>
  <c r="N258" i="13"/>
  <c r="O258" i="13" s="1"/>
  <c r="P258" i="13" s="1"/>
  <c r="Q258" i="13" s="1"/>
  <c r="K258" i="25" s="1"/>
  <c r="N224" i="13"/>
  <c r="O224" i="13" s="1"/>
  <c r="P224" i="13" s="1"/>
  <c r="Q224" i="13" s="1"/>
  <c r="N91" i="13"/>
  <c r="O91" i="13" s="1"/>
  <c r="P91" i="13" s="1"/>
  <c r="Q91" i="13" s="1"/>
  <c r="K91" i="25" s="1"/>
  <c r="N67" i="13"/>
  <c r="O67" i="13" s="1"/>
  <c r="P67" i="13" s="1"/>
  <c r="Q67" i="13" s="1"/>
  <c r="N173" i="13"/>
  <c r="O173" i="13" s="1"/>
  <c r="P173" i="13" s="1"/>
  <c r="Q173" i="13" s="1"/>
  <c r="N142" i="13"/>
  <c r="O142" i="13" s="1"/>
  <c r="P142" i="13" s="1"/>
  <c r="Q142" i="13" s="1"/>
  <c r="N141" i="13"/>
  <c r="O141" i="13" s="1"/>
  <c r="P141" i="13" s="1"/>
  <c r="Q141" i="13" s="1"/>
  <c r="N72" i="13"/>
  <c r="O72" i="13" s="1"/>
  <c r="P72" i="13" s="1"/>
  <c r="Q72" i="13" s="1"/>
  <c r="K72" i="25" s="1"/>
  <c r="N139" i="13"/>
  <c r="O139" i="13" s="1"/>
  <c r="P139" i="13" s="1"/>
  <c r="Q139" i="13" s="1"/>
  <c r="K139" i="25" s="1"/>
  <c r="N189" i="13"/>
  <c r="O189" i="13" s="1"/>
  <c r="P189" i="13" s="1"/>
  <c r="Q189" i="13" s="1"/>
  <c r="K189" i="25" s="1"/>
  <c r="N203" i="13"/>
  <c r="O203" i="13" s="1"/>
  <c r="P203" i="13" s="1"/>
  <c r="Q203" i="13" s="1"/>
  <c r="K203" i="25" s="1"/>
  <c r="N21" i="13"/>
  <c r="O21" i="13" s="1"/>
  <c r="P21" i="13" s="1"/>
  <c r="Q21" i="13" s="1"/>
  <c r="K21" i="25" s="1"/>
  <c r="N257" i="13"/>
  <c r="O257" i="13" s="1"/>
  <c r="P257" i="13" s="1"/>
  <c r="Q257" i="13" s="1"/>
  <c r="K257" i="25" s="1"/>
  <c r="N97" i="13"/>
  <c r="O97" i="13" s="1"/>
  <c r="P97" i="13" s="1"/>
  <c r="Q97" i="13" s="1"/>
  <c r="K97" i="25" s="1"/>
  <c r="J213" i="12"/>
  <c r="J61" i="12"/>
  <c r="J175" i="12"/>
  <c r="J162" i="12"/>
  <c r="J113" i="12"/>
  <c r="J214" i="12"/>
  <c r="J87" i="12"/>
  <c r="N34" i="13"/>
  <c r="O34" i="13" s="1"/>
  <c r="P34" i="13" s="1"/>
  <c r="Q34" i="13" s="1"/>
  <c r="N143" i="13"/>
  <c r="O143" i="13" s="1"/>
  <c r="P143" i="13" s="1"/>
  <c r="Q143" i="13" s="1"/>
  <c r="K143" i="25" s="1"/>
  <c r="N76" i="13"/>
  <c r="O76" i="13" s="1"/>
  <c r="P76" i="13" s="1"/>
  <c r="Q76" i="13" s="1"/>
  <c r="N108" i="13"/>
  <c r="O108" i="13" s="1"/>
  <c r="P108" i="13" s="1"/>
  <c r="Q108" i="13" s="1"/>
  <c r="N16" i="13"/>
  <c r="O16" i="13" s="1"/>
  <c r="P16" i="13" s="1"/>
  <c r="Q16" i="13" s="1"/>
  <c r="N312" i="13"/>
  <c r="O312" i="13" s="1"/>
  <c r="P312" i="13" s="1"/>
  <c r="Q312" i="13" s="1"/>
  <c r="N131" i="13"/>
  <c r="O131" i="13" s="1"/>
  <c r="P131" i="13" s="1"/>
  <c r="Q131" i="13" s="1"/>
  <c r="N212" i="13"/>
  <c r="O212" i="13" s="1"/>
  <c r="P212" i="13" s="1"/>
  <c r="Q212" i="13" s="1"/>
  <c r="N106" i="13"/>
  <c r="O106" i="13" s="1"/>
  <c r="P106" i="13" s="1"/>
  <c r="Q106" i="13" s="1"/>
  <c r="K106" i="25" s="1"/>
  <c r="N28" i="13"/>
  <c r="O28" i="13" s="1"/>
  <c r="P28" i="13" s="1"/>
  <c r="Q28" i="13" s="1"/>
  <c r="K28" i="25" s="1"/>
  <c r="N210" i="13"/>
  <c r="O210" i="13" s="1"/>
  <c r="P210" i="13" s="1"/>
  <c r="Q210" i="13" s="1"/>
  <c r="N155" i="13"/>
  <c r="O155" i="13" s="1"/>
  <c r="P155" i="13" s="1"/>
  <c r="Q155" i="13" s="1"/>
  <c r="K155" i="25" s="1"/>
  <c r="J80" i="12"/>
  <c r="J38" i="12"/>
  <c r="J92" i="12"/>
  <c r="J140" i="12"/>
  <c r="J229" i="12"/>
  <c r="J130" i="12"/>
  <c r="J300" i="12"/>
  <c r="J289" i="12"/>
  <c r="J96" i="12"/>
  <c r="J185" i="12"/>
  <c r="J97" i="12"/>
  <c r="J254" i="12"/>
  <c r="J205" i="12"/>
  <c r="J33" i="12"/>
  <c r="N207" i="13"/>
  <c r="O207" i="13" s="1"/>
  <c r="P207" i="13" s="1"/>
  <c r="Q207" i="13" s="1"/>
  <c r="N122" i="13"/>
  <c r="O122" i="13" s="1"/>
  <c r="P122" i="13" s="1"/>
  <c r="Q122" i="13" s="1"/>
  <c r="N52" i="13"/>
  <c r="O52" i="13" s="1"/>
  <c r="P52" i="13" s="1"/>
  <c r="Q52" i="13" s="1"/>
  <c r="N12" i="13"/>
  <c r="O12" i="13" s="1"/>
  <c r="P12" i="13" s="1"/>
  <c r="Q12" i="13" s="1"/>
  <c r="N85" i="13"/>
  <c r="O85" i="13" s="1"/>
  <c r="P85" i="13" s="1"/>
  <c r="Q85" i="13" s="1"/>
  <c r="N135" i="13"/>
  <c r="O135" i="13" s="1"/>
  <c r="P135" i="13" s="1"/>
  <c r="Q135" i="13" s="1"/>
  <c r="N246" i="13"/>
  <c r="O246" i="13" s="1"/>
  <c r="P246" i="13" s="1"/>
  <c r="Q246" i="13" s="1"/>
  <c r="N150" i="13"/>
  <c r="O150" i="13" s="1"/>
  <c r="P150" i="13" s="1"/>
  <c r="Q150" i="13" s="1"/>
  <c r="N256" i="13"/>
  <c r="O256" i="13" s="1"/>
  <c r="P256" i="13" s="1"/>
  <c r="Q256" i="13" s="1"/>
  <c r="N123" i="13"/>
  <c r="O123" i="13" s="1"/>
  <c r="P123" i="13" s="1"/>
  <c r="Q123" i="13" s="1"/>
  <c r="J47" i="12"/>
  <c r="J233" i="12"/>
  <c r="J63" i="12"/>
  <c r="J249" i="12"/>
  <c r="J55" i="12"/>
  <c r="J13" i="12"/>
  <c r="J88" i="12"/>
  <c r="J37" i="12"/>
  <c r="N201" i="13"/>
  <c r="O201" i="13" s="1"/>
  <c r="P201" i="13" s="1"/>
  <c r="Q201" i="13" s="1"/>
  <c r="N162" i="13"/>
  <c r="O162" i="13" s="1"/>
  <c r="P162" i="13" s="1"/>
  <c r="Q162" i="13" s="1"/>
  <c r="N292" i="13"/>
  <c r="O292" i="13" s="1"/>
  <c r="P292" i="13" s="1"/>
  <c r="Q292" i="13" s="1"/>
  <c r="N259" i="13"/>
  <c r="O259" i="13" s="1"/>
  <c r="P259" i="13" s="1"/>
  <c r="Q259" i="13" s="1"/>
  <c r="N205" i="13"/>
  <c r="O205" i="13" s="1"/>
  <c r="P205" i="13" s="1"/>
  <c r="Q205" i="13" s="1"/>
  <c r="N73" i="13"/>
  <c r="O73" i="13" s="1"/>
  <c r="P73" i="13" s="1"/>
  <c r="Q73" i="13" s="1"/>
  <c r="N57" i="13"/>
  <c r="O57" i="13" s="1"/>
  <c r="P57" i="13" s="1"/>
  <c r="Q57" i="13" s="1"/>
  <c r="N30" i="13"/>
  <c r="O30" i="13" s="1"/>
  <c r="P30" i="13" s="1"/>
  <c r="Q30" i="13" s="1"/>
  <c r="N176" i="13"/>
  <c r="O176" i="13" s="1"/>
  <c r="P176" i="13" s="1"/>
  <c r="Q176" i="13" s="1"/>
  <c r="N39" i="13"/>
  <c r="O39" i="13" s="1"/>
  <c r="P39" i="13" s="1"/>
  <c r="Q39" i="13" s="1"/>
  <c r="N275" i="13"/>
  <c r="O275" i="13" s="1"/>
  <c r="P275" i="13" s="1"/>
  <c r="Q275" i="13" s="1"/>
  <c r="N277" i="13"/>
  <c r="O277" i="13" s="1"/>
  <c r="P277" i="13" s="1"/>
  <c r="Q277" i="13" s="1"/>
  <c r="N266" i="13"/>
  <c r="O266" i="13" s="1"/>
  <c r="P266" i="13" s="1"/>
  <c r="Q266" i="13" s="1"/>
  <c r="N70" i="13"/>
  <c r="O70" i="13" s="1"/>
  <c r="P70" i="13" s="1"/>
  <c r="Q70" i="13" s="1"/>
  <c r="N194" i="13"/>
  <c r="O194" i="13" s="1"/>
  <c r="P194" i="13" s="1"/>
  <c r="Q194" i="13" s="1"/>
  <c r="N239" i="13"/>
  <c r="O239" i="13" s="1"/>
  <c r="P239" i="13" s="1"/>
  <c r="Q239" i="13" s="1"/>
  <c r="N293" i="13"/>
  <c r="O293" i="13" s="1"/>
  <c r="P293" i="13" s="1"/>
  <c r="Q293" i="13" s="1"/>
  <c r="N9" i="13"/>
  <c r="O9" i="13" s="1"/>
  <c r="P9" i="13" s="1"/>
  <c r="Q9" i="13" s="1"/>
  <c r="N238" i="13"/>
  <c r="O238" i="13" s="1"/>
  <c r="P238" i="13" s="1"/>
  <c r="Q238" i="13" s="1"/>
  <c r="N145" i="13"/>
  <c r="O145" i="13" s="1"/>
  <c r="P145" i="13" s="1"/>
  <c r="Q145" i="13" s="1"/>
  <c r="N262" i="13"/>
  <c r="O262" i="13" s="1"/>
  <c r="P262" i="13" s="1"/>
  <c r="Q262" i="13" s="1"/>
  <c r="N273" i="13"/>
  <c r="O273" i="13" s="1"/>
  <c r="P273" i="13" s="1"/>
  <c r="Q273" i="13" s="1"/>
  <c r="N271" i="13"/>
  <c r="O271" i="13" s="1"/>
  <c r="P271" i="13" s="1"/>
  <c r="Q271" i="13" s="1"/>
  <c r="N114" i="13"/>
  <c r="O114" i="13" s="1"/>
  <c r="P114" i="13" s="1"/>
  <c r="Q114" i="13" s="1"/>
  <c r="N285" i="13"/>
  <c r="O285" i="13" s="1"/>
  <c r="P285" i="13" s="1"/>
  <c r="Q285" i="13" s="1"/>
  <c r="J6" i="12"/>
  <c r="J78" i="12"/>
  <c r="J248" i="12"/>
  <c r="J189" i="12"/>
  <c r="J255" i="12"/>
  <c r="J230" i="12"/>
  <c r="J265" i="12"/>
  <c r="J72" i="12"/>
  <c r="J84" i="12"/>
  <c r="J201" i="12"/>
  <c r="J51" i="12"/>
  <c r="J111" i="12"/>
  <c r="J194" i="12"/>
  <c r="J200" i="12"/>
  <c r="J264" i="12"/>
  <c r="J121" i="12"/>
  <c r="J237" i="12"/>
  <c r="J253" i="12"/>
  <c r="J304" i="12"/>
  <c r="J220" i="12"/>
  <c r="J119" i="12"/>
  <c r="J234" i="12"/>
  <c r="J239" i="12"/>
  <c r="J238" i="12"/>
  <c r="J10" i="12"/>
  <c r="J295" i="12"/>
  <c r="J177" i="12"/>
  <c r="J34" i="12"/>
  <c r="J206" i="12"/>
  <c r="J9" i="12"/>
  <c r="J83" i="12"/>
  <c r="J288" i="12"/>
  <c r="J107" i="12"/>
  <c r="J167" i="12"/>
  <c r="J134" i="12"/>
  <c r="J69" i="12"/>
  <c r="J180" i="12"/>
  <c r="J271" i="12"/>
  <c r="J68" i="12"/>
  <c r="J216" i="12"/>
  <c r="J290" i="12"/>
  <c r="J191" i="12"/>
  <c r="J272" i="12"/>
  <c r="J152" i="12"/>
  <c r="J122" i="12"/>
  <c r="J103" i="12"/>
  <c r="J94" i="12"/>
  <c r="J269" i="12"/>
  <c r="J261" i="12"/>
  <c r="J147" i="12"/>
  <c r="J262" i="12"/>
  <c r="J64" i="12"/>
  <c r="J171" i="12"/>
  <c r="J105" i="12"/>
  <c r="J123" i="12"/>
  <c r="J89" i="12"/>
  <c r="J43" i="12"/>
  <c r="J225" i="12"/>
  <c r="J312" i="12"/>
  <c r="J117" i="12"/>
  <c r="J244" i="12"/>
  <c r="J188" i="12"/>
  <c r="J245" i="12"/>
  <c r="J11" i="12"/>
  <c r="J268" i="12"/>
  <c r="J28" i="12"/>
  <c r="J276" i="12"/>
  <c r="J109" i="12"/>
  <c r="J173" i="12"/>
  <c r="J52" i="12"/>
  <c r="J149" i="12"/>
  <c r="J172" i="12"/>
  <c r="J202" i="12"/>
  <c r="J31" i="12"/>
  <c r="J150" i="12"/>
  <c r="N48" i="13"/>
  <c r="O48" i="13" s="1"/>
  <c r="P48" i="13" s="1"/>
  <c r="Q48" i="13" s="1"/>
  <c r="N89" i="13"/>
  <c r="O89" i="13" s="1"/>
  <c r="P89" i="13" s="1"/>
  <c r="Q89" i="13" s="1"/>
  <c r="N38" i="13"/>
  <c r="O38" i="13" s="1"/>
  <c r="P38" i="13" s="1"/>
  <c r="Q38" i="13" s="1"/>
  <c r="N202" i="13"/>
  <c r="O202" i="13" s="1"/>
  <c r="P202" i="13" s="1"/>
  <c r="Q202" i="13" s="1"/>
  <c r="N269" i="13"/>
  <c r="O269" i="13" s="1"/>
  <c r="P269" i="13" s="1"/>
  <c r="Q269" i="13" s="1"/>
  <c r="N190" i="13"/>
  <c r="O190" i="13" s="1"/>
  <c r="P190" i="13" s="1"/>
  <c r="Q190" i="13" s="1"/>
  <c r="N110" i="13"/>
  <c r="O110" i="13" s="1"/>
  <c r="P110" i="13" s="1"/>
  <c r="Q110" i="13" s="1"/>
  <c r="N7" i="13"/>
  <c r="O7" i="13" s="1"/>
  <c r="P7" i="13" s="1"/>
  <c r="Q7" i="13" s="1"/>
  <c r="N234" i="13"/>
  <c r="O234" i="13" s="1"/>
  <c r="P234" i="13" s="1"/>
  <c r="Q234" i="13" s="1"/>
  <c r="N153" i="13"/>
  <c r="O153" i="13" s="1"/>
  <c r="P153" i="13" s="1"/>
  <c r="Q153" i="13" s="1"/>
  <c r="N236" i="13"/>
  <c r="O236" i="13" s="1"/>
  <c r="P236" i="13" s="1"/>
  <c r="Q236" i="13" s="1"/>
  <c r="N270" i="13"/>
  <c r="O270" i="13" s="1"/>
  <c r="P270" i="13" s="1"/>
  <c r="Q270" i="13" s="1"/>
  <c r="N214" i="13"/>
  <c r="O214" i="13" s="1"/>
  <c r="P214" i="13" s="1"/>
  <c r="Q214" i="13" s="1"/>
  <c r="N231" i="13"/>
  <c r="O231" i="13" s="1"/>
  <c r="P231" i="13" s="1"/>
  <c r="Q231" i="13" s="1"/>
  <c r="N166" i="13"/>
  <c r="O166" i="13" s="1"/>
  <c r="P166" i="13" s="1"/>
  <c r="Q166" i="13" s="1"/>
  <c r="N174" i="13"/>
  <c r="O174" i="13" s="1"/>
  <c r="P174" i="13" s="1"/>
  <c r="Q174" i="13" s="1"/>
  <c r="N290" i="13"/>
  <c r="O290" i="13" s="1"/>
  <c r="P290" i="13" s="1"/>
  <c r="Q290" i="13" s="1"/>
  <c r="N124" i="13"/>
  <c r="O124" i="13" s="1"/>
  <c r="P124" i="13" s="1"/>
  <c r="Q124" i="13" s="1"/>
  <c r="N178" i="13"/>
  <c r="O178" i="13" s="1"/>
  <c r="P178" i="13" s="1"/>
  <c r="Q178" i="13" s="1"/>
  <c r="N115" i="13"/>
  <c r="O115" i="13" s="1"/>
  <c r="P115" i="13" s="1"/>
  <c r="Q115" i="13" s="1"/>
  <c r="N26" i="13"/>
  <c r="O26" i="13" s="1"/>
  <c r="P26" i="13" s="1"/>
  <c r="Q26" i="13" s="1"/>
  <c r="N249" i="13"/>
  <c r="O249" i="13" s="1"/>
  <c r="P249" i="13" s="1"/>
  <c r="Q249" i="13" s="1"/>
  <c r="J16" i="12"/>
  <c r="J56" i="12"/>
  <c r="N69" i="13"/>
  <c r="O69" i="13" s="1"/>
  <c r="P69" i="13" s="1"/>
  <c r="Q69" i="13" s="1"/>
  <c r="N56" i="13"/>
  <c r="O56" i="13" s="1"/>
  <c r="P56" i="13" s="1"/>
  <c r="Q56" i="13" s="1"/>
  <c r="N90" i="13"/>
  <c r="O90" i="13" s="1"/>
  <c r="P90" i="13" s="1"/>
  <c r="Q90" i="13" s="1"/>
  <c r="K90" i="25" s="1"/>
  <c r="N310" i="13"/>
  <c r="O310" i="13" s="1"/>
  <c r="P310" i="13" s="1"/>
  <c r="Q310" i="13" s="1"/>
  <c r="N44" i="13"/>
  <c r="O44" i="13" s="1"/>
  <c r="P44" i="13" s="1"/>
  <c r="Q44" i="13" s="1"/>
  <c r="N172" i="13"/>
  <c r="O172" i="13" s="1"/>
  <c r="P172" i="13" s="1"/>
  <c r="Q172" i="13" s="1"/>
  <c r="N289" i="13"/>
  <c r="O289" i="13" s="1"/>
  <c r="P289" i="13" s="1"/>
  <c r="Q289" i="13" s="1"/>
  <c r="N65" i="13"/>
  <c r="O65" i="13" s="1"/>
  <c r="P65" i="13" s="1"/>
  <c r="Q65" i="13" s="1"/>
  <c r="N192" i="13"/>
  <c r="O192" i="13" s="1"/>
  <c r="P192" i="13" s="1"/>
  <c r="Q192" i="13" s="1"/>
  <c r="N116" i="13"/>
  <c r="O116" i="13" s="1"/>
  <c r="P116" i="13" s="1"/>
  <c r="Q116" i="13" s="1"/>
  <c r="N32" i="13"/>
  <c r="O32" i="13" s="1"/>
  <c r="P32" i="13" s="1"/>
  <c r="Q32" i="13" s="1"/>
  <c r="N84" i="13"/>
  <c r="O84" i="13" s="1"/>
  <c r="P84" i="13" s="1"/>
  <c r="Q84" i="13" s="1"/>
  <c r="N298" i="13"/>
  <c r="O298" i="13" s="1"/>
  <c r="P298" i="13" s="1"/>
  <c r="Q298" i="13" s="1"/>
  <c r="N125" i="13"/>
  <c r="O125" i="13" s="1"/>
  <c r="P125" i="13" s="1"/>
  <c r="Q125" i="13" s="1"/>
  <c r="N104" i="13"/>
  <c r="O104" i="13" s="1"/>
  <c r="P104" i="13" s="1"/>
  <c r="Q104" i="13" s="1"/>
  <c r="N263" i="13"/>
  <c r="O263" i="13" s="1"/>
  <c r="P263" i="13" s="1"/>
  <c r="Q263" i="13" s="1"/>
  <c r="N235" i="13"/>
  <c r="O235" i="13" s="1"/>
  <c r="P235" i="13" s="1"/>
  <c r="Q235" i="13" s="1"/>
  <c r="N226" i="13"/>
  <c r="O226" i="13" s="1"/>
  <c r="P226" i="13" s="1"/>
  <c r="Q226" i="13" s="1"/>
  <c r="N240" i="13"/>
  <c r="O240" i="13" s="1"/>
  <c r="P240" i="13" s="1"/>
  <c r="Q240" i="13" s="1"/>
  <c r="N136" i="13"/>
  <c r="O136" i="13" s="1"/>
  <c r="P136" i="13" s="1"/>
  <c r="Q136" i="13" s="1"/>
  <c r="N221" i="13"/>
  <c r="O221" i="13" s="1"/>
  <c r="P221" i="13" s="1"/>
  <c r="Q221" i="13" s="1"/>
  <c r="N79" i="13"/>
  <c r="O79" i="13" s="1"/>
  <c r="P79" i="13" s="1"/>
  <c r="Q79" i="13" s="1"/>
  <c r="N24" i="13"/>
  <c r="O24" i="13" s="1"/>
  <c r="P24" i="13" s="1"/>
  <c r="Q24" i="13" s="1"/>
  <c r="N63" i="13"/>
  <c r="O63" i="13" s="1"/>
  <c r="P63" i="13" s="1"/>
  <c r="Q63" i="13" s="1"/>
  <c r="N217" i="13"/>
  <c r="O217" i="13" s="1"/>
  <c r="P217" i="13" s="1"/>
  <c r="Q217" i="13" s="1"/>
  <c r="N305" i="13"/>
  <c r="O305" i="13" s="1"/>
  <c r="P305" i="13" s="1"/>
  <c r="Q305" i="13" s="1"/>
  <c r="N107" i="13"/>
  <c r="O107" i="13" s="1"/>
  <c r="P107" i="13" s="1"/>
  <c r="Q107" i="13" s="1"/>
  <c r="N61" i="13"/>
  <c r="O61" i="13" s="1"/>
  <c r="P61" i="13" s="1"/>
  <c r="Q61" i="13" s="1"/>
  <c r="N14" i="13"/>
  <c r="O14" i="13" s="1"/>
  <c r="P14" i="13" s="1"/>
  <c r="Q14" i="13" s="1"/>
  <c r="N223" i="13"/>
  <c r="O223" i="13" s="1"/>
  <c r="P223" i="13" s="1"/>
  <c r="Q223" i="13" s="1"/>
  <c r="N204" i="13"/>
  <c r="O204" i="13" s="1"/>
  <c r="P204" i="13" s="1"/>
  <c r="Q204" i="13" s="1"/>
  <c r="N286" i="13"/>
  <c r="O286" i="13" s="1"/>
  <c r="P286" i="13" s="1"/>
  <c r="Q286" i="13" s="1"/>
  <c r="N296" i="13"/>
  <c r="O296" i="13" s="1"/>
  <c r="P296" i="13" s="1"/>
  <c r="Q296" i="13" s="1"/>
  <c r="N133" i="13"/>
  <c r="O133" i="13" s="1"/>
  <c r="P133" i="13" s="1"/>
  <c r="Q133" i="13" s="1"/>
  <c r="N41" i="13"/>
  <c r="O41" i="13" s="1"/>
  <c r="P41" i="13" s="1"/>
  <c r="Q41" i="13" s="1"/>
  <c r="N130" i="13"/>
  <c r="O130" i="13" s="1"/>
  <c r="P130" i="13" s="1"/>
  <c r="Q130" i="13" s="1"/>
  <c r="N248" i="13"/>
  <c r="O248" i="13" s="1"/>
  <c r="P248" i="13" s="1"/>
  <c r="Q248" i="13" s="1"/>
  <c r="N265" i="13"/>
  <c r="O265" i="13" s="1"/>
  <c r="P265" i="13" s="1"/>
  <c r="Q265" i="13" s="1"/>
  <c r="N151" i="13"/>
  <c r="O151" i="13" s="1"/>
  <c r="P151" i="13" s="1"/>
  <c r="Q151" i="13" s="1"/>
  <c r="N66" i="13"/>
  <c r="O66" i="13" s="1"/>
  <c r="P66" i="13" s="1"/>
  <c r="Q66" i="13" s="1"/>
  <c r="N27" i="13"/>
  <c r="O27" i="13" s="1"/>
  <c r="P27" i="13" s="1"/>
  <c r="Q27" i="13" s="1"/>
  <c r="N163" i="13"/>
  <c r="O163" i="13" s="1"/>
  <c r="P163" i="13" s="1"/>
  <c r="Q163" i="13" s="1"/>
  <c r="K163" i="25" s="1"/>
  <c r="J71" i="12"/>
  <c r="J279" i="12"/>
  <c r="J178" i="12"/>
  <c r="J207" i="12"/>
  <c r="J95" i="12"/>
  <c r="J199" i="12"/>
  <c r="J166" i="12"/>
  <c r="J58" i="12"/>
  <c r="J236" i="12"/>
  <c r="J301" i="12"/>
  <c r="J209" i="12"/>
  <c r="J211" i="12"/>
  <c r="J142" i="12"/>
  <c r="J250" i="12"/>
  <c r="J70" i="12"/>
  <c r="J154" i="12"/>
  <c r="J241" i="12"/>
  <c r="J270" i="12"/>
  <c r="J210" i="12"/>
  <c r="J218" i="12"/>
  <c r="J182" i="12"/>
  <c r="J110" i="12"/>
  <c r="J128" i="12"/>
  <c r="J24" i="12"/>
  <c r="J67" i="12"/>
  <c r="J273" i="12"/>
  <c r="J169" i="12"/>
  <c r="J303" i="12"/>
  <c r="J280" i="12"/>
  <c r="J155" i="12"/>
  <c r="J176" i="12"/>
  <c r="J284" i="12"/>
  <c r="J243" i="12"/>
  <c r="J53" i="12"/>
  <c r="J219" i="12"/>
  <c r="J32" i="12"/>
  <c r="J187" i="12"/>
  <c r="J311" i="12"/>
  <c r="J146" i="12"/>
  <c r="J98" i="12"/>
  <c r="J20" i="12"/>
  <c r="J48" i="12"/>
  <c r="J198" i="12"/>
  <c r="J126" i="12"/>
  <c r="J224" i="12"/>
  <c r="J267" i="12"/>
  <c r="J196" i="12"/>
  <c r="J263" i="12"/>
  <c r="J22" i="12"/>
  <c r="J266" i="12"/>
  <c r="J293" i="12"/>
  <c r="J260" i="12"/>
  <c r="J256" i="12"/>
  <c r="J7" i="12"/>
  <c r="J170" i="12"/>
  <c r="J36" i="12"/>
  <c r="J137" i="12"/>
  <c r="J308" i="12"/>
  <c r="J99" i="12"/>
  <c r="J151" i="12"/>
  <c r="J294" i="12"/>
  <c r="J85" i="12"/>
  <c r="J156" i="12"/>
  <c r="J298" i="12"/>
  <c r="J35" i="12"/>
  <c r="J153" i="12"/>
  <c r="J136" i="12"/>
  <c r="J101" i="12"/>
  <c r="J15" i="12"/>
  <c r="J82" i="12"/>
  <c r="J278" i="12"/>
  <c r="J208" i="12"/>
  <c r="J275" i="12"/>
  <c r="N35" i="13"/>
  <c r="O35" i="13" s="1"/>
  <c r="P35" i="13" s="1"/>
  <c r="Q35" i="13" s="1"/>
  <c r="N80" i="13"/>
  <c r="O80" i="13" s="1"/>
  <c r="P80" i="13" s="1"/>
  <c r="Q80" i="13" s="1"/>
  <c r="N230" i="13"/>
  <c r="O230" i="13" s="1"/>
  <c r="P230" i="13" s="1"/>
  <c r="Q230" i="13" s="1"/>
  <c r="N313" i="13"/>
  <c r="O313" i="13" s="1"/>
  <c r="P313" i="13" s="1"/>
  <c r="Q313" i="13" s="1"/>
  <c r="N193" i="13"/>
  <c r="O193" i="13" s="1"/>
  <c r="P193" i="13" s="1"/>
  <c r="Q193" i="13" s="1"/>
  <c r="N132" i="13"/>
  <c r="O132" i="13" s="1"/>
  <c r="P132" i="13" s="1"/>
  <c r="Q132" i="13" s="1"/>
  <c r="K68" i="25"/>
  <c r="N300" i="13"/>
  <c r="O300" i="13" s="1"/>
  <c r="P300" i="13" s="1"/>
  <c r="Q300" i="13" s="1"/>
  <c r="N120" i="13"/>
  <c r="O120" i="13" s="1"/>
  <c r="P120" i="13" s="1"/>
  <c r="Q120" i="13" s="1"/>
  <c r="N252" i="13"/>
  <c r="O252" i="13" s="1"/>
  <c r="P252" i="13" s="1"/>
  <c r="Q252" i="13" s="1"/>
  <c r="N29" i="13"/>
  <c r="O29" i="13" s="1"/>
  <c r="P29" i="13" s="1"/>
  <c r="Q29" i="13" s="1"/>
  <c r="N195" i="13"/>
  <c r="O195" i="13" s="1"/>
  <c r="P195" i="13" s="1"/>
  <c r="Q195" i="13" s="1"/>
  <c r="N254" i="13"/>
  <c r="O254" i="13" s="1"/>
  <c r="P254" i="13" s="1"/>
  <c r="Q254" i="13" s="1"/>
  <c r="K254" i="25" s="1"/>
  <c r="N170" i="13"/>
  <c r="O170" i="13" s="1"/>
  <c r="P170" i="13" s="1"/>
  <c r="Q170" i="13" s="1"/>
  <c r="N244" i="13"/>
  <c r="O244" i="13" s="1"/>
  <c r="P244" i="13" s="1"/>
  <c r="Q244" i="13" s="1"/>
  <c r="N219" i="13"/>
  <c r="O219" i="13" s="1"/>
  <c r="D10" i="34"/>
  <c r="D11" i="34" s="1"/>
  <c r="R68" i="13"/>
  <c r="S68" i="13" s="1"/>
  <c r="P53" i="13"/>
  <c r="Q53" i="13" s="1"/>
  <c r="P102" i="13"/>
  <c r="Q102" i="13" s="1"/>
  <c r="R232" i="13" l="1"/>
  <c r="S232" i="13" s="1"/>
  <c r="R147" i="13"/>
  <c r="S147" i="13" s="1"/>
  <c r="I6" i="25"/>
  <c r="N6" i="13"/>
  <c r="O6" i="13" s="1"/>
  <c r="P6" i="13" s="1"/>
  <c r="Q6" i="13" s="1"/>
  <c r="K6" i="25" s="1"/>
  <c r="R45" i="13"/>
  <c r="S45" i="13" s="1"/>
  <c r="J5" i="12"/>
  <c r="R144" i="13"/>
  <c r="S144" i="13" s="1"/>
  <c r="R87" i="13"/>
  <c r="S87" i="13" s="1"/>
  <c r="R306" i="13"/>
  <c r="S306" i="13" s="1"/>
  <c r="R209" i="13"/>
  <c r="S209" i="13" s="1"/>
  <c r="R95" i="13"/>
  <c r="S95" i="13" s="1"/>
  <c r="R268" i="13"/>
  <c r="S268" i="13" s="1"/>
  <c r="R267" i="13"/>
  <c r="S267" i="13" s="1"/>
  <c r="R83" i="13"/>
  <c r="S83" i="13" s="1"/>
  <c r="R284" i="13"/>
  <c r="S284" i="13" s="1"/>
  <c r="R127" i="13"/>
  <c r="S127" i="13" s="1"/>
  <c r="R220" i="13"/>
  <c r="S220" i="13" s="1"/>
  <c r="O191" i="13"/>
  <c r="P191" i="13" s="1"/>
  <c r="Q191" i="13" s="1"/>
  <c r="K191" i="25" s="1"/>
  <c r="I5" i="12"/>
  <c r="L95" i="25"/>
  <c r="N95" i="25" s="1"/>
  <c r="L257" i="25"/>
  <c r="N257" i="25" s="1"/>
  <c r="L272" i="25"/>
  <c r="N272" i="25" s="1"/>
  <c r="L74" i="25"/>
  <c r="N74" i="25" s="1"/>
  <c r="L164" i="25"/>
  <c r="N164" i="25" s="1"/>
  <c r="L284" i="25"/>
  <c r="N284" i="25" s="1"/>
  <c r="L158" i="25"/>
  <c r="N158" i="25" s="1"/>
  <c r="L254" i="25"/>
  <c r="N254" i="25" s="1"/>
  <c r="L232" i="25"/>
  <c r="N232" i="25" s="1"/>
  <c r="L91" i="25"/>
  <c r="N91" i="25" s="1"/>
  <c r="L276" i="25"/>
  <c r="N276" i="25" s="1"/>
  <c r="L148" i="25"/>
  <c r="N148" i="25" s="1"/>
  <c r="L50" i="25"/>
  <c r="N50" i="25" s="1"/>
  <c r="L283" i="25"/>
  <c r="N283" i="25" s="1"/>
  <c r="L307" i="25"/>
  <c r="N307" i="25" s="1"/>
  <c r="L175" i="25"/>
  <c r="N175" i="25" s="1"/>
  <c r="L160" i="25"/>
  <c r="N160" i="25" s="1"/>
  <c r="L297" i="25"/>
  <c r="N297" i="25" s="1"/>
  <c r="L83" i="25"/>
  <c r="N83" i="25" s="1"/>
  <c r="L163" i="25"/>
  <c r="N163" i="25" s="1"/>
  <c r="L87" i="25"/>
  <c r="N87" i="25" s="1"/>
  <c r="L189" i="25"/>
  <c r="N189" i="25" s="1"/>
  <c r="L59" i="25"/>
  <c r="N59" i="25" s="1"/>
  <c r="L237" i="25"/>
  <c r="N237" i="25" s="1"/>
  <c r="L58" i="25"/>
  <c r="N58" i="25" s="1"/>
  <c r="L216" i="25"/>
  <c r="N216" i="25" s="1"/>
  <c r="L98" i="25"/>
  <c r="N98" i="25" s="1"/>
  <c r="L260" i="25"/>
  <c r="N260" i="25" s="1"/>
  <c r="L68" i="25"/>
  <c r="N68" i="25" s="1"/>
  <c r="L253" i="25"/>
  <c r="N253" i="25" s="1"/>
  <c r="L311" i="25"/>
  <c r="N311" i="25" s="1"/>
  <c r="L140" i="25"/>
  <c r="N140" i="25" s="1"/>
  <c r="L100" i="25"/>
  <c r="N100" i="25" s="1"/>
  <c r="L18" i="25"/>
  <c r="N18" i="25" s="1"/>
  <c r="L209" i="25"/>
  <c r="N209" i="25" s="1"/>
  <c r="L90" i="25"/>
  <c r="N90" i="25" s="1"/>
  <c r="L139" i="25"/>
  <c r="N139" i="25" s="1"/>
  <c r="L274" i="25"/>
  <c r="N274" i="25" s="1"/>
  <c r="L309" i="25"/>
  <c r="N309" i="25" s="1"/>
  <c r="L233" i="25"/>
  <c r="N233" i="25" s="1"/>
  <c r="L165" i="25"/>
  <c r="N165" i="25" s="1"/>
  <c r="L127" i="25"/>
  <c r="N127" i="25" s="1"/>
  <c r="L268" i="25"/>
  <c r="N268" i="25" s="1"/>
  <c r="L144" i="25"/>
  <c r="N144" i="25" s="1"/>
  <c r="L72" i="25"/>
  <c r="N72" i="25" s="1"/>
  <c r="L118" i="25"/>
  <c r="N118" i="25" s="1"/>
  <c r="L54" i="25"/>
  <c r="N54" i="25" s="1"/>
  <c r="L40" i="25"/>
  <c r="N40" i="25" s="1"/>
  <c r="L302" i="25"/>
  <c r="N302" i="25" s="1"/>
  <c r="L304" i="25"/>
  <c r="N304" i="25" s="1"/>
  <c r="L264" i="25"/>
  <c r="N264" i="25" s="1"/>
  <c r="L303" i="25"/>
  <c r="N303" i="25" s="1"/>
  <c r="L278" i="25"/>
  <c r="N278" i="25" s="1"/>
  <c r="L197" i="25"/>
  <c r="N197" i="25" s="1"/>
  <c r="L167" i="25"/>
  <c r="N167" i="25" s="1"/>
  <c r="L168" i="25"/>
  <c r="N168" i="25" s="1"/>
  <c r="L228" i="25"/>
  <c r="N228" i="25" s="1"/>
  <c r="L21" i="25"/>
  <c r="N21" i="25" s="1"/>
  <c r="L62" i="25"/>
  <c r="N62" i="25" s="1"/>
  <c r="L222" i="25"/>
  <c r="N222" i="25" s="1"/>
  <c r="L17" i="25"/>
  <c r="N17" i="25" s="1"/>
  <c r="L155" i="25"/>
  <c r="N155" i="25" s="1"/>
  <c r="L258" i="25"/>
  <c r="N258" i="25" s="1"/>
  <c r="L46" i="25"/>
  <c r="N46" i="25" s="1"/>
  <c r="L101" i="25"/>
  <c r="N101" i="25" s="1"/>
  <c r="L188" i="25"/>
  <c r="N188" i="25" s="1"/>
  <c r="L147" i="25"/>
  <c r="N147" i="25" s="1"/>
  <c r="L267" i="25"/>
  <c r="N267" i="25" s="1"/>
  <c r="L45" i="25"/>
  <c r="N45" i="25" s="1"/>
  <c r="L28" i="25"/>
  <c r="N28" i="25" s="1"/>
  <c r="L143" i="25"/>
  <c r="N143" i="25" s="1"/>
  <c r="L88" i="25"/>
  <c r="N88" i="25" s="1"/>
  <c r="L113" i="25"/>
  <c r="N113" i="25" s="1"/>
  <c r="L22" i="25"/>
  <c r="N22" i="25" s="1"/>
  <c r="L64" i="25"/>
  <c r="N64" i="25" s="1"/>
  <c r="L42" i="25"/>
  <c r="N42" i="25" s="1"/>
  <c r="L200" i="25"/>
  <c r="N200" i="25" s="1"/>
  <c r="L287" i="25"/>
  <c r="N287" i="25" s="1"/>
  <c r="L51" i="25"/>
  <c r="N51" i="25" s="1"/>
  <c r="L8" i="25"/>
  <c r="N8" i="25" s="1"/>
  <c r="L306" i="25"/>
  <c r="N306" i="25" s="1"/>
  <c r="L19" i="25"/>
  <c r="N19" i="25" s="1"/>
  <c r="L25" i="25"/>
  <c r="N25" i="25" s="1"/>
  <c r="L20" i="25"/>
  <c r="N20" i="25" s="1"/>
  <c r="L179" i="25"/>
  <c r="N179" i="25" s="1"/>
  <c r="L93" i="25"/>
  <c r="N93" i="25" s="1"/>
  <c r="L203" i="25"/>
  <c r="N203" i="25" s="1"/>
  <c r="L220" i="25"/>
  <c r="N220" i="25" s="1"/>
  <c r="L161" i="25"/>
  <c r="N161" i="25" s="1"/>
  <c r="L96" i="25"/>
  <c r="N96" i="25" s="1"/>
  <c r="L106" i="25"/>
  <c r="N106" i="25" s="1"/>
  <c r="L97" i="25"/>
  <c r="N97" i="25" s="1"/>
  <c r="L227" i="25"/>
  <c r="N227" i="25" s="1"/>
  <c r="L92" i="25"/>
  <c r="N92" i="25" s="1"/>
  <c r="L247" i="25"/>
  <c r="N247" i="25" s="1"/>
  <c r="L280" i="25"/>
  <c r="N280" i="25" s="1"/>
  <c r="L187" i="25"/>
  <c r="N187" i="25" s="1"/>
  <c r="L121" i="25"/>
  <c r="N121" i="25" s="1"/>
  <c r="R303" i="13"/>
  <c r="S303" i="13" s="1"/>
  <c r="R8" i="13"/>
  <c r="S8" i="13" s="1"/>
  <c r="R278" i="13"/>
  <c r="S278" i="13" s="1"/>
  <c r="R93" i="13"/>
  <c r="S93" i="13" s="1"/>
  <c r="R304" i="13"/>
  <c r="S304" i="13" s="1"/>
  <c r="R167" i="13"/>
  <c r="S167" i="13" s="1"/>
  <c r="R197" i="13"/>
  <c r="S197" i="13" s="1"/>
  <c r="R309" i="13"/>
  <c r="S309" i="13" s="1"/>
  <c r="R165" i="13"/>
  <c r="S165" i="13" s="1"/>
  <c r="R260" i="13"/>
  <c r="S260" i="13" s="1"/>
  <c r="R58" i="13"/>
  <c r="S58" i="13" s="1"/>
  <c r="R233" i="13"/>
  <c r="S233" i="13" s="1"/>
  <c r="R140" i="13"/>
  <c r="S140" i="13" s="1"/>
  <c r="R164" i="13"/>
  <c r="S164" i="13" s="1"/>
  <c r="R96" i="13"/>
  <c r="S96" i="13" s="1"/>
  <c r="R18" i="13"/>
  <c r="S18" i="13" s="1"/>
  <c r="R188" i="13"/>
  <c r="S188" i="13" s="1"/>
  <c r="R237" i="13"/>
  <c r="S237" i="13" s="1"/>
  <c r="R285" i="13"/>
  <c r="S285" i="13" s="1"/>
  <c r="R124" i="13"/>
  <c r="S124" i="13" s="1"/>
  <c r="R305" i="13"/>
  <c r="S305" i="13" s="1"/>
  <c r="R187" i="13"/>
  <c r="S187" i="13" s="1"/>
  <c r="R228" i="13"/>
  <c r="S228" i="13" s="1"/>
  <c r="R297" i="13"/>
  <c r="S297" i="13" s="1"/>
  <c r="R227" i="13"/>
  <c r="S227" i="13" s="1"/>
  <c r="R175" i="13"/>
  <c r="S175" i="13" s="1"/>
  <c r="R98" i="13"/>
  <c r="S98" i="13" s="1"/>
  <c r="R152" i="13"/>
  <c r="S152" i="13" s="1"/>
  <c r="R91" i="13"/>
  <c r="S91" i="13" s="1"/>
  <c r="R311" i="13"/>
  <c r="S311" i="13" s="1"/>
  <c r="R74" i="13"/>
  <c r="S74" i="13" s="1"/>
  <c r="R121" i="13"/>
  <c r="S121" i="13" s="1"/>
  <c r="R17" i="13"/>
  <c r="S17" i="13" s="1"/>
  <c r="R28" i="13"/>
  <c r="S28" i="13" s="1"/>
  <c r="R160" i="13"/>
  <c r="S160" i="13" s="1"/>
  <c r="R100" i="13"/>
  <c r="S100" i="13" s="1"/>
  <c r="R238" i="13"/>
  <c r="S238" i="13" s="1"/>
  <c r="R222" i="13"/>
  <c r="S222" i="13" s="1"/>
  <c r="R287" i="13"/>
  <c r="S287" i="13" s="1"/>
  <c r="R56" i="13"/>
  <c r="S56" i="13" s="1"/>
  <c r="R247" i="13"/>
  <c r="S247" i="13" s="1"/>
  <c r="R302" i="13"/>
  <c r="S302" i="13" s="1"/>
  <c r="R113" i="13"/>
  <c r="S113" i="13" s="1"/>
  <c r="R51" i="13"/>
  <c r="S51" i="13" s="1"/>
  <c r="R280" i="13"/>
  <c r="S280" i="13" s="1"/>
  <c r="R192" i="13"/>
  <c r="S192" i="13" s="1"/>
  <c r="R107" i="13"/>
  <c r="S107" i="13" s="1"/>
  <c r="R264" i="13"/>
  <c r="S264" i="13" s="1"/>
  <c r="R88" i="13"/>
  <c r="S88" i="13" s="1"/>
  <c r="R70" i="13"/>
  <c r="S70" i="13" s="1"/>
  <c r="R283" i="13"/>
  <c r="S283" i="13" s="1"/>
  <c r="R59" i="13"/>
  <c r="S59" i="13" s="1"/>
  <c r="R31" i="13"/>
  <c r="S31" i="13" s="1"/>
  <c r="R9" i="13"/>
  <c r="S9" i="13" s="1"/>
  <c r="R64" i="13"/>
  <c r="S64" i="13" s="1"/>
  <c r="R216" i="13"/>
  <c r="S216" i="13" s="1"/>
  <c r="R174" i="13"/>
  <c r="S174" i="13" s="1"/>
  <c r="R143" i="13"/>
  <c r="S143" i="13" s="1"/>
  <c r="R189" i="13"/>
  <c r="S189" i="13" s="1"/>
  <c r="R50" i="13"/>
  <c r="S50" i="13" s="1"/>
  <c r="R146" i="13"/>
  <c r="S146" i="13" s="1"/>
  <c r="R42" i="13"/>
  <c r="S42" i="13" s="1"/>
  <c r="R22" i="13"/>
  <c r="S22" i="13" s="1"/>
  <c r="R52" i="13"/>
  <c r="S52" i="13" s="1"/>
  <c r="R307" i="13"/>
  <c r="S307" i="13" s="1"/>
  <c r="R200" i="13"/>
  <c r="S200" i="13" s="1"/>
  <c r="R150" i="13"/>
  <c r="S150" i="13" s="1"/>
  <c r="R274" i="13"/>
  <c r="S274" i="13" s="1"/>
  <c r="R132" i="13"/>
  <c r="S132" i="13" s="1"/>
  <c r="R168" i="13"/>
  <c r="S168" i="13" s="1"/>
  <c r="R92" i="13"/>
  <c r="S92" i="13" s="1"/>
  <c r="R115" i="13"/>
  <c r="S115" i="13" s="1"/>
  <c r="R101" i="13"/>
  <c r="S101" i="13" s="1"/>
  <c r="R130" i="13"/>
  <c r="S130" i="13" s="1"/>
  <c r="R97" i="13"/>
  <c r="S97" i="13" s="1"/>
  <c r="R298" i="13"/>
  <c r="S298" i="13" s="1"/>
  <c r="R217" i="13"/>
  <c r="S217" i="13" s="1"/>
  <c r="R257" i="13"/>
  <c r="S257" i="13" s="1"/>
  <c r="R296" i="13"/>
  <c r="S296" i="13" s="1"/>
  <c r="R106" i="13"/>
  <c r="S106" i="13" s="1"/>
  <c r="R135" i="13"/>
  <c r="S135" i="13" s="1"/>
  <c r="R19" i="13"/>
  <c r="S19" i="13" s="1"/>
  <c r="R190" i="13"/>
  <c r="S190" i="13" s="1"/>
  <c r="R194" i="13"/>
  <c r="S194" i="13" s="1"/>
  <c r="R155" i="13"/>
  <c r="S155" i="13" s="1"/>
  <c r="R252" i="13"/>
  <c r="S252" i="13" s="1"/>
  <c r="R139" i="13"/>
  <c r="S139" i="13" s="1"/>
  <c r="R25" i="13"/>
  <c r="S25" i="13" s="1"/>
  <c r="R250" i="13"/>
  <c r="S250" i="13" s="1"/>
  <c r="R286" i="13"/>
  <c r="S286" i="13" s="1"/>
  <c r="R272" i="13"/>
  <c r="S272" i="13" s="1"/>
  <c r="R277" i="13"/>
  <c r="S277" i="13" s="1"/>
  <c r="R254" i="13"/>
  <c r="S254" i="13" s="1"/>
  <c r="R246" i="13"/>
  <c r="S246" i="13" s="1"/>
  <c r="R62" i="13"/>
  <c r="S62" i="13" s="1"/>
  <c r="R253" i="13"/>
  <c r="S253" i="13" s="1"/>
  <c r="R159" i="13"/>
  <c r="S159" i="13" s="1"/>
  <c r="R40" i="13"/>
  <c r="S40" i="13" s="1"/>
  <c r="R72" i="13"/>
  <c r="S72" i="13" s="1"/>
  <c r="R265" i="13"/>
  <c r="S265" i="13" s="1"/>
  <c r="R39" i="13"/>
  <c r="S39" i="13" s="1"/>
  <c r="R123" i="13"/>
  <c r="S123" i="13" s="1"/>
  <c r="R116" i="13"/>
  <c r="S116" i="13" s="1"/>
  <c r="R20" i="13"/>
  <c r="S20" i="13" s="1"/>
  <c r="R110" i="13"/>
  <c r="S110" i="13" s="1"/>
  <c r="R158" i="13"/>
  <c r="S158" i="13" s="1"/>
  <c r="R273" i="13"/>
  <c r="S273" i="13" s="1"/>
  <c r="R248" i="13"/>
  <c r="S248" i="13" s="1"/>
  <c r="R54" i="13"/>
  <c r="S54" i="13" s="1"/>
  <c r="R153" i="13"/>
  <c r="S153" i="13" s="1"/>
  <c r="R90" i="13"/>
  <c r="S90" i="13" s="1"/>
  <c r="R161" i="13"/>
  <c r="S161" i="13" s="1"/>
  <c r="R21" i="13"/>
  <c r="S21" i="13" s="1"/>
  <c r="R27" i="13"/>
  <c r="S27" i="13" s="1"/>
  <c r="R266" i="13"/>
  <c r="S266" i="13" s="1"/>
  <c r="R46" i="13"/>
  <c r="S46" i="13" s="1"/>
  <c r="R262" i="13"/>
  <c r="S262" i="13" s="1"/>
  <c r="R231" i="13"/>
  <c r="S231" i="13" s="1"/>
  <c r="R203" i="13"/>
  <c r="S203" i="13" s="1"/>
  <c r="R48" i="13"/>
  <c r="S48" i="13" s="1"/>
  <c r="R276" i="13"/>
  <c r="S276" i="13" s="1"/>
  <c r="R239" i="13"/>
  <c r="S239" i="13" s="1"/>
  <c r="R204" i="13"/>
  <c r="S204" i="13" s="1"/>
  <c r="R258" i="13"/>
  <c r="S258" i="13" s="1"/>
  <c r="R269" i="13"/>
  <c r="S269" i="13" s="1"/>
  <c r="R148" i="13"/>
  <c r="S148" i="13" s="1"/>
  <c r="R118" i="13"/>
  <c r="S118" i="13" s="1"/>
  <c r="R271" i="13"/>
  <c r="S271" i="13" s="1"/>
  <c r="R179" i="13"/>
  <c r="S179" i="13" s="1"/>
  <c r="K122" i="25"/>
  <c r="K65" i="25"/>
  <c r="K259" i="25"/>
  <c r="K289" i="25"/>
  <c r="K79" i="25"/>
  <c r="K14" i="25"/>
  <c r="K310" i="25"/>
  <c r="K80" i="25"/>
  <c r="K57" i="25"/>
  <c r="K44" i="25"/>
  <c r="K38" i="25"/>
  <c r="K32" i="25"/>
  <c r="K270" i="25"/>
  <c r="K240" i="25"/>
  <c r="K145" i="25"/>
  <c r="K99" i="25"/>
  <c r="K112" i="25"/>
  <c r="K105" i="25"/>
  <c r="K199" i="25"/>
  <c r="K131" i="25"/>
  <c r="K60" i="25"/>
  <c r="K134" i="25"/>
  <c r="K263" i="25"/>
  <c r="K53" i="25"/>
  <c r="K23" i="25"/>
  <c r="K243" i="25"/>
  <c r="K301" i="25"/>
  <c r="R151" i="13"/>
  <c r="S151" i="13" s="1"/>
  <c r="R275" i="13"/>
  <c r="S275" i="13" s="1"/>
  <c r="K174" i="25"/>
  <c r="K244" i="25"/>
  <c r="K29" i="25"/>
  <c r="K26" i="25"/>
  <c r="K178" i="25"/>
  <c r="K236" i="25"/>
  <c r="K238" i="25"/>
  <c r="K73" i="25"/>
  <c r="K214" i="25"/>
  <c r="K171" i="25"/>
  <c r="K162" i="25"/>
  <c r="K109" i="25"/>
  <c r="K185" i="25"/>
  <c r="K77" i="25"/>
  <c r="K308" i="25"/>
  <c r="R234" i="13"/>
  <c r="S234" i="13" s="1"/>
  <c r="K34" i="25"/>
  <c r="K102" i="25"/>
  <c r="K33" i="25"/>
  <c r="K295" i="25"/>
  <c r="K186" i="25"/>
  <c r="K218" i="25"/>
  <c r="K192" i="25"/>
  <c r="R114" i="13"/>
  <c r="S114" i="13" s="1"/>
  <c r="K166" i="25"/>
  <c r="K10" i="25"/>
  <c r="R236" i="13"/>
  <c r="S236" i="13" s="1"/>
  <c r="K170" i="25"/>
  <c r="K252" i="25"/>
  <c r="K130" i="25"/>
  <c r="K124" i="25"/>
  <c r="K153" i="25"/>
  <c r="K190" i="25"/>
  <c r="K9" i="25"/>
  <c r="K277" i="25"/>
  <c r="K123" i="25"/>
  <c r="K150" i="25"/>
  <c r="K135" i="25"/>
  <c r="K245" i="25"/>
  <c r="K128" i="25"/>
  <c r="K154" i="25"/>
  <c r="K279" i="25"/>
  <c r="K300" i="25"/>
  <c r="K249" i="25"/>
  <c r="K229" i="25"/>
  <c r="K213" i="25"/>
  <c r="K37" i="25"/>
  <c r="K183" i="25"/>
  <c r="K108" i="25"/>
  <c r="K169" i="25"/>
  <c r="K75" i="25"/>
  <c r="K7" i="25"/>
  <c r="K151" i="25"/>
  <c r="K290" i="25"/>
  <c r="K271" i="25"/>
  <c r="K85" i="25"/>
  <c r="K15" i="25"/>
  <c r="K225" i="25"/>
  <c r="K313" i="25"/>
  <c r="K177" i="25"/>
  <c r="K71" i="25"/>
  <c r="K86" i="25"/>
  <c r="K314" i="25"/>
  <c r="K82" i="25"/>
  <c r="R193" i="13"/>
  <c r="S193" i="13" s="1"/>
  <c r="R249" i="13"/>
  <c r="S249" i="13" s="1"/>
  <c r="K256" i="25"/>
  <c r="R29" i="13"/>
  <c r="S29" i="13" s="1"/>
  <c r="K146" i="25"/>
  <c r="K133" i="25"/>
  <c r="K239" i="25"/>
  <c r="K282" i="25"/>
  <c r="K149" i="25"/>
  <c r="K196" i="25"/>
  <c r="K138" i="25"/>
  <c r="K294" i="25"/>
  <c r="K24" i="25"/>
  <c r="K235" i="25"/>
  <c r="R290" i="13"/>
  <c r="S290" i="13" s="1"/>
  <c r="K63" i="25"/>
  <c r="K142" i="25"/>
  <c r="K251" i="25"/>
  <c r="R85" i="13"/>
  <c r="S85" i="13" s="1"/>
  <c r="K288" i="25"/>
  <c r="K13" i="25"/>
  <c r="K184" i="25"/>
  <c r="K312" i="25"/>
  <c r="R195" i="13"/>
  <c r="S195" i="13" s="1"/>
  <c r="R120" i="13"/>
  <c r="S120" i="13" s="1"/>
  <c r="K129" i="25"/>
  <c r="R66" i="13"/>
  <c r="S66" i="13" s="1"/>
  <c r="K159" i="25"/>
  <c r="K210" i="25"/>
  <c r="R133" i="13"/>
  <c r="S133" i="13" s="1"/>
  <c r="K132" i="25"/>
  <c r="K27" i="25"/>
  <c r="K296" i="25"/>
  <c r="K269" i="25"/>
  <c r="K48" i="25"/>
  <c r="K194" i="25"/>
  <c r="K52" i="25"/>
  <c r="K81" i="25"/>
  <c r="K292" i="25"/>
  <c r="K136" i="25"/>
  <c r="K172" i="25"/>
  <c r="K207" i="25"/>
  <c r="K293" i="25"/>
  <c r="K84" i="25"/>
  <c r="K223" i="25"/>
  <c r="K30" i="25"/>
  <c r="K221" i="25"/>
  <c r="K69" i="25"/>
  <c r="K94" i="25"/>
  <c r="K291" i="25"/>
  <c r="K119" i="25"/>
  <c r="K103" i="25"/>
  <c r="K205" i="25"/>
  <c r="K212" i="25"/>
  <c r="K261" i="25"/>
  <c r="K120" i="25"/>
  <c r="K107" i="25"/>
  <c r="K234" i="25"/>
  <c r="K275" i="25"/>
  <c r="K16" i="25"/>
  <c r="K265" i="25"/>
  <c r="K125" i="25"/>
  <c r="K201" i="25"/>
  <c r="K47" i="25"/>
  <c r="K241" i="25"/>
  <c r="K104" i="25"/>
  <c r="K157" i="25"/>
  <c r="K182" i="25"/>
  <c r="K76" i="25"/>
  <c r="R300" i="13"/>
  <c r="S300" i="13" s="1"/>
  <c r="R163" i="13"/>
  <c r="S163" i="13" s="1"/>
  <c r="R26" i="13"/>
  <c r="S26" i="13" s="1"/>
  <c r="K286" i="25"/>
  <c r="K116" i="25"/>
  <c r="K56" i="25"/>
  <c r="K231" i="25"/>
  <c r="K70" i="25"/>
  <c r="K39" i="25"/>
  <c r="K230" i="25"/>
  <c r="K126" i="25"/>
  <c r="K78" i="25"/>
  <c r="K180" i="25"/>
  <c r="K31" i="25"/>
  <c r="K176" i="25"/>
  <c r="K195" i="25"/>
  <c r="K193" i="25"/>
  <c r="K66" i="25"/>
  <c r="K114" i="25"/>
  <c r="K89" i="25"/>
  <c r="K281" i="25"/>
  <c r="K117" i="25"/>
  <c r="K141" i="25"/>
  <c r="K137" i="25"/>
  <c r="K36" i="25"/>
  <c r="K224" i="25"/>
  <c r="K250" i="25"/>
  <c r="K217" i="25"/>
  <c r="K41" i="25"/>
  <c r="K246" i="25"/>
  <c r="K211" i="25"/>
  <c r="K173" i="25"/>
  <c r="K156" i="25"/>
  <c r="K299" i="25"/>
  <c r="K226" i="25"/>
  <c r="K12" i="25"/>
  <c r="R30" i="13"/>
  <c r="S30" i="13" s="1"/>
  <c r="R32" i="13"/>
  <c r="S32" i="13" s="1"/>
  <c r="K305" i="25"/>
  <c r="K115" i="25"/>
  <c r="K273" i="25"/>
  <c r="K255" i="25"/>
  <c r="K35" i="25"/>
  <c r="K206" i="25"/>
  <c r="K11" i="25"/>
  <c r="K198" i="25"/>
  <c r="K181" i="25"/>
  <c r="K67" i="25"/>
  <c r="K55" i="25"/>
  <c r="K215" i="25"/>
  <c r="R41" i="13"/>
  <c r="S41" i="13" s="1"/>
  <c r="K242" i="25"/>
  <c r="K43" i="25"/>
  <c r="K49" i="25"/>
  <c r="K208" i="25"/>
  <c r="K111" i="25"/>
  <c r="R223" i="13"/>
  <c r="S223" i="13" s="1"/>
  <c r="R125" i="13"/>
  <c r="S125" i="13" s="1"/>
  <c r="K61" i="25"/>
  <c r="R178" i="13"/>
  <c r="S178" i="13" s="1"/>
  <c r="K152" i="25"/>
  <c r="K202" i="25"/>
  <c r="K248" i="25"/>
  <c r="K204" i="25"/>
  <c r="K298" i="25"/>
  <c r="K110" i="25"/>
  <c r="K285" i="25"/>
  <c r="K262" i="25"/>
  <c r="K266" i="25"/>
  <c r="R244" i="13"/>
  <c r="S244" i="13" s="1"/>
  <c r="P219" i="13"/>
  <c r="Q219" i="13" s="1"/>
  <c r="R170" i="13"/>
  <c r="S170" i="13" s="1"/>
  <c r="R142" i="13"/>
  <c r="S142" i="13" s="1"/>
  <c r="R301" i="13"/>
  <c r="S301" i="13" s="1"/>
  <c r="R221" i="13"/>
  <c r="S221" i="13" s="1"/>
  <c r="R63" i="13"/>
  <c r="S63" i="13" s="1"/>
  <c r="R76" i="13"/>
  <c r="S76" i="13" s="1"/>
  <c r="R111" i="13"/>
  <c r="S111" i="13" s="1"/>
  <c r="R36" i="13"/>
  <c r="S36" i="13" s="1"/>
  <c r="R94" i="13"/>
  <c r="S94" i="13" s="1"/>
  <c r="R73" i="13"/>
  <c r="S73" i="13" s="1"/>
  <c r="R181" i="13"/>
  <c r="S181" i="13" s="1"/>
  <c r="R99" i="13"/>
  <c r="S99" i="13" s="1"/>
  <c r="R109" i="13"/>
  <c r="S109" i="13" s="1"/>
  <c r="R43" i="13"/>
  <c r="S43" i="13" s="1"/>
  <c r="R16" i="13"/>
  <c r="S16" i="13" s="1"/>
  <c r="R173" i="13"/>
  <c r="S173" i="13" s="1"/>
  <c r="R294" i="13"/>
  <c r="S294" i="13" s="1"/>
  <c r="R225" i="13"/>
  <c r="S225" i="13" s="1"/>
  <c r="R282" i="13"/>
  <c r="S282" i="13" s="1"/>
  <c r="R79" i="13"/>
  <c r="S79" i="13" s="1"/>
  <c r="R308" i="13"/>
  <c r="S308" i="13" s="1"/>
  <c r="R184" i="13"/>
  <c r="S184" i="13" s="1"/>
  <c r="R23" i="13"/>
  <c r="S23" i="13" s="1"/>
  <c r="R261" i="13"/>
  <c r="S261" i="13" s="1"/>
  <c r="R289" i="13"/>
  <c r="S289" i="13" s="1"/>
  <c r="R215" i="13"/>
  <c r="S215" i="13" s="1"/>
  <c r="R122" i="13"/>
  <c r="S122" i="13" s="1"/>
  <c r="R145" i="13"/>
  <c r="S145" i="13" s="1"/>
  <c r="R53" i="13"/>
  <c r="S53" i="13" s="1"/>
  <c r="R212" i="13"/>
  <c r="S212" i="13" s="1"/>
  <c r="R256" i="13"/>
  <c r="S256" i="13" s="1"/>
  <c r="R230" i="13"/>
  <c r="S230" i="13" s="1"/>
  <c r="R199" i="13"/>
  <c r="S199" i="13" s="1"/>
  <c r="R49" i="13"/>
  <c r="S49" i="13" s="1"/>
  <c r="R180" i="13"/>
  <c r="S180" i="13" s="1"/>
  <c r="R243" i="13"/>
  <c r="S243" i="13" s="1"/>
  <c r="R202" i="13"/>
  <c r="S202" i="13" s="1"/>
  <c r="R7" i="13"/>
  <c r="S7" i="13" s="1"/>
  <c r="R108" i="13"/>
  <c r="S108" i="13" s="1"/>
  <c r="R137" i="13"/>
  <c r="S137" i="13" s="1"/>
  <c r="R279" i="13"/>
  <c r="S279" i="13" s="1"/>
  <c r="R14" i="13"/>
  <c r="S14" i="13" s="1"/>
  <c r="R82" i="13"/>
  <c r="S82" i="13" s="1"/>
  <c r="R218" i="13"/>
  <c r="S218" i="13" s="1"/>
  <c r="R166" i="13"/>
  <c r="S166" i="13" s="1"/>
  <c r="R210" i="13"/>
  <c r="S210" i="13" s="1"/>
  <c r="R10" i="13"/>
  <c r="S10" i="13" s="1"/>
  <c r="R15" i="13"/>
  <c r="S15" i="13" s="1"/>
  <c r="R37" i="13"/>
  <c r="S37" i="13" s="1"/>
  <c r="R171" i="13"/>
  <c r="S171" i="13" s="1"/>
  <c r="R245" i="13"/>
  <c r="S245" i="13" s="1"/>
  <c r="R259" i="13"/>
  <c r="S259" i="13" s="1"/>
  <c r="R136" i="13"/>
  <c r="S136" i="13" s="1"/>
  <c r="R77" i="13"/>
  <c r="S77" i="13" s="1"/>
  <c r="R251" i="13"/>
  <c r="S251" i="13" s="1"/>
  <c r="R71" i="13"/>
  <c r="S71" i="13" s="1"/>
  <c r="R288" i="13"/>
  <c r="S288" i="13" s="1"/>
  <c r="R270" i="13"/>
  <c r="S270" i="13" s="1"/>
  <c r="R205" i="13"/>
  <c r="S205" i="13" s="1"/>
  <c r="R263" i="13"/>
  <c r="S263" i="13" s="1"/>
  <c r="R129" i="13"/>
  <c r="S129" i="13" s="1"/>
  <c r="R176" i="13"/>
  <c r="S176" i="13" s="1"/>
  <c r="R149" i="13"/>
  <c r="S149" i="13" s="1"/>
  <c r="R196" i="13"/>
  <c r="S196" i="13" s="1"/>
  <c r="R229" i="13"/>
  <c r="S229" i="13" s="1"/>
  <c r="R162" i="13"/>
  <c r="S162" i="13" s="1"/>
  <c r="R292" i="13"/>
  <c r="S292" i="13" s="1"/>
  <c r="R126" i="13"/>
  <c r="S126" i="13" s="1"/>
  <c r="R104" i="13"/>
  <c r="S104" i="13" s="1"/>
  <c r="R60" i="13"/>
  <c r="S60" i="13" s="1"/>
  <c r="R157" i="13"/>
  <c r="S157" i="13" s="1"/>
  <c r="R78" i="13"/>
  <c r="S78" i="13" s="1"/>
  <c r="R208" i="13"/>
  <c r="S208" i="13" s="1"/>
  <c r="R169" i="13"/>
  <c r="S169" i="13" s="1"/>
  <c r="R226" i="13"/>
  <c r="S226" i="13" s="1"/>
  <c r="R224" i="13"/>
  <c r="S224" i="13" s="1"/>
  <c r="R293" i="13"/>
  <c r="S293" i="13" s="1"/>
  <c r="R84" i="13"/>
  <c r="S84" i="13" s="1"/>
  <c r="R186" i="13"/>
  <c r="S186" i="13" s="1"/>
  <c r="R255" i="13"/>
  <c r="S255" i="13" s="1"/>
  <c r="R198" i="13"/>
  <c r="S198" i="13" s="1"/>
  <c r="R89" i="13"/>
  <c r="S89" i="13" s="1"/>
  <c r="R211" i="13"/>
  <c r="S211" i="13" s="1"/>
  <c r="R65" i="13"/>
  <c r="S65" i="13" s="1"/>
  <c r="R81" i="13"/>
  <c r="S81" i="13" s="1"/>
  <c r="R214" i="13"/>
  <c r="S214" i="13" s="1"/>
  <c r="R35" i="13"/>
  <c r="S35" i="13" s="1"/>
  <c r="R206" i="13"/>
  <c r="S206" i="13" s="1"/>
  <c r="R67" i="13"/>
  <c r="S67" i="13" s="1"/>
  <c r="R69" i="13"/>
  <c r="S69" i="13" s="1"/>
  <c r="R141" i="13"/>
  <c r="S141" i="13" s="1"/>
  <c r="R24" i="13"/>
  <c r="S24" i="13" s="1"/>
  <c r="R11" i="13"/>
  <c r="S11" i="13" s="1"/>
  <c r="R55" i="13"/>
  <c r="S55" i="13" s="1"/>
  <c r="R213" i="13"/>
  <c r="S213" i="13" s="1"/>
  <c r="R183" i="13"/>
  <c r="S183" i="13" s="1"/>
  <c r="R235" i="13"/>
  <c r="S235" i="13" s="1"/>
  <c r="R201" i="13"/>
  <c r="S201" i="13" s="1"/>
  <c r="R105" i="13"/>
  <c r="S105" i="13" s="1"/>
  <c r="R172" i="13"/>
  <c r="S172" i="13" s="1"/>
  <c r="R13" i="13"/>
  <c r="S13" i="13" s="1"/>
  <c r="R240" i="13"/>
  <c r="S240" i="13" s="1"/>
  <c r="R310" i="13"/>
  <c r="S310" i="13" s="1"/>
  <c r="R80" i="13"/>
  <c r="S80" i="13" s="1"/>
  <c r="R154" i="13"/>
  <c r="S154" i="13" s="1"/>
  <c r="R295" i="13"/>
  <c r="S295" i="13" s="1"/>
  <c r="R312" i="13"/>
  <c r="S312" i="13" s="1"/>
  <c r="R38" i="13"/>
  <c r="S38" i="13" s="1"/>
  <c r="R12" i="13"/>
  <c r="S12" i="13" s="1"/>
  <c r="R61" i="13"/>
  <c r="S61" i="13" s="1"/>
  <c r="R75" i="13"/>
  <c r="S75" i="13" s="1"/>
  <c r="R117" i="13"/>
  <c r="S117" i="13" s="1"/>
  <c r="R138" i="13"/>
  <c r="S138" i="13" s="1"/>
  <c r="R57" i="13"/>
  <c r="S57" i="13" s="1"/>
  <c r="R281" i="13"/>
  <c r="S281" i="13" s="1"/>
  <c r="R291" i="13"/>
  <c r="S291" i="13" s="1"/>
  <c r="R156" i="13"/>
  <c r="S156" i="13" s="1"/>
  <c r="R313" i="13"/>
  <c r="S313" i="13" s="1"/>
  <c r="R47" i="13"/>
  <c r="S47" i="13" s="1"/>
  <c r="R112" i="13"/>
  <c r="S112" i="13" s="1"/>
  <c r="R185" i="13"/>
  <c r="S185" i="13" s="1"/>
  <c r="R119" i="13"/>
  <c r="S119" i="13" s="1"/>
  <c r="R177" i="13"/>
  <c r="S177" i="13" s="1"/>
  <c r="R241" i="13"/>
  <c r="S241" i="13" s="1"/>
  <c r="R131" i="13"/>
  <c r="S131" i="13" s="1"/>
  <c r="R103" i="13"/>
  <c r="S103" i="13" s="1"/>
  <c r="R242" i="13"/>
  <c r="S242" i="13" s="1"/>
  <c r="R44" i="13"/>
  <c r="S44" i="13" s="1"/>
  <c r="R128" i="13"/>
  <c r="S128" i="13" s="1"/>
  <c r="R34" i="13"/>
  <c r="S34" i="13" s="1"/>
  <c r="R86" i="13"/>
  <c r="S86" i="13" s="1"/>
  <c r="R134" i="13"/>
  <c r="S134" i="13" s="1"/>
  <c r="R102" i="13"/>
  <c r="S102" i="13" s="1"/>
  <c r="R299" i="13"/>
  <c r="S299" i="13" s="1"/>
  <c r="R182" i="13"/>
  <c r="S182" i="13" s="1"/>
  <c r="R207" i="13"/>
  <c r="S207" i="13" s="1"/>
  <c r="R33" i="13"/>
  <c r="S33" i="13" s="1"/>
  <c r="R314" i="13"/>
  <c r="S314" i="13" s="1"/>
  <c r="E39" i="48"/>
  <c r="N315" i="13" l="1"/>
  <c r="R6" i="13"/>
  <c r="S6" i="13" s="1"/>
  <c r="R191" i="13"/>
  <c r="S191" i="13" s="1"/>
  <c r="H121" i="54"/>
  <c r="H280" i="54"/>
  <c r="H92" i="54"/>
  <c r="H97" i="54"/>
  <c r="H96" i="54"/>
  <c r="H220" i="54"/>
  <c r="H93" i="54"/>
  <c r="H20" i="54"/>
  <c r="H19" i="54"/>
  <c r="H8" i="54"/>
  <c r="H287" i="54"/>
  <c r="H42" i="54"/>
  <c r="H22" i="54"/>
  <c r="H88" i="54"/>
  <c r="H28" i="54"/>
  <c r="H267" i="54"/>
  <c r="H188" i="54"/>
  <c r="H46" i="54"/>
  <c r="H155" i="54"/>
  <c r="H222" i="54"/>
  <c r="H21" i="54"/>
  <c r="H168" i="54"/>
  <c r="H197" i="54"/>
  <c r="H303" i="54"/>
  <c r="H304" i="54"/>
  <c r="H40" i="54"/>
  <c r="H118" i="54"/>
  <c r="H144" i="54"/>
  <c r="H127" i="54"/>
  <c r="H233" i="54"/>
  <c r="H274" i="54"/>
  <c r="H90" i="54"/>
  <c r="H18" i="54"/>
  <c r="H140" i="54"/>
  <c r="H253" i="54"/>
  <c r="H260" i="54"/>
  <c r="H216" i="54"/>
  <c r="H237" i="54"/>
  <c r="H189" i="54"/>
  <c r="H163" i="54"/>
  <c r="H297" i="54"/>
  <c r="H175" i="54"/>
  <c r="H283" i="54"/>
  <c r="H148" i="54"/>
  <c r="H91" i="54"/>
  <c r="H254" i="54"/>
  <c r="H284" i="54"/>
  <c r="H74" i="54"/>
  <c r="H257" i="54"/>
  <c r="E37" i="48"/>
  <c r="F39" i="48" s="1"/>
  <c r="F43" i="48" s="1"/>
  <c r="F54" i="48" s="1"/>
  <c r="J6" i="25"/>
  <c r="I314" i="12"/>
  <c r="J315" i="25" s="1"/>
  <c r="H187" i="54"/>
  <c r="H247" i="54"/>
  <c r="H227" i="54"/>
  <c r="H106" i="54"/>
  <c r="H161" i="54"/>
  <c r="H203" i="54"/>
  <c r="H179" i="54"/>
  <c r="H25" i="54"/>
  <c r="H306" i="54"/>
  <c r="H51" i="54"/>
  <c r="H200" i="54"/>
  <c r="H64" i="54"/>
  <c r="H113" i="54"/>
  <c r="H143" i="54"/>
  <c r="H45" i="54"/>
  <c r="H147" i="54"/>
  <c r="H101" i="54"/>
  <c r="H258" i="54"/>
  <c r="H17" i="54"/>
  <c r="H62" i="54"/>
  <c r="H228" i="54"/>
  <c r="H167" i="54"/>
  <c r="H278" i="54"/>
  <c r="H264" i="54"/>
  <c r="H302" i="54"/>
  <c r="H54" i="54"/>
  <c r="H72" i="54"/>
  <c r="H268" i="54"/>
  <c r="H165" i="54"/>
  <c r="H309" i="54"/>
  <c r="H139" i="54"/>
  <c r="H209" i="54"/>
  <c r="H100" i="54"/>
  <c r="H311" i="54"/>
  <c r="H68" i="54"/>
  <c r="H98" i="54"/>
  <c r="H58" i="54"/>
  <c r="H59" i="54"/>
  <c r="H87" i="54"/>
  <c r="H83" i="54"/>
  <c r="H160" i="54"/>
  <c r="H307" i="54"/>
  <c r="H50" i="54"/>
  <c r="H276" i="54"/>
  <c r="H232" i="54"/>
  <c r="H158" i="54"/>
  <c r="H164" i="54"/>
  <c r="H272" i="54"/>
  <c r="H95" i="54"/>
  <c r="L67" i="25"/>
  <c r="N67" i="25" s="1"/>
  <c r="L195" i="25"/>
  <c r="N195" i="25" s="1"/>
  <c r="L223" i="25"/>
  <c r="N223" i="25" s="1"/>
  <c r="L146" i="25"/>
  <c r="N146" i="25" s="1"/>
  <c r="L135" i="25"/>
  <c r="N135" i="25" s="1"/>
  <c r="L301" i="25"/>
  <c r="N301" i="25" s="1"/>
  <c r="L248" i="25"/>
  <c r="N248" i="25" s="1"/>
  <c r="L208" i="25"/>
  <c r="N208" i="25" s="1"/>
  <c r="L181" i="25"/>
  <c r="N181" i="25" s="1"/>
  <c r="L305" i="25"/>
  <c r="N305" i="25" s="1"/>
  <c r="L211" i="25"/>
  <c r="N211" i="25" s="1"/>
  <c r="L141" i="25"/>
  <c r="N141" i="25" s="1"/>
  <c r="L176" i="25"/>
  <c r="N176" i="25" s="1"/>
  <c r="L231" i="25"/>
  <c r="N231" i="25" s="1"/>
  <c r="L182" i="25"/>
  <c r="N182" i="25" s="1"/>
  <c r="L16" i="25"/>
  <c r="N16" i="25" s="1"/>
  <c r="L103" i="25"/>
  <c r="N103" i="25" s="1"/>
  <c r="L84" i="25"/>
  <c r="N84" i="25" s="1"/>
  <c r="L194" i="25"/>
  <c r="N194" i="25" s="1"/>
  <c r="L159" i="25"/>
  <c r="N159" i="25" s="1"/>
  <c r="L288" i="25"/>
  <c r="N288" i="25" s="1"/>
  <c r="L294" i="25"/>
  <c r="N294" i="25" s="1"/>
  <c r="L177" i="25"/>
  <c r="N177" i="25" s="1"/>
  <c r="L151" i="25"/>
  <c r="N151" i="25" s="1"/>
  <c r="L229" i="25"/>
  <c r="N229" i="25" s="1"/>
  <c r="L150" i="25"/>
  <c r="N150" i="25" s="1"/>
  <c r="L252" i="25"/>
  <c r="N252" i="25" s="1"/>
  <c r="L186" i="25"/>
  <c r="N186" i="25" s="1"/>
  <c r="L185" i="25"/>
  <c r="N185" i="25" s="1"/>
  <c r="L178" i="25"/>
  <c r="N178" i="25" s="1"/>
  <c r="L243" i="25"/>
  <c r="N243" i="25" s="1"/>
  <c r="L105" i="25"/>
  <c r="N105" i="25" s="1"/>
  <c r="L44" i="25"/>
  <c r="N44" i="25" s="1"/>
  <c r="L65" i="25"/>
  <c r="N65" i="25" s="1"/>
  <c r="L202" i="25"/>
  <c r="N202" i="25" s="1"/>
  <c r="L49" i="25"/>
  <c r="N49" i="25" s="1"/>
  <c r="L198" i="25"/>
  <c r="N198" i="25" s="1"/>
  <c r="L246" i="25"/>
  <c r="N246" i="25" s="1"/>
  <c r="L117" i="25"/>
  <c r="N117" i="25" s="1"/>
  <c r="L31" i="25"/>
  <c r="N31" i="25" s="1"/>
  <c r="L56" i="25"/>
  <c r="N56" i="25" s="1"/>
  <c r="L157" i="25"/>
  <c r="N157" i="25" s="1"/>
  <c r="L275" i="25"/>
  <c r="N275" i="25" s="1"/>
  <c r="L119" i="25"/>
  <c r="N119" i="25" s="1"/>
  <c r="L293" i="25"/>
  <c r="N293" i="25" s="1"/>
  <c r="L48" i="25"/>
  <c r="N48" i="25" s="1"/>
  <c r="L138" i="25"/>
  <c r="N138" i="25" s="1"/>
  <c r="L256" i="25"/>
  <c r="N256" i="25" s="1"/>
  <c r="L313" i="25"/>
  <c r="N313" i="25" s="1"/>
  <c r="L7" i="25"/>
  <c r="N7" i="25" s="1"/>
  <c r="L249" i="25"/>
  <c r="N249" i="25" s="1"/>
  <c r="L123" i="25"/>
  <c r="N123" i="25" s="1"/>
  <c r="L170" i="25"/>
  <c r="N170" i="25" s="1"/>
  <c r="L295" i="25"/>
  <c r="N295" i="25" s="1"/>
  <c r="L109" i="25"/>
  <c r="N109" i="25" s="1"/>
  <c r="L26" i="25"/>
  <c r="N26" i="25" s="1"/>
  <c r="L23" i="25"/>
  <c r="N23" i="25" s="1"/>
  <c r="L112" i="25"/>
  <c r="N112" i="25" s="1"/>
  <c r="L57" i="25"/>
  <c r="N57" i="25" s="1"/>
  <c r="L122" i="25"/>
  <c r="N122" i="25" s="1"/>
  <c r="L204" i="25"/>
  <c r="N204" i="25" s="1"/>
  <c r="L115" i="25"/>
  <c r="N115" i="25" s="1"/>
  <c r="L70" i="25"/>
  <c r="N70" i="25" s="1"/>
  <c r="L265" i="25"/>
  <c r="N265" i="25" s="1"/>
  <c r="L210" i="25"/>
  <c r="N210" i="25" s="1"/>
  <c r="L71" i="25"/>
  <c r="N71" i="25" s="1"/>
  <c r="L290" i="25"/>
  <c r="N290" i="25" s="1"/>
  <c r="L130" i="25"/>
  <c r="N130" i="25" s="1"/>
  <c r="L236" i="25"/>
  <c r="N236" i="25" s="1"/>
  <c r="L259" i="25"/>
  <c r="N259" i="25" s="1"/>
  <c r="L266" i="25"/>
  <c r="N266" i="25" s="1"/>
  <c r="L11" i="25"/>
  <c r="N11" i="25" s="1"/>
  <c r="L281" i="25"/>
  <c r="N281" i="25" s="1"/>
  <c r="L234" i="25"/>
  <c r="N234" i="25" s="1"/>
  <c r="L269" i="25"/>
  <c r="N269" i="25" s="1"/>
  <c r="L196" i="25"/>
  <c r="N196" i="25" s="1"/>
  <c r="L75" i="25"/>
  <c r="N75" i="25" s="1"/>
  <c r="L162" i="25"/>
  <c r="N162" i="25" s="1"/>
  <c r="L99" i="25"/>
  <c r="N99" i="25" s="1"/>
  <c r="L262" i="25"/>
  <c r="N262" i="25" s="1"/>
  <c r="L242" i="25"/>
  <c r="N242" i="25" s="1"/>
  <c r="L217" i="25"/>
  <c r="N217" i="25" s="1"/>
  <c r="L286" i="25"/>
  <c r="N286" i="25" s="1"/>
  <c r="L107" i="25"/>
  <c r="N107" i="25" s="1"/>
  <c r="L296" i="25"/>
  <c r="N296" i="25" s="1"/>
  <c r="L149" i="25"/>
  <c r="N149" i="25" s="1"/>
  <c r="L169" i="25"/>
  <c r="N169" i="25" s="1"/>
  <c r="L9" i="25"/>
  <c r="N9" i="25" s="1"/>
  <c r="L171" i="25"/>
  <c r="N171" i="25" s="1"/>
  <c r="L145" i="25"/>
  <c r="N145" i="25" s="1"/>
  <c r="L285" i="25"/>
  <c r="N285" i="25" s="1"/>
  <c r="L61" i="25"/>
  <c r="N61" i="25" s="1"/>
  <c r="L35" i="25"/>
  <c r="N35" i="25" s="1"/>
  <c r="L226" i="25"/>
  <c r="N226" i="25" s="1"/>
  <c r="L250" i="25"/>
  <c r="N250" i="25" s="1"/>
  <c r="L114" i="25"/>
  <c r="N114" i="25" s="1"/>
  <c r="L126" i="25"/>
  <c r="N126" i="25" s="1"/>
  <c r="L47" i="25"/>
  <c r="N47" i="25" s="1"/>
  <c r="L120" i="25"/>
  <c r="N120" i="25" s="1"/>
  <c r="L69" i="25"/>
  <c r="N69" i="25" s="1"/>
  <c r="L136" i="25"/>
  <c r="N136" i="25" s="1"/>
  <c r="L27" i="25"/>
  <c r="N27" i="25" s="1"/>
  <c r="L63" i="25"/>
  <c r="N63" i="25" s="1"/>
  <c r="L282" i="25"/>
  <c r="N282" i="25" s="1"/>
  <c r="L82" i="25"/>
  <c r="N82" i="25" s="1"/>
  <c r="L15" i="25"/>
  <c r="N15" i="25" s="1"/>
  <c r="L108" i="25"/>
  <c r="N108" i="25" s="1"/>
  <c r="L154" i="25"/>
  <c r="N154" i="25" s="1"/>
  <c r="L190" i="25"/>
  <c r="N190" i="25" s="1"/>
  <c r="L166" i="25"/>
  <c r="N166" i="25" s="1"/>
  <c r="L34" i="25"/>
  <c r="N34" i="25" s="1"/>
  <c r="L214" i="25"/>
  <c r="N214" i="25" s="1"/>
  <c r="L174" i="25"/>
  <c r="N174" i="25" s="1"/>
  <c r="L134" i="25"/>
  <c r="N134" i="25" s="1"/>
  <c r="L240" i="25"/>
  <c r="N240" i="25" s="1"/>
  <c r="L14" i="25"/>
  <c r="N14" i="25" s="1"/>
  <c r="L111" i="25"/>
  <c r="N111" i="25" s="1"/>
  <c r="L137" i="25"/>
  <c r="N137" i="25" s="1"/>
  <c r="L76" i="25"/>
  <c r="N76" i="25" s="1"/>
  <c r="L52" i="25"/>
  <c r="N52" i="25" s="1"/>
  <c r="L13" i="25"/>
  <c r="N13" i="25" s="1"/>
  <c r="L213" i="25"/>
  <c r="N213" i="25" s="1"/>
  <c r="L77" i="25"/>
  <c r="N77" i="25" s="1"/>
  <c r="L199" i="25"/>
  <c r="N199" i="25" s="1"/>
  <c r="L43" i="25"/>
  <c r="N43" i="25" s="1"/>
  <c r="L41" i="25"/>
  <c r="N41" i="25" s="1"/>
  <c r="L116" i="25"/>
  <c r="N116" i="25" s="1"/>
  <c r="L104" i="25"/>
  <c r="N104" i="25" s="1"/>
  <c r="L207" i="25"/>
  <c r="N207" i="25" s="1"/>
  <c r="L251" i="25"/>
  <c r="N251" i="25" s="1"/>
  <c r="L225" i="25"/>
  <c r="N225" i="25" s="1"/>
  <c r="L277" i="25"/>
  <c r="N277" i="25" s="1"/>
  <c r="L29" i="25"/>
  <c r="N29" i="25" s="1"/>
  <c r="L80" i="25"/>
  <c r="N80" i="25" s="1"/>
  <c r="L206" i="25"/>
  <c r="N206" i="25" s="1"/>
  <c r="L89" i="25"/>
  <c r="N89" i="25" s="1"/>
  <c r="L241" i="25"/>
  <c r="N241" i="25" s="1"/>
  <c r="L172" i="25"/>
  <c r="N172" i="25" s="1"/>
  <c r="L142" i="25"/>
  <c r="N142" i="25" s="1"/>
  <c r="L279" i="25"/>
  <c r="N279" i="25" s="1"/>
  <c r="L102" i="25"/>
  <c r="N102" i="25" s="1"/>
  <c r="L244" i="25"/>
  <c r="N244" i="25" s="1"/>
  <c r="L310" i="25"/>
  <c r="N310" i="25" s="1"/>
  <c r="L215" i="25"/>
  <c r="N215" i="25" s="1"/>
  <c r="L312" i="25"/>
  <c r="N312" i="25" s="1"/>
  <c r="L128" i="25"/>
  <c r="N128" i="25" s="1"/>
  <c r="L73" i="25"/>
  <c r="N73" i="25" s="1"/>
  <c r="L60" i="25"/>
  <c r="N60" i="25" s="1"/>
  <c r="L79" i="25"/>
  <c r="N79" i="25" s="1"/>
  <c r="L173" i="25"/>
  <c r="N173" i="25" s="1"/>
  <c r="L205" i="25"/>
  <c r="N205" i="25" s="1"/>
  <c r="L24" i="25"/>
  <c r="N24" i="25" s="1"/>
  <c r="L218" i="25"/>
  <c r="N218" i="25" s="1"/>
  <c r="L38" i="25"/>
  <c r="N38" i="25" s="1"/>
  <c r="L152" i="25"/>
  <c r="N152" i="25" s="1"/>
  <c r="L180" i="25"/>
  <c r="N180" i="25" s="1"/>
  <c r="L291" i="25"/>
  <c r="N291" i="25" s="1"/>
  <c r="L129" i="25"/>
  <c r="N129" i="25" s="1"/>
  <c r="L300" i="25"/>
  <c r="N300" i="25" s="1"/>
  <c r="L33" i="25"/>
  <c r="N33" i="25" s="1"/>
  <c r="L53" i="25"/>
  <c r="N53" i="25" s="1"/>
  <c r="L12" i="25"/>
  <c r="N12" i="25" s="1"/>
  <c r="L78" i="25"/>
  <c r="N78" i="25" s="1"/>
  <c r="L94" i="25"/>
  <c r="N94" i="25" s="1"/>
  <c r="L191" i="25"/>
  <c r="N191" i="25" s="1"/>
  <c r="L10" i="25"/>
  <c r="N10" i="25" s="1"/>
  <c r="L263" i="25"/>
  <c r="N263" i="25" s="1"/>
  <c r="L110" i="25"/>
  <c r="N110" i="25" s="1"/>
  <c r="L255" i="25"/>
  <c r="N255" i="25" s="1"/>
  <c r="L299" i="25"/>
  <c r="N299" i="25" s="1"/>
  <c r="L224" i="25"/>
  <c r="N224" i="25" s="1"/>
  <c r="L66" i="25"/>
  <c r="N66" i="25" s="1"/>
  <c r="L230" i="25"/>
  <c r="N230" i="25" s="1"/>
  <c r="L201" i="25"/>
  <c r="N201" i="25" s="1"/>
  <c r="L261" i="25"/>
  <c r="N261" i="25" s="1"/>
  <c r="L221" i="25"/>
  <c r="N221" i="25" s="1"/>
  <c r="L292" i="25"/>
  <c r="N292" i="25" s="1"/>
  <c r="L132" i="25"/>
  <c r="N132" i="25" s="1"/>
  <c r="L239" i="25"/>
  <c r="N239" i="25" s="1"/>
  <c r="L314" i="25"/>
  <c r="N314" i="25" s="1"/>
  <c r="L85" i="25"/>
  <c r="N85" i="25" s="1"/>
  <c r="L183" i="25"/>
  <c r="N183" i="25" s="1"/>
  <c r="L153" i="25"/>
  <c r="N153" i="25" s="1"/>
  <c r="L270" i="25"/>
  <c r="N270" i="25" s="1"/>
  <c r="L298" i="25"/>
  <c r="N298" i="25" s="1"/>
  <c r="L55" i="25"/>
  <c r="N55" i="25" s="1"/>
  <c r="L273" i="25"/>
  <c r="N273" i="25" s="1"/>
  <c r="L156" i="25"/>
  <c r="N156" i="25" s="1"/>
  <c r="L36" i="25"/>
  <c r="N36" i="25" s="1"/>
  <c r="L193" i="25"/>
  <c r="N193" i="25" s="1"/>
  <c r="L39" i="25"/>
  <c r="N39" i="25" s="1"/>
  <c r="L125" i="25"/>
  <c r="N125" i="25" s="1"/>
  <c r="L212" i="25"/>
  <c r="N212" i="25" s="1"/>
  <c r="L30" i="25"/>
  <c r="N30" i="25" s="1"/>
  <c r="L81" i="25"/>
  <c r="N81" i="25" s="1"/>
  <c r="L184" i="25"/>
  <c r="N184" i="25" s="1"/>
  <c r="L235" i="25"/>
  <c r="N235" i="25" s="1"/>
  <c r="L133" i="25"/>
  <c r="N133" i="25" s="1"/>
  <c r="L86" i="25"/>
  <c r="N86" i="25" s="1"/>
  <c r="L271" i="25"/>
  <c r="N271" i="25" s="1"/>
  <c r="L37" i="25"/>
  <c r="N37" i="25" s="1"/>
  <c r="L245" i="25"/>
  <c r="N245" i="25" s="1"/>
  <c r="L124" i="25"/>
  <c r="N124" i="25" s="1"/>
  <c r="L192" i="25"/>
  <c r="N192" i="25" s="1"/>
  <c r="L308" i="25"/>
  <c r="N308" i="25" s="1"/>
  <c r="L238" i="25"/>
  <c r="N238" i="25" s="1"/>
  <c r="L131" i="25"/>
  <c r="N131" i="25" s="1"/>
  <c r="L32" i="25"/>
  <c r="N32" i="25" s="1"/>
  <c r="L289" i="25"/>
  <c r="N289" i="25" s="1"/>
  <c r="K219" i="25"/>
  <c r="Q315" i="13"/>
  <c r="R219" i="13"/>
  <c r="S219" i="13" s="1"/>
  <c r="L6" i="25" l="1"/>
  <c r="N6" i="25" s="1"/>
  <c r="H6" i="54"/>
  <c r="H124" i="54"/>
  <c r="H81" i="54"/>
  <c r="H298" i="54"/>
  <c r="H292" i="54"/>
  <c r="H224" i="54"/>
  <c r="H263" i="54"/>
  <c r="H53" i="54"/>
  <c r="H291" i="54"/>
  <c r="H218" i="54"/>
  <c r="H79" i="54"/>
  <c r="H312" i="54"/>
  <c r="H142" i="54"/>
  <c r="H206" i="54"/>
  <c r="H225" i="54"/>
  <c r="H116" i="54"/>
  <c r="H77" i="54"/>
  <c r="H111" i="54"/>
  <c r="H174" i="54"/>
  <c r="H190" i="54"/>
  <c r="H82" i="54"/>
  <c r="H63" i="54"/>
  <c r="H136" i="54"/>
  <c r="H126" i="54"/>
  <c r="H250" i="54"/>
  <c r="H35" i="54"/>
  <c r="H285" i="54"/>
  <c r="H171" i="54"/>
  <c r="H169" i="54"/>
  <c r="H296" i="54"/>
  <c r="H286" i="54"/>
  <c r="H242" i="54"/>
  <c r="H99" i="54"/>
  <c r="H75" i="54"/>
  <c r="H269" i="54"/>
  <c r="H281" i="54"/>
  <c r="H266" i="54"/>
  <c r="H236" i="54"/>
  <c r="H290" i="54"/>
  <c r="H210" i="54"/>
  <c r="H70" i="54"/>
  <c r="H204" i="54"/>
  <c r="H57" i="54"/>
  <c r="H23" i="54"/>
  <c r="H109" i="54"/>
  <c r="H170" i="54"/>
  <c r="H249" i="54"/>
  <c r="H313" i="54"/>
  <c r="H138" i="54"/>
  <c r="H293" i="54"/>
  <c r="H275" i="54"/>
  <c r="H56" i="54"/>
  <c r="H117" i="54"/>
  <c r="H198" i="54"/>
  <c r="H202" i="54"/>
  <c r="H289" i="54"/>
  <c r="H37" i="54"/>
  <c r="H39" i="54"/>
  <c r="H153" i="54"/>
  <c r="H239" i="54"/>
  <c r="H230" i="54"/>
  <c r="H255" i="54"/>
  <c r="H78" i="54"/>
  <c r="H300" i="54"/>
  <c r="H152" i="54"/>
  <c r="H205" i="54"/>
  <c r="H73" i="54"/>
  <c r="H310" i="54"/>
  <c r="H102" i="54"/>
  <c r="H241" i="54"/>
  <c r="H29" i="54"/>
  <c r="H207" i="54"/>
  <c r="H43" i="54"/>
  <c r="H13" i="54"/>
  <c r="H76" i="54"/>
  <c r="H240" i="54"/>
  <c r="H34" i="54"/>
  <c r="H108" i="54"/>
  <c r="H120" i="54"/>
  <c r="H44" i="54"/>
  <c r="H243" i="54"/>
  <c r="H185" i="54"/>
  <c r="H252" i="54"/>
  <c r="H229" i="54"/>
  <c r="H177" i="54"/>
  <c r="H288" i="54"/>
  <c r="H194" i="54"/>
  <c r="H103" i="54"/>
  <c r="H182" i="54"/>
  <c r="H176" i="54"/>
  <c r="H211" i="54"/>
  <c r="H181" i="54"/>
  <c r="H248" i="54"/>
  <c r="H135" i="54"/>
  <c r="H223" i="54"/>
  <c r="H67" i="54"/>
  <c r="H308" i="54"/>
  <c r="H235" i="54"/>
  <c r="H273" i="54"/>
  <c r="H238" i="54"/>
  <c r="H271" i="54"/>
  <c r="H184" i="54"/>
  <c r="H125" i="54"/>
  <c r="H156" i="54"/>
  <c r="H270" i="54"/>
  <c r="H314" i="54"/>
  <c r="H201" i="54"/>
  <c r="H299" i="54"/>
  <c r="H10" i="54"/>
  <c r="H12" i="54"/>
  <c r="H129" i="54"/>
  <c r="H38" i="54"/>
  <c r="H173" i="54"/>
  <c r="H128" i="54"/>
  <c r="H244" i="54"/>
  <c r="H89" i="54"/>
  <c r="H277" i="54"/>
  <c r="H251" i="54"/>
  <c r="H104" i="54"/>
  <c r="H41" i="54"/>
  <c r="H213" i="54"/>
  <c r="H52" i="54"/>
  <c r="H137" i="54"/>
  <c r="H14" i="54"/>
  <c r="H134" i="54"/>
  <c r="H214" i="54"/>
  <c r="H166" i="54"/>
  <c r="H154" i="54"/>
  <c r="H15" i="54"/>
  <c r="H282" i="54"/>
  <c r="H27" i="54"/>
  <c r="H69" i="54"/>
  <c r="H47" i="54"/>
  <c r="H114" i="54"/>
  <c r="H226" i="54"/>
  <c r="H61" i="54"/>
  <c r="H145" i="54"/>
  <c r="H9" i="54"/>
  <c r="H149" i="54"/>
  <c r="H107" i="54"/>
  <c r="H217" i="54"/>
  <c r="H262" i="54"/>
  <c r="H162" i="54"/>
  <c r="H196" i="54"/>
  <c r="H234" i="54"/>
  <c r="H11" i="54"/>
  <c r="H259" i="54"/>
  <c r="H130" i="54"/>
  <c r="H71" i="54"/>
  <c r="H265" i="54"/>
  <c r="H115" i="54"/>
  <c r="H122" i="54"/>
  <c r="H112" i="54"/>
  <c r="H26" i="54"/>
  <c r="H295" i="54"/>
  <c r="H123" i="54"/>
  <c r="H7" i="54"/>
  <c r="H256" i="54"/>
  <c r="H48" i="54"/>
  <c r="H119" i="54"/>
  <c r="H157" i="54"/>
  <c r="H31" i="54"/>
  <c r="H246" i="54"/>
  <c r="H49" i="54"/>
  <c r="H131" i="54"/>
  <c r="H86" i="54"/>
  <c r="H212" i="54"/>
  <c r="H36" i="54"/>
  <c r="H85" i="54"/>
  <c r="H261" i="54"/>
  <c r="H191" i="54"/>
  <c r="H32" i="54"/>
  <c r="H192" i="54"/>
  <c r="H245" i="54"/>
  <c r="H133" i="54"/>
  <c r="H30" i="54"/>
  <c r="H193" i="54"/>
  <c r="H55" i="54"/>
  <c r="H183" i="54"/>
  <c r="H132" i="54"/>
  <c r="H221" i="54"/>
  <c r="H66" i="54"/>
  <c r="H110" i="54"/>
  <c r="H94" i="54"/>
  <c r="H33" i="54"/>
  <c r="H180" i="54"/>
  <c r="H24" i="54"/>
  <c r="H60" i="54"/>
  <c r="H215" i="54"/>
  <c r="H279" i="54"/>
  <c r="H172" i="54"/>
  <c r="H80" i="54"/>
  <c r="H199" i="54"/>
  <c r="H65" i="54"/>
  <c r="H105" i="54"/>
  <c r="H178" i="54"/>
  <c r="H186" i="54"/>
  <c r="H150" i="54"/>
  <c r="H151" i="54"/>
  <c r="H294" i="54"/>
  <c r="H159" i="54"/>
  <c r="H84" i="54"/>
  <c r="H16" i="54"/>
  <c r="H231" i="54"/>
  <c r="H141" i="54"/>
  <c r="H305" i="54"/>
  <c r="H208" i="54"/>
  <c r="H301" i="54"/>
  <c r="H146" i="54"/>
  <c r="H195" i="54"/>
  <c r="E60" i="48"/>
  <c r="C60" i="48" s="1"/>
  <c r="L219" i="25"/>
  <c r="N219" i="25" s="1"/>
  <c r="D36" i="40"/>
  <c r="K315" i="25"/>
  <c r="L315" i="25" s="1"/>
  <c r="N315" i="25" l="1"/>
  <c r="E61" i="48"/>
  <c r="C61" i="48" s="1"/>
  <c r="C36" i="40"/>
  <c r="H219" i="54" l="1"/>
</calcChain>
</file>

<file path=xl/sharedStrings.xml><?xml version="1.0" encoding="utf-8"?>
<sst xmlns="http://schemas.openxmlformats.org/spreadsheetml/2006/main" count="1121" uniqueCount="661">
  <si>
    <t>en % de la moyenne après écrêtage</t>
  </si>
  <si>
    <t>pt après écrêtage</t>
  </si>
  <si>
    <t>pts écrêtés</t>
  </si>
  <si>
    <t>Valeur pt après écrêtage</t>
  </si>
  <si>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</si>
  <si>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</si>
  <si>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</si>
  <si>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</si>
  <si>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</si>
  <si>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</si>
  <si>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</si>
  <si>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</si>
  <si>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</si>
  <si>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</si>
  <si>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</si>
  <si>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</si>
  <si>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</si>
  <si>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</si>
  <si>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</si>
  <si>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</si>
  <si>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</si>
  <si>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</si>
  <si>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</si>
  <si>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</si>
  <si>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</si>
  <si>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</si>
  <si>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</si>
  <si>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</si>
  <si>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</si>
  <si>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</si>
  <si>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</si>
  <si>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</si>
  <si>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</si>
  <si>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</si>
  <si>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</si>
  <si>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</si>
  <si>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</si>
  <si>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</si>
  <si>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</si>
  <si>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</si>
  <si>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</si>
  <si>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</si>
  <si>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</si>
  <si>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</si>
  <si>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</si>
  <si>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</si>
  <si>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</si>
  <si>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</si>
  <si>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</si>
  <si>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</si>
  <si>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</si>
  <si>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</si>
  <si>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</si>
  <si>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</si>
  <si>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</si>
  <si>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</si>
  <si>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</si>
  <si>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</si>
  <si>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</si>
  <si>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</si>
  <si>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</si>
  <si>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</si>
  <si>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</si>
  <si>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</si>
  <si>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</si>
  <si>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</si>
  <si>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</si>
  <si>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</si>
  <si>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</si>
  <si>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</si>
  <si>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</si>
  <si>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Habitants</t>
  </si>
  <si>
    <t>Valeur par habitant</t>
  </si>
  <si>
    <t>Valeur du point après écrêtage</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</si>
  <si>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</si>
  <si>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</si>
  <si>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</si>
  <si>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</si>
  <si>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</si>
  <si>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</si>
  <si>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</si>
  <si>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</si>
  <si>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</si>
  <si>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</si>
  <si>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</si>
  <si>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</si>
  <si>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</si>
  <si>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</si>
  <si>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</si>
  <si>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</si>
  <si>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</si>
  <si>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</si>
  <si>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</si>
  <si>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</si>
  <si>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</si>
  <si>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</si>
  <si>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</si>
  <si>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</si>
  <si>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Facture sociale</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</si>
  <si>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</si>
  <si>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</si>
  <si>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</si>
  <si>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</si>
  <si>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</si>
  <si>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</si>
  <si>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</si>
  <si>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</si>
  <si>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</si>
  <si>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</si>
  <si>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</si>
  <si>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</si>
  <si>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</si>
  <si>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</si>
  <si>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</si>
  <si>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</si>
  <si>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</si>
  <si>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</si>
  <si>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</si>
  <si>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</si>
  <si>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</si>
  <si>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</si>
  <si>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</si>
  <si>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</si>
  <si>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</si>
  <si>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</si>
  <si>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</si>
  <si>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</si>
  <si>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</si>
  <si>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</si>
  <si>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</si>
  <si>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</si>
  <si>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</si>
  <si>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</si>
  <si>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</si>
  <si>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</si>
  <si>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</si>
  <si>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</si>
  <si>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</si>
  <si>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</si>
  <si>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</si>
  <si>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</si>
  <si>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</si>
  <si>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</si>
  <si>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</si>
  <si>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</si>
  <si>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</si>
  <si>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</si>
  <si>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</si>
  <si>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</si>
  <si>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</si>
  <si>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</si>
  <si>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</si>
  <si>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</si>
  <si>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</si>
  <si>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</si>
  <si>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</si>
  <si>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</si>
  <si>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</si>
  <si>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</si>
  <si>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</si>
  <si>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</si>
  <si>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</si>
  <si>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</si>
  <si>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</si>
  <si>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</si>
  <si>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</si>
  <si>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</si>
  <si>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</si>
  <si>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</si>
  <si>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</si>
  <si>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</si>
  <si>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</si>
  <si>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</si>
  <si>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</si>
  <si>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</si>
  <si>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</si>
  <si>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</si>
  <si>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</si>
  <si>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</si>
  <si>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</si>
  <si>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</si>
  <si>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</si>
  <si>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</si>
  <si>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</si>
  <si>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</si>
  <si>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</si>
  <si>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</si>
  <si>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</si>
  <si>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</si>
  <si>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</si>
  <si>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</si>
  <si>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</si>
  <si>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</si>
  <si>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</si>
  <si>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</si>
  <si>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</si>
  <si>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</si>
  <si>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</si>
  <si>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</si>
  <si>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</si>
  <si>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</si>
  <si>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</si>
  <si>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</si>
  <si>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</si>
  <si>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</si>
  <si>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</si>
  <si>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</si>
  <si>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</si>
  <si>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</si>
  <si>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</si>
  <si>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</si>
  <si>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</si>
  <si>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</si>
  <si>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</si>
  <si>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</si>
  <si>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</si>
  <si>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</si>
  <si>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Solde net des péréquations</t>
  </si>
  <si>
    <t>Prise en charge dépassement</t>
  </si>
  <si>
    <t>Forêts</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</si>
  <si>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</si>
  <si>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</si>
  <si>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</si>
  <si>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</si>
  <si>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</si>
  <si>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</si>
  <si>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</si>
  <si>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</si>
  <si>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</si>
  <si>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</si>
  <si>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</si>
  <si>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</si>
  <si>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</si>
  <si>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</si>
  <si>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</si>
  <si>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</si>
  <si>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</si>
  <si>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</si>
  <si>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</si>
  <si>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</si>
  <si>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</si>
  <si>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</si>
  <si>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</si>
  <si>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</si>
  <si>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</si>
  <si>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</si>
  <si>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</si>
  <si>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</si>
  <si>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</si>
  <si>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</si>
  <si>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</si>
  <si>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</si>
  <si>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</si>
  <si>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</si>
  <si>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</si>
  <si>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</si>
  <si>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</si>
  <si>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</si>
  <si>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</si>
  <si>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</si>
  <si>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</si>
  <si>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</si>
  <si>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</si>
  <si>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</si>
  <si>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</si>
  <si>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</si>
  <si>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</si>
  <si>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</si>
  <si>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</si>
  <si>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</si>
  <si>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</si>
  <si>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</si>
  <si>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</si>
  <si>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</si>
  <si>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</si>
  <si>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</si>
  <si>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</si>
  <si>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</si>
  <si>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</si>
  <si>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</si>
  <si>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</si>
  <si>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</si>
  <si>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</si>
  <si>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</si>
  <si>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</si>
  <si>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</si>
  <si>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</si>
  <si>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</si>
  <si>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</si>
  <si>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</si>
  <si>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</si>
  <si>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</si>
  <si>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</si>
  <si>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</si>
  <si>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</si>
  <si>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</si>
  <si>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</si>
  <si>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</si>
  <si>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</si>
  <si>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</si>
  <si>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Seuil 0</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</si>
  <si>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</si>
  <si>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</si>
  <si>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</si>
  <si>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</si>
  <si>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</si>
  <si>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</si>
  <si>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</si>
  <si>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</si>
  <si>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</si>
  <si>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</si>
  <si>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</si>
  <si>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</si>
  <si>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</si>
  <si>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</si>
  <si>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</si>
  <si>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</si>
  <si>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</si>
  <si>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</si>
  <si>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</si>
  <si>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</si>
  <si>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</si>
  <si>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</si>
  <si>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</si>
  <si>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</si>
  <si>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</si>
  <si>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</si>
  <si>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</si>
  <si>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</si>
  <si>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</si>
  <si>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</si>
  <si>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</si>
  <si>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</si>
  <si>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</si>
  <si>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</si>
  <si>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Routes</t>
  </si>
  <si>
    <t>Transports publics</t>
  </si>
  <si>
    <t>Transports scolaires</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</si>
  <si>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</si>
  <si>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</si>
  <si>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</si>
  <si>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</si>
  <si>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</si>
  <si>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</si>
  <si>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</si>
  <si>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</si>
  <si>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</si>
  <si>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</si>
  <si>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</si>
  <si>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</si>
  <si>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</si>
  <si>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</si>
  <si>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</si>
  <si>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</si>
  <si>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</si>
  <si>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</si>
  <si>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</si>
  <si>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</si>
  <si>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</si>
  <si>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</si>
  <si>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</si>
  <si>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</si>
  <si>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</si>
  <si>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</si>
  <si>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</si>
  <si>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</si>
  <si>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</si>
  <si>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</si>
  <si>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</si>
  <si>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</si>
  <si>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</si>
  <si>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</si>
  <si>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</si>
  <si>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</si>
  <si>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</si>
  <si>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</si>
  <si>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</si>
  <si>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</si>
  <si>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</si>
  <si>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</si>
  <si>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</si>
  <si>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</si>
  <si>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</si>
  <si>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</si>
  <si>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</si>
  <si>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</si>
  <si>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</si>
  <si>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</si>
  <si>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</si>
  <si>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</si>
  <si>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</si>
  <si>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</si>
  <si>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</si>
  <si>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</si>
  <si>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</si>
  <si>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</si>
  <si>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</si>
  <si>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</si>
  <si>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</si>
  <si>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</si>
  <si>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</si>
  <si>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</si>
  <si>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</si>
  <si>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</si>
  <si>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</si>
  <si>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</si>
  <si>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</si>
  <si>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</si>
  <si>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</si>
  <si>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</si>
  <si>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</si>
  <si>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</si>
  <si>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</si>
  <si>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</si>
  <si>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</si>
  <si>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</si>
  <si>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</si>
  <si>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</si>
  <si>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</si>
  <si>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</si>
  <si>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</si>
  <si>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 xml:space="preserve">Pers. morales bénéfice </t>
  </si>
  <si>
    <t>Pers. morales  capital</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</si>
  <si>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</si>
  <si>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</si>
  <si>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</si>
  <si>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</si>
  <si>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</si>
  <si>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</si>
  <si>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</si>
  <si>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</si>
  <si>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</si>
  <si>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</si>
  <si>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Valeur du point d'impôt écrêté</t>
  </si>
  <si>
    <t>Point d'impôts écrêtés</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</si>
  <si>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</si>
  <si>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</si>
  <si>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</si>
  <si>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</si>
  <si>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</si>
  <si>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</si>
  <si>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</si>
  <si>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</si>
  <si>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</si>
  <si>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</si>
  <si>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</si>
  <si>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</si>
  <si>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Facture en points d'impôts écrêtés</t>
  </si>
  <si>
    <t>Plafond de 
taux et de l'effort</t>
  </si>
  <si>
    <t>Variation facture sociale</t>
  </si>
  <si>
    <t>Variation point d'impôt</t>
  </si>
  <si>
    <t>Indexation</t>
  </si>
  <si>
    <t>Plafond aide</t>
  </si>
  <si>
    <t>Bussigny</t>
  </si>
  <si>
    <t>Arzier-Le Muids</t>
  </si>
  <si>
    <t>Montanaire</t>
  </si>
  <si>
    <t>Valeur point impôt écrêtés</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</si>
  <si>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</si>
  <si>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</si>
  <si>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</si>
  <si>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</si>
  <si>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</si>
  <si>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</si>
  <si>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</si>
  <si>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</si>
  <si>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</si>
  <si>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</si>
  <si>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</si>
  <si>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</si>
  <si>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</si>
  <si>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</si>
  <si>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</si>
  <si>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</si>
  <si>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</si>
  <si>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</si>
  <si>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</si>
  <si>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</si>
  <si>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</si>
  <si>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</si>
  <si>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</si>
  <si>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</si>
  <si>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</si>
  <si>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</si>
  <si>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 xml:space="preserve">I) Indexation </t>
  </si>
  <si>
    <t>H) Paramètres de plafonnement en points</t>
  </si>
  <si>
    <t>Impôts théoriques</t>
  </si>
  <si>
    <t>Synthèse en CHF</t>
  </si>
  <si>
    <t>Ecrêtage</t>
  </si>
  <si>
    <t xml:space="preserve">J) Liste des communes A--&gt;Z </t>
  </si>
  <si>
    <t>Recettes conjoncturelles (DM + GI + Succ.)</t>
  </si>
  <si>
    <t>Répartition solde après prélèvements</t>
  </si>
  <si>
    <t>Nombre de points écrêtés</t>
  </si>
  <si>
    <t>Total de la facture sociale</t>
  </si>
  <si>
    <t>Solidarité</t>
  </si>
  <si>
    <t>Transports</t>
  </si>
  <si>
    <t>Plafonnements</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</si>
  <si>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</si>
  <si>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</si>
  <si>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</si>
  <si>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</si>
  <si>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</si>
  <si>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</si>
  <si>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</si>
  <si>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</si>
  <si>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Manco pour l'Etat - à couvrir par la péréquation (en points d'impôts écrêtés)</t>
  </si>
  <si>
    <t>Montant total avec le renchérissement à payer par les communes en pts d'impôts écrêtés</t>
  </si>
  <si>
    <t>Total à charge des communes</t>
  </si>
  <si>
    <t>Réforme policière</t>
  </si>
  <si>
    <t>Financement reçu pour les nouvelles tâches</t>
  </si>
  <si>
    <t>J) Réforme policière</t>
  </si>
  <si>
    <t>Nombre de point</t>
  </si>
  <si>
    <t>Point d'impôt écrêté</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</si>
  <si>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</si>
  <si>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</si>
  <si>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</si>
  <si>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</si>
  <si>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</si>
  <si>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</si>
  <si>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</si>
  <si>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</si>
  <si>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</si>
  <si>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</si>
  <si>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</si>
  <si>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</si>
  <si>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</si>
  <si>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</si>
  <si>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</si>
  <si>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</si>
  <si>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x</t>
  </si>
  <si>
    <t>P é r é q u a t i o n   i n d i r e c t e   (facture sociale)</t>
  </si>
  <si>
    <t>P é r é q u a t i o n   d i r e c t e</t>
  </si>
  <si>
    <t>R é f o r m e   p o l i c i è r e</t>
  </si>
  <si>
    <t>T o t a l   p é r é q u a t i o n   d i r e c t e,   i n d i r e c t e   e t   p o l i c e</t>
  </si>
  <si>
    <t>Treytorrens (Payerne)</t>
  </si>
  <si>
    <t>Saint-Légier-La Chiésaz</t>
  </si>
  <si>
    <t>Commune
LDecTer, Etat 01.05.2014</t>
  </si>
  <si>
    <t>Effort péréquatif. Art. 5 DLPIC</t>
  </si>
  <si>
    <t>Dépassement du taux. Art. 6 DLPIC</t>
  </si>
  <si>
    <t>Valeur du point par habitant après écrêtage</t>
  </si>
  <si>
    <t>Année 2018</t>
  </si>
  <si>
    <t>Montant écrêtage pour calculer le point impôt écrêté</t>
  </si>
  <si>
    <t>*Année 2019</t>
  </si>
  <si>
    <t>* Cela équivaut à la suppression du point d'impôt écrêté</t>
  </si>
  <si>
    <t>- Changement des taux</t>
  </si>
  <si>
    <t>- Rajout palier entre 100 et 120 %</t>
  </si>
  <si>
    <t>Pour mémoire, dès 2019</t>
  </si>
  <si>
    <t>La rémunération passe de 
100 à 125 pour la 1ère tranche</t>
  </si>
  <si>
    <t>*Max. selon art. 4 DLPIC</t>
  </si>
  <si>
    <t>* Dès 2019, le plafond passera de 4 à 4.5</t>
  </si>
  <si>
    <t>Jorat-Mézières</t>
  </si>
  <si>
    <t xml:space="preserve">Année 2018 : </t>
  </si>
  <si>
    <t>Dès 2019 :</t>
  </si>
  <si>
    <t>Total des prises en charges pour plfd aide</t>
  </si>
  <si>
    <t>Année 2019</t>
  </si>
  <si>
    <t>Situation N-1 (plafond de l'effort)</t>
  </si>
  <si>
    <t>Situation N-1 (plafond du taux)</t>
  </si>
  <si>
    <t>selon article 13 DLPIC ramené à 45 pour les années 2018 et 2019</t>
  </si>
  <si>
    <t>Patentes tabacs</t>
  </si>
  <si>
    <t>Patentes diverses</t>
  </si>
  <si>
    <t>Chiens</t>
  </si>
  <si>
    <t>Divertissements</t>
  </si>
  <si>
    <t>Divers</t>
  </si>
  <si>
    <t>IPA</t>
  </si>
  <si>
    <t>ICH</t>
  </si>
  <si>
    <t>IDI</t>
  </si>
  <si>
    <t>IDV</t>
  </si>
  <si>
    <t>Taxe épuration</t>
  </si>
  <si>
    <t>Taxe compl. Epuration</t>
  </si>
  <si>
    <t>Taxe annuelle Epuration</t>
  </si>
  <si>
    <t>Taxe annuelle encaissée par une association</t>
  </si>
  <si>
    <t>Ordures</t>
  </si>
  <si>
    <t>Taxe eau</t>
  </si>
  <si>
    <t>Taxe compl. Eau</t>
  </si>
  <si>
    <t>Pompiers</t>
  </si>
  <si>
    <t>Taxe communale de séjour</t>
  </si>
  <si>
    <t>Taxe pour l'usage du sol</t>
  </si>
  <si>
    <t>taxe pour l'éclairage public</t>
  </si>
  <si>
    <t>Taxe pour l'amélioration énergétique</t>
  </si>
  <si>
    <t>Taxe pour le développement durable</t>
  </si>
  <si>
    <t>Total taxes</t>
  </si>
  <si>
    <t>Taxegout</t>
  </si>
  <si>
    <t>Taxcegou</t>
  </si>
  <si>
    <t>Taxaneg</t>
  </si>
  <si>
    <t>Taxenc</t>
  </si>
  <si>
    <t>Ordure</t>
  </si>
  <si>
    <t>Taxeau</t>
  </si>
  <si>
    <t>Taxceau</t>
  </si>
  <si>
    <t>Pompier</t>
  </si>
  <si>
    <t>Taxcomse</t>
  </si>
  <si>
    <t>Tot. taxes</t>
  </si>
  <si>
    <t>Patentes</t>
  </si>
  <si>
    <t>Taxe egoûts</t>
  </si>
  <si>
    <t>Taxe compl. Égoûts</t>
  </si>
  <si>
    <t>Taxe annuelle égoûts</t>
  </si>
  <si>
    <t>Taxe annuelle compl égoûts (association)</t>
  </si>
  <si>
    <t>Taxe compl. eau</t>
  </si>
  <si>
    <t>Année 2017</t>
  </si>
  <si>
    <t>Facture sociale selon comptes 2016</t>
  </si>
  <si>
    <t>Facture sociale selon comptes 2017</t>
  </si>
  <si>
    <t>Valeur du point d'impôt communal selon comptes 2016</t>
  </si>
  <si>
    <t>Valeur du point d'impôt communal selon comptes 2017</t>
  </si>
  <si>
    <t>I m p ô t s   c o m m u n a u x</t>
  </si>
  <si>
    <t>Remarques/corrections</t>
  </si>
  <si>
    <t>Impôt sur le revenu PP</t>
  </si>
  <si>
    <t>Impôt sur la fortune PP</t>
  </si>
  <si>
    <t>Impôt personnel fixe</t>
  </si>
  <si>
    <t>Impôt sur le bénéfice PM</t>
  </si>
  <si>
    <t>Impôt sur le capital PM</t>
  </si>
  <si>
    <t>Impôt sur la dépense (anc. Spécial étranger)</t>
  </si>
  <si>
    <t>Impôt complémentaire sur immeubles PM</t>
  </si>
  <si>
    <t>Impôt foncier (non normalisé)</t>
  </si>
  <si>
    <t>Sous-total impôts</t>
  </si>
  <si>
    <r>
      <t>4411</t>
    </r>
    <r>
      <rPr>
        <sz val="10"/>
        <color indexed="9"/>
        <rFont val="Calibri"/>
        <family val="2"/>
        <scheme val="minor"/>
      </rPr>
      <t xml:space="preserve"> (a)</t>
    </r>
  </si>
  <si>
    <t>Impôt sur les frontaliers</t>
  </si>
  <si>
    <t>Impôt sur les successions et donations</t>
  </si>
  <si>
    <t>Impôt sur les gains immobiliers</t>
  </si>
  <si>
    <t>Impôt sur les chiens</t>
  </si>
  <si>
    <t>Impôt sur les divertissements</t>
  </si>
  <si>
    <t>Impôts divers</t>
  </si>
  <si>
    <t>Total des impôts</t>
  </si>
  <si>
    <t>T a x e s   c o m m u n a l e s</t>
  </si>
  <si>
    <t>Taxe de raccordement épuration</t>
  </si>
  <si>
    <t>Taxe raccordement complé. Épuration</t>
  </si>
  <si>
    <t>Taxe annuelle épuration</t>
  </si>
  <si>
    <t>Taxes annuelles déchets</t>
  </si>
  <si>
    <t>Taxe raccordement eau</t>
  </si>
  <si>
    <t>Taxe raccordement compl. Eau</t>
  </si>
  <si>
    <t>Taxe non-pompier</t>
  </si>
  <si>
    <t>Taxe pour l'éclairage public</t>
  </si>
  <si>
    <t>Total des taxes</t>
  </si>
  <si>
    <t>3301/319</t>
  </si>
  <si>
    <t>Pertes sur débiteurs (défalcations/remises)</t>
  </si>
  <si>
    <t>Modifications de taxations antérieures</t>
  </si>
  <si>
    <t>A u t r e s   i n f o r m a t i o n s</t>
  </si>
  <si>
    <t>Nous confirmons l'exactitude et la validité de ces montants. Ils correspondent aux chiffres que nous (commune) vous avons communiqué précédemment. Nous confirmons également l'exactitude des informations supplémentaires relatives aux taux d'imposition ainsi qu'à la population. Ces données seront utilisées pour le calcul du décompte final de la péréquation 2016.</t>
  </si>
  <si>
    <t>La Syndique/Le Syndic</t>
  </si>
  <si>
    <t>La Secrétaire Municipale/Le Secrétaire Municipal</t>
  </si>
  <si>
    <t>Signatures</t>
  </si>
  <si>
    <t>Prénoms/noms</t>
  </si>
  <si>
    <t>Rendement impôts communaux et taxes - 2017</t>
  </si>
  <si>
    <t>Taux d'imposition 2017</t>
  </si>
  <si>
    <t>Taux impôt foncier 2017 en 0/00</t>
  </si>
  <si>
    <t>Population au 31.12.2017 selon FAO en nb d'habitants</t>
  </si>
  <si>
    <t>Totaux</t>
  </si>
  <si>
    <t>Acomptes*</t>
  </si>
  <si>
    <t>Décomptes</t>
  </si>
  <si>
    <t>Soldes</t>
  </si>
  <si>
    <t>(+ à payer / - à recevoir)</t>
  </si>
  <si>
    <t>*montants selon le fichier des acomptes initiaux adoptés par la COPAR. Ne tient pas compte des arrangements survenus en cours d'année. Les factures, respectivement les remboursements, seront gérés par les services directement concernés à savoir :
- pour la facture sociale, par le département de la santé et de l'action sociale ;
- pour la péréquation directe, par le service des communes et du logement ;
- pour la réforme policière, par la police cantonale.</t>
  </si>
  <si>
    <t>Communes</t>
  </si>
  <si>
    <t>Péréquation horizontale</t>
  </si>
  <si>
    <t>Acomptes</t>
  </si>
  <si>
    <t>Décompte</t>
  </si>
  <si>
    <t>Différences</t>
  </si>
  <si>
    <t>Différence</t>
  </si>
  <si>
    <t>Décompte 2017 vs. Acomptes 2017</t>
  </si>
  <si>
    <t>Effort</t>
  </si>
  <si>
    <t>Total net</t>
  </si>
  <si>
    <t>S y n t h è s e   e n   C H F</t>
  </si>
  <si>
    <t>Coût réel en CHF</t>
  </si>
  <si>
    <t>Taux maximum plafonné. Art. 6 DLPIC</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</si>
</sst>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64" formatCode="_-* #,##0.00_-;\-* #,##0.00_-;_-* &quot;-&quot;??_-;_-@_-"/>
    <numFmt numFmtId="165" formatCode="#\ ###\ ###\ ##0"/>
    <numFmt numFmtId="166" formatCode="#,##0.0"/>
    <numFmt numFmtId="167" formatCode="0.0%"/>
    <numFmt numFmtId="168" formatCode="#\ ###\ ##0"/>
    <numFmt numFmtId="169" formatCode="0.000"/>
    <numFmt numFmtId="170" formatCode="#,##0.000"/>
    <numFmt numFmtId="171" formatCode="#,##0;\-#,##0;"/>
    <numFmt numFmtId="172" formatCode="#,##0.000000"/>
    <numFmt numFmtId="173" formatCode="0.0000"/>
    <numFmt numFmtId="174" formatCode="_-* #,##0_-;\-* #,##0_-;_-* &quot;-&quot;??_-;_-@_-"/>
    <numFmt numFmtId="175" formatCode="_ * #,##0_ ;_ * \-#,##0_ ;_ * &quot;-&quot;??_ ;_ @_ "/>
    <numFmt numFmtId="176" formatCode="_-* #,##0.0_-;\-* #,##0.0_-;_-* &quot;-&quot;??_-;_-@_-"/>
    <numFmt numFmtId="177" formatCode="_ * #,##0.000_ ;_ * \-#,##0.000_ ;_ * &quot;-&quot;??_ ;_ @_ "/>
    <numFmt numFmtId="178" formatCode="_-* #,##0.000_-;\-* #,##0.000_-;_-* &quot;-&quot;??_-;_-@_-"/>
    <numFmt numFmtId="179" formatCode="0_ ;\-0\ "/>
    <numFmt numFmtId="180" formatCode="[$-F800]dddd\,\ mmmm\ dd\,\ yyyy"/>
    <numFmt numFmtId="181" formatCode="[$-100C]d\ mmm\ yy;@"/>
  </numFmts>
  <fonts count="41"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i/>
      <sz val="11"/>
      <name val="Calibri"/>
      <family val="2"/>
    </font>
    <font>
      <b/>
      <sz val="11"/>
      <color theme="0"/>
      <name val="Calibri"/>
      <family val="2"/>
      <scheme val="minor"/>
    </font>
    <font>
      <sz val="18"/>
      <name val="Calibri"/>
      <family val="2"/>
      <scheme val="minor"/>
    </font>
    <font>
      <sz val="10"/>
      <color indexed="8"/>
      <name val="Calibri"/>
      <family val="2"/>
      <scheme val="minor"/>
    </font>
    <font>
      <b/>
      <sz val="10"/>
      <color indexed="8"/>
      <name val="Calibri"/>
      <family val="2"/>
      <scheme val="minor"/>
    </font>
    <font>
      <sz val="10"/>
      <color theme="0"/>
      <name val="Calibri"/>
      <family val="2"/>
      <scheme val="minor"/>
    </font>
    <font>
      <sz val="10"/>
      <color indexed="9"/>
      <name val="Calibri"/>
      <family val="2"/>
      <scheme val="minor"/>
    </font>
    <font>
      <i/>
      <sz val="8"/>
      <name val="Calibri"/>
      <family val="2"/>
      <scheme val="minor"/>
    </font>
    <font>
      <sz val="8"/>
      <name val="Calibri"/>
      <family val="2"/>
      <scheme val="minor"/>
    </font>
    <font>
      <sz val="9"/>
      <name val="Calibri"/>
      <family val="2"/>
      <scheme val="minor"/>
    </font>
  </fonts>
  <fills count="1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14999847407452621"/>
        <bgColor indexed="64"/>
      </patternFill>
    </fill>
  </fills>
  <borders count="24">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bottom style="hair">
        <color indexed="64"/>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s>
  <cellStyleXfs count="30">
    <xf numFmtId="0" fontId="0" fillId="0" borderId="0"/>
    <xf numFmtId="0" fontId="10" fillId="0" borderId="1"/>
    <xf numFmtId="0" fontId="11" fillId="0" borderId="0"/>
    <xf numFmtId="0" fontId="10" fillId="0" borderId="2">
      <alignment vertical="top"/>
    </xf>
    <xf numFmtId="164" fontId="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0" fontId="12" fillId="0" borderId="0"/>
    <xf numFmtId="0" fontId="9" fillId="0" borderId="0"/>
    <xf numFmtId="0" fontId="7" fillId="0" borderId="0"/>
    <xf numFmtId="0" fontId="13" fillId="0" borderId="0"/>
    <xf numFmtId="0" fontId="6" fillId="0" borderId="0"/>
    <xf numFmtId="9" fontId="5" fillId="0" borderId="0" applyFont="0" applyFill="0" applyBorder="0" applyAlignment="0" applyProtection="0"/>
    <xf numFmtId="9" fontId="7" fillId="0" borderId="0" applyFont="0" applyFill="0" applyBorder="0" applyAlignment="0" applyProtection="0"/>
    <xf numFmtId="43" fontId="24" fillId="0" borderId="0" applyFont="0" applyFill="0" applyBorder="0" applyAlignment="0" applyProtection="0"/>
    <xf numFmtId="0" fontId="24" fillId="0" borderId="0"/>
    <xf numFmtId="43" fontId="2" fillId="0" borderId="0" applyFont="0" applyFill="0" applyBorder="0" applyAlignment="0" applyProtection="0"/>
    <xf numFmtId="0" fontId="2" fillId="0" borderId="0"/>
    <xf numFmtId="0" fontId="5" fillId="0" borderId="0"/>
    <xf numFmtId="0" fontId="9"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cellStyleXfs>
  <cellXfs count="614">
    <xf numFmtId="0" fontId="0" fillId="0" borderId="0" xfId="0"/>
    <xf numFmtId="174" fontId="15" fillId="0" borderId="0" xfId="4" applyNumberFormat="1" applyFont="1" applyFill="1" applyBorder="1"/>
    <xf numFmtId="174" fontId="15" fillId="3" borderId="5" xfId="4" applyNumberFormat="1" applyFont="1" applyFill="1" applyBorder="1"/>
    <xf numFmtId="0" fontId="15" fillId="4" borderId="0" xfId="0" applyNumberFormat="1" applyFont="1" applyFill="1" applyAlignment="1">
      <alignment horizontal="left"/>
    </xf>
    <xf numFmtId="0" fontId="15" fillId="4" borderId="0" xfId="0" applyNumberFormat="1" applyFont="1" applyFill="1" applyAlignment="1">
      <alignment horizontal="center"/>
    </xf>
    <xf numFmtId="174" fontId="15" fillId="4" borderId="0" xfId="4" applyNumberFormat="1" applyFont="1" applyFill="1" applyAlignment="1">
      <alignment horizontal="center"/>
    </xf>
    <xf numFmtId="174" fontId="15" fillId="4" borderId="0" xfId="4" applyNumberFormat="1" applyFont="1" applyFill="1"/>
    <xf numFmtId="0" fontId="15" fillId="4" borderId="14" xfId="0" applyNumberFormat="1" applyFont="1" applyFill="1" applyBorder="1" applyAlignment="1">
      <alignment horizontal="center"/>
    </xf>
    <xf numFmtId="0" fontId="15" fillId="4" borderId="5" xfId="0" applyNumberFormat="1" applyFont="1" applyFill="1" applyBorder="1" applyAlignment="1">
      <alignment horizontal="center"/>
    </xf>
    <xf numFmtId="3" fontId="15" fillId="4" borderId="9" xfId="0" applyNumberFormat="1" applyFont="1" applyFill="1" applyBorder="1"/>
    <xf numFmtId="174" fontId="15" fillId="4" borderId="5" xfId="4" applyNumberFormat="1" applyFont="1" applyFill="1" applyBorder="1"/>
    <xf numFmtId="174" fontId="15" fillId="4" borderId="14" xfId="4" applyNumberFormat="1" applyFont="1" applyFill="1" applyBorder="1"/>
    <xf numFmtId="165" fontId="15" fillId="4" borderId="0" xfId="0" applyNumberFormat="1" applyFont="1" applyFill="1"/>
    <xf numFmtId="3" fontId="15" fillId="4" borderId="0" xfId="0" applyNumberFormat="1" applyFont="1" applyFill="1"/>
    <xf numFmtId="0" fontId="15" fillId="4" borderId="0" xfId="0" applyFont="1" applyFill="1"/>
    <xf numFmtId="174" fontId="15" fillId="4" borderId="0" xfId="4" applyNumberFormat="1" applyFont="1" applyFill="1" applyBorder="1"/>
    <xf numFmtId="164" fontId="15" fillId="4" borderId="0" xfId="4" applyFont="1" applyFill="1"/>
    <xf numFmtId="0" fontId="15" fillId="4" borderId="0" xfId="0" applyFont="1" applyFill="1" applyAlignment="1">
      <alignment vertical="top" wrapText="1"/>
    </xf>
    <xf numFmtId="164" fontId="15" fillId="4" borderId="5" xfId="4" applyFont="1" applyFill="1" applyBorder="1" applyAlignment="1">
      <alignment horizontal="center"/>
    </xf>
    <xf numFmtId="164" fontId="15" fillId="4" borderId="0" xfId="0" applyNumberFormat="1" applyFont="1" applyFill="1"/>
    <xf numFmtId="174" fontId="15" fillId="4" borderId="3" xfId="4" applyNumberFormat="1" applyFont="1" applyFill="1" applyBorder="1"/>
    <xf numFmtId="164" fontId="15" fillId="4" borderId="14" xfId="4" applyFont="1" applyFill="1" applyBorder="1"/>
    <xf numFmtId="174" fontId="14" fillId="6" borderId="14" xfId="4" applyNumberFormat="1" applyFont="1" applyFill="1" applyBorder="1" applyAlignment="1">
      <alignment horizontal="center"/>
    </xf>
    <xf numFmtId="165" fontId="14" fillId="6" borderId="14" xfId="0" applyNumberFormat="1" applyFont="1" applyFill="1" applyBorder="1" applyAlignment="1">
      <alignment horizontal="center"/>
    </xf>
    <xf numFmtId="0" fontId="15" fillId="4" borderId="0" xfId="0" applyFont="1" applyFill="1" applyAlignment="1">
      <alignment horizontal="center"/>
    </xf>
    <xf numFmtId="14" fontId="14" fillId="6" borderId="14" xfId="0" applyNumberFormat="1" applyFont="1" applyFill="1" applyBorder="1" applyAlignment="1">
      <alignment horizontal="center"/>
    </xf>
    <xf numFmtId="165" fontId="15" fillId="4" borderId="17" xfId="0" applyNumberFormat="1" applyFont="1" applyFill="1" applyBorder="1" applyAlignment="1">
      <alignment horizontal="center"/>
    </xf>
    <xf numFmtId="0" fontId="17" fillId="4" borderId="0" xfId="0" applyNumberFormat="1" applyFont="1" applyFill="1" applyAlignment="1">
      <alignment horizontal="left"/>
    </xf>
    <xf numFmtId="0" fontId="17" fillId="4" borderId="0" xfId="0" applyNumberFormat="1" applyFont="1" applyFill="1" applyAlignment="1">
      <alignment horizontal="center"/>
    </xf>
    <xf numFmtId="0" fontId="16" fillId="4" borderId="0" xfId="0" applyFont="1" applyFill="1"/>
    <xf numFmtId="4" fontId="15" fillId="4" borderId="0" xfId="0" applyNumberFormat="1" applyFont="1" applyFill="1"/>
    <xf numFmtId="165" fontId="15" fillId="4" borderId="0" xfId="0" applyNumberFormat="1" applyFont="1" applyFill="1" applyAlignment="1">
      <alignment horizontal="left"/>
    </xf>
    <xf numFmtId="0" fontId="15" fillId="4" borderId="14" xfId="0" applyFont="1" applyFill="1" applyBorder="1"/>
    <xf numFmtId="174" fontId="15" fillId="4" borderId="11" xfId="4" applyNumberFormat="1" applyFont="1" applyFill="1" applyBorder="1"/>
    <xf numFmtId="3" fontId="15" fillId="4" borderId="5" xfId="0" applyNumberFormat="1" applyFont="1" applyFill="1" applyBorder="1"/>
    <xf numFmtId="164" fontId="15" fillId="4" borderId="5" xfId="4" applyFont="1" applyFill="1" applyBorder="1"/>
    <xf numFmtId="2" fontId="15" fillId="4" borderId="5" xfId="0" applyNumberFormat="1" applyFont="1" applyFill="1" applyBorder="1"/>
    <xf numFmtId="2" fontId="15" fillId="4" borderId="14" xfId="0" applyNumberFormat="1" applyFont="1" applyFill="1" applyBorder="1"/>
    <xf numFmtId="174" fontId="15" fillId="4" borderId="0" xfId="0" applyNumberFormat="1" applyFont="1" applyFill="1"/>
    <xf numFmtId="174" fontId="15" fillId="5" borderId="14" xfId="4" applyNumberFormat="1" applyFont="1" applyFill="1" applyBorder="1"/>
    <xf numFmtId="174" fontId="15" fillId="3" borderId="14" xfId="4" applyNumberFormat="1" applyFont="1" applyFill="1" applyBorder="1"/>
    <xf numFmtId="3" fontId="14" fillId="6" borderId="14" xfId="0" applyNumberFormat="1" applyFont="1" applyFill="1" applyBorder="1" applyAlignment="1">
      <alignment horizontal="center"/>
    </xf>
    <xf numFmtId="0" fontId="14" fillId="6" borderId="14" xfId="0" applyNumberFormat="1" applyFont="1" applyFill="1" applyBorder="1" applyAlignment="1">
      <alignment horizontal="center"/>
    </xf>
    <xf numFmtId="174" fontId="15" fillId="4" borderId="9" xfId="4" applyNumberFormat="1" applyFont="1" applyFill="1" applyBorder="1"/>
    <xf numFmtId="3" fontId="15" fillId="4" borderId="0" xfId="11" applyNumberFormat="1" applyFont="1" applyFill="1" applyAlignment="1">
      <alignment vertical="center"/>
    </xf>
    <xf numFmtId="0" fontId="15" fillId="4" borderId="0" xfId="11" applyFont="1" applyFill="1" applyAlignment="1">
      <alignment vertical="center"/>
    </xf>
    <xf numFmtId="174" fontId="15" fillId="4" borderId="0" xfId="4" applyNumberFormat="1" applyFont="1" applyFill="1" applyAlignment="1">
      <alignment vertical="center"/>
    </xf>
    <xf numFmtId="0" fontId="15" fillId="4" borderId="0" xfId="0" applyFont="1" applyFill="1" applyBorder="1"/>
    <xf numFmtId="0" fontId="15" fillId="4" borderId="4" xfId="0" applyFont="1" applyFill="1" applyBorder="1" applyAlignment="1">
      <alignment horizontal="center"/>
    </xf>
    <xf numFmtId="166" fontId="15" fillId="4" borderId="0" xfId="0" applyNumberFormat="1" applyFont="1" applyFill="1"/>
    <xf numFmtId="0" fontId="15" fillId="4" borderId="0" xfId="0" quotePrefix="1" applyFont="1" applyFill="1"/>
    <xf numFmtId="0" fontId="15" fillId="4" borderId="5" xfId="0" applyFont="1" applyFill="1" applyBorder="1" applyAlignment="1">
      <alignment horizontal="center"/>
    </xf>
    <xf numFmtId="0" fontId="15" fillId="4" borderId="3" xfId="0" applyFont="1" applyFill="1" applyBorder="1" applyAlignment="1">
      <alignment horizontal="center"/>
    </xf>
    <xf numFmtId="1" fontId="17" fillId="4" borderId="0" xfId="11" applyNumberFormat="1" applyFont="1" applyFill="1" applyAlignment="1">
      <alignment horizontal="left" vertical="center"/>
    </xf>
    <xf numFmtId="4" fontId="15" fillId="4" borderId="0" xfId="11" applyNumberFormat="1" applyFont="1" applyFill="1" applyAlignment="1">
      <alignment vertical="center"/>
    </xf>
    <xf numFmtId="0" fontId="16" fillId="4" borderId="0" xfId="11" applyFont="1" applyFill="1"/>
    <xf numFmtId="174" fontId="15" fillId="4" borderId="4" xfId="4" applyNumberFormat="1" applyFont="1" applyFill="1" applyBorder="1"/>
    <xf numFmtId="0" fontId="15" fillId="4" borderId="4" xfId="0" applyFont="1" applyFill="1" applyBorder="1" applyAlignment="1">
      <alignment horizontal="left"/>
    </xf>
    <xf numFmtId="0" fontId="15" fillId="4" borderId="5" xfId="0" applyFont="1" applyFill="1" applyBorder="1" applyAlignment="1">
      <alignment horizontal="left"/>
    </xf>
    <xf numFmtId="174" fontId="15" fillId="5" borderId="5" xfId="4" applyNumberFormat="1" applyFont="1" applyFill="1" applyBorder="1"/>
    <xf numFmtId="165" fontId="15" fillId="4" borderId="10" xfId="0" applyNumberFormat="1" applyFont="1" applyFill="1" applyBorder="1" applyAlignment="1">
      <alignment horizontal="center"/>
    </xf>
    <xf numFmtId="0" fontId="15" fillId="4" borderId="0" xfId="11" applyFont="1" applyFill="1" applyBorder="1" applyAlignment="1">
      <alignment vertical="center"/>
    </xf>
    <xf numFmtId="10" fontId="15" fillId="4" borderId="0" xfId="12" applyNumberFormat="1" applyFont="1" applyFill="1" applyAlignment="1">
      <alignment vertical="center"/>
    </xf>
    <xf numFmtId="10" fontId="15" fillId="4" borderId="0" xfId="12" applyNumberFormat="1" applyFont="1" applyFill="1"/>
    <xf numFmtId="10" fontId="15" fillId="4" borderId="5" xfId="12" applyNumberFormat="1" applyFont="1" applyFill="1" applyBorder="1"/>
    <xf numFmtId="4" fontId="15" fillId="4" borderId="14" xfId="0" applyNumberFormat="1" applyFont="1" applyFill="1" applyBorder="1"/>
    <xf numFmtId="10" fontId="15" fillId="4" borderId="14" xfId="12" applyNumberFormat="1" applyFont="1" applyFill="1" applyBorder="1"/>
    <xf numFmtId="0" fontId="14" fillId="6" borderId="4" xfId="0" applyFont="1" applyFill="1" applyBorder="1" applyAlignment="1">
      <alignment horizontal="center" vertical="center" wrapText="1"/>
    </xf>
    <xf numFmtId="4" fontId="15" fillId="4" borderId="11" xfId="0" applyNumberFormat="1" applyFont="1" applyFill="1" applyBorder="1"/>
    <xf numFmtId="9" fontId="14" fillId="6" borderId="14" xfId="12" applyNumberFormat="1" applyFont="1" applyFill="1" applyBorder="1" applyAlignment="1">
      <alignment horizontal="center" vertical="center" wrapText="1"/>
    </xf>
    <xf numFmtId="0" fontId="14" fillId="6" borderId="14" xfId="0" applyFont="1" applyFill="1" applyBorder="1" applyAlignment="1">
      <alignment horizontal="center" vertical="center" wrapText="1"/>
    </xf>
    <xf numFmtId="9" fontId="14" fillId="6" borderId="14" xfId="12" applyNumberFormat="1" applyFont="1" applyFill="1" applyBorder="1" applyAlignment="1">
      <alignment horizontal="center" vertical="center"/>
    </xf>
    <xf numFmtId="164" fontId="14" fillId="6" borderId="14" xfId="4" applyFont="1" applyFill="1" applyBorder="1" applyAlignment="1">
      <alignment vertical="center" wrapText="1"/>
    </xf>
    <xf numFmtId="4" fontId="15" fillId="4" borderId="12" xfId="0" applyNumberFormat="1" applyFont="1" applyFill="1" applyBorder="1"/>
    <xf numFmtId="168" fontId="15" fillId="4" borderId="0" xfId="11" applyNumberFormat="1" applyFont="1" applyFill="1" applyAlignment="1">
      <alignment vertical="center"/>
    </xf>
    <xf numFmtId="174" fontId="15" fillId="4" borderId="15" xfId="4" applyNumberFormat="1" applyFont="1" applyFill="1" applyBorder="1"/>
    <xf numFmtId="174" fontId="15" fillId="4" borderId="16" xfId="4" applyNumberFormat="1" applyFont="1" applyFill="1" applyBorder="1"/>
    <xf numFmtId="169" fontId="15" fillId="4" borderId="0" xfId="0" applyNumberFormat="1" applyFont="1" applyFill="1"/>
    <xf numFmtId="0" fontId="15" fillId="4" borderId="0" xfId="0" applyFont="1" applyFill="1" applyAlignment="1">
      <alignment vertical="top"/>
    </xf>
    <xf numFmtId="3" fontId="15" fillId="4" borderId="0" xfId="0" applyNumberFormat="1" applyFont="1" applyFill="1" applyAlignment="1">
      <alignment vertical="top"/>
    </xf>
    <xf numFmtId="3" fontId="15" fillId="4" borderId="0" xfId="0" applyNumberFormat="1" applyFont="1" applyFill="1" applyBorder="1" applyAlignment="1">
      <alignment vertical="top" wrapText="1"/>
    </xf>
    <xf numFmtId="0" fontId="15" fillId="4" borderId="17" xfId="0" applyFont="1" applyFill="1" applyBorder="1"/>
    <xf numFmtId="0" fontId="15" fillId="4" borderId="6" xfId="0" applyFont="1" applyFill="1" applyBorder="1"/>
    <xf numFmtId="0" fontId="15" fillId="4" borderId="7" xfId="0" applyFont="1" applyFill="1" applyBorder="1"/>
    <xf numFmtId="0" fontId="15" fillId="4" borderId="14" xfId="0" applyFont="1" applyFill="1" applyBorder="1" applyAlignment="1">
      <alignment horizontal="center"/>
    </xf>
    <xf numFmtId="0" fontId="15" fillId="4" borderId="8" xfId="0" applyFont="1" applyFill="1" applyBorder="1"/>
    <xf numFmtId="0" fontId="15" fillId="4" borderId="12" xfId="0" applyFont="1" applyFill="1" applyBorder="1"/>
    <xf numFmtId="0" fontId="15" fillId="4" borderId="9" xfId="0" applyFont="1" applyFill="1" applyBorder="1"/>
    <xf numFmtId="0" fontId="15" fillId="4" borderId="11" xfId="0" applyFont="1" applyFill="1" applyBorder="1"/>
    <xf numFmtId="0" fontId="15" fillId="4" borderId="10" xfId="0" applyFont="1" applyFill="1" applyBorder="1"/>
    <xf numFmtId="0" fontId="15" fillId="4" borderId="13" xfId="0" applyFont="1" applyFill="1" applyBorder="1"/>
    <xf numFmtId="172" fontId="15" fillId="4" borderId="0" xfId="0" applyNumberFormat="1" applyFont="1" applyFill="1" applyAlignment="1">
      <alignment vertical="top"/>
    </xf>
    <xf numFmtId="174" fontId="15" fillId="4" borderId="12" xfId="4" applyNumberFormat="1" applyFont="1" applyFill="1" applyBorder="1"/>
    <xf numFmtId="164" fontId="15" fillId="4" borderId="4" xfId="4" applyFont="1" applyFill="1" applyBorder="1"/>
    <xf numFmtId="164" fontId="15" fillId="4" borderId="3" xfId="4" applyFont="1" applyFill="1" applyBorder="1"/>
    <xf numFmtId="3" fontId="15" fillId="4" borderId="8" xfId="0" applyNumberFormat="1" applyFont="1" applyFill="1" applyBorder="1"/>
    <xf numFmtId="3" fontId="15" fillId="4" borderId="10" xfId="0" applyNumberFormat="1" applyFont="1" applyFill="1" applyBorder="1"/>
    <xf numFmtId="3" fontId="15" fillId="4" borderId="17" xfId="0" applyNumberFormat="1" applyFont="1" applyFill="1" applyBorder="1"/>
    <xf numFmtId="3" fontId="15" fillId="4" borderId="13" xfId="0" applyNumberFormat="1" applyFont="1" applyFill="1" applyBorder="1" applyAlignment="1">
      <alignment horizontal="center" vertical="top" wrapText="1"/>
    </xf>
    <xf numFmtId="168" fontId="15" fillId="4" borderId="0" xfId="0" applyNumberFormat="1" applyFont="1" applyFill="1"/>
    <xf numFmtId="3" fontId="15" fillId="4" borderId="4" xfId="12" applyNumberFormat="1" applyFont="1" applyFill="1" applyBorder="1"/>
    <xf numFmtId="3" fontId="15" fillId="4" borderId="5" xfId="12" applyNumberFormat="1" applyFont="1" applyFill="1" applyBorder="1"/>
    <xf numFmtId="3" fontId="15" fillId="4" borderId="3" xfId="12" applyNumberFormat="1" applyFont="1" applyFill="1" applyBorder="1"/>
    <xf numFmtId="3" fontId="15" fillId="4" borderId="14" xfId="12" applyNumberFormat="1" applyFont="1" applyFill="1" applyBorder="1"/>
    <xf numFmtId="164" fontId="15" fillId="4" borderId="14" xfId="4" applyNumberFormat="1" applyFont="1" applyFill="1" applyBorder="1"/>
    <xf numFmtId="174" fontId="15" fillId="8" borderId="14" xfId="4" applyNumberFormat="1" applyFont="1" applyFill="1" applyBorder="1"/>
    <xf numFmtId="174" fontId="15" fillId="5" borderId="4" xfId="4" applyNumberFormat="1" applyFont="1" applyFill="1" applyBorder="1"/>
    <xf numFmtId="174" fontId="15" fillId="5" borderId="3" xfId="4" applyNumberFormat="1" applyFont="1" applyFill="1" applyBorder="1"/>
    <xf numFmtId="3" fontId="14" fillId="6" borderId="4" xfId="0" applyNumberFormat="1" applyFont="1" applyFill="1" applyBorder="1"/>
    <xf numFmtId="0" fontId="14" fillId="6" borderId="0" xfId="0" applyFont="1" applyFill="1"/>
    <xf numFmtId="0" fontId="15" fillId="4" borderId="8" xfId="0" applyFont="1" applyFill="1" applyBorder="1" applyAlignment="1">
      <alignment horizontal="center"/>
    </xf>
    <xf numFmtId="0" fontId="14" fillId="6" borderId="4" xfId="0" applyFont="1" applyFill="1" applyBorder="1" applyAlignment="1">
      <alignment horizontal="center"/>
    </xf>
    <xf numFmtId="0" fontId="14" fillId="6" borderId="3" xfId="0" applyFont="1" applyFill="1" applyBorder="1" applyAlignment="1">
      <alignment horizontal="center"/>
    </xf>
    <xf numFmtId="174" fontId="15" fillId="4" borderId="13" xfId="4" applyNumberFormat="1" applyFont="1" applyFill="1" applyBorder="1"/>
    <xf numFmtId="2" fontId="15" fillId="4" borderId="0" xfId="0" applyNumberFormat="1" applyFont="1" applyFill="1"/>
    <xf numFmtId="9" fontId="15" fillId="4" borderId="0" xfId="0" applyNumberFormat="1" applyFont="1" applyFill="1"/>
    <xf numFmtId="4" fontId="15" fillId="4" borderId="14" xfId="12" applyNumberFormat="1" applyFont="1" applyFill="1" applyBorder="1"/>
    <xf numFmtId="4" fontId="15" fillId="4" borderId="0" xfId="12" applyNumberFormat="1" applyFont="1" applyFill="1" applyBorder="1"/>
    <xf numFmtId="0" fontId="15" fillId="4" borderId="16" xfId="0" applyFont="1" applyFill="1" applyBorder="1"/>
    <xf numFmtId="0" fontId="14" fillId="6" borderId="4" xfId="0" applyFont="1" applyFill="1" applyBorder="1" applyAlignment="1">
      <alignment horizontal="center" vertical="top" wrapText="1"/>
    </xf>
    <xf numFmtId="9" fontId="14" fillId="6" borderId="4" xfId="0" applyNumberFormat="1" applyFont="1" applyFill="1" applyBorder="1" applyAlignment="1">
      <alignment horizontal="center"/>
    </xf>
    <xf numFmtId="174" fontId="15" fillId="5" borderId="11" xfId="4" applyNumberFormat="1" applyFont="1" applyFill="1" applyBorder="1"/>
    <xf numFmtId="3" fontId="15" fillId="4" borderId="17" xfId="12" applyNumberFormat="1" applyFont="1" applyFill="1" applyBorder="1"/>
    <xf numFmtId="170" fontId="15" fillId="4" borderId="0" xfId="0" applyNumberFormat="1" applyFont="1" applyFill="1"/>
    <xf numFmtId="2" fontId="14" fillId="6" borderId="3" xfId="0" applyNumberFormat="1" applyFont="1" applyFill="1" applyBorder="1" applyAlignment="1">
      <alignment horizontal="center" vertical="top" wrapText="1"/>
    </xf>
    <xf numFmtId="3" fontId="15" fillId="4" borderId="7" xfId="12" applyNumberFormat="1" applyFont="1" applyFill="1" applyBorder="1"/>
    <xf numFmtId="165" fontId="15" fillId="4" borderId="14" xfId="0" applyNumberFormat="1" applyFont="1" applyFill="1" applyBorder="1" applyAlignment="1">
      <alignment horizontal="center"/>
    </xf>
    <xf numFmtId="174" fontId="15" fillId="4" borderId="7" xfId="4" applyNumberFormat="1" applyFont="1" applyFill="1" applyBorder="1"/>
    <xf numFmtId="0" fontId="14" fillId="6" borderId="17" xfId="0" applyFont="1" applyFill="1" applyBorder="1"/>
    <xf numFmtId="0" fontId="14" fillId="6" borderId="6" xfId="0" applyFont="1" applyFill="1" applyBorder="1"/>
    <xf numFmtId="0" fontId="14" fillId="6" borderId="14" xfId="0" applyFont="1" applyFill="1" applyBorder="1" applyAlignment="1">
      <alignment horizontal="center"/>
    </xf>
    <xf numFmtId="166" fontId="15" fillId="4" borderId="4" xfId="0" applyNumberFormat="1" applyFont="1" applyFill="1" applyBorder="1"/>
    <xf numFmtId="0" fontId="4" fillId="4" borderId="0" xfId="0" applyFont="1" applyFill="1" applyBorder="1" applyAlignment="1">
      <alignment horizontal="left"/>
    </xf>
    <xf numFmtId="166" fontId="15" fillId="4" borderId="5" xfId="0" applyNumberFormat="1" applyFont="1" applyFill="1" applyBorder="1"/>
    <xf numFmtId="0" fontId="4" fillId="4" borderId="0" xfId="0" applyFont="1" applyFill="1" applyAlignment="1">
      <alignment horizontal="left"/>
    </xf>
    <xf numFmtId="166" fontId="15" fillId="4" borderId="3" xfId="0" applyNumberFormat="1" applyFont="1" applyFill="1" applyBorder="1"/>
    <xf numFmtId="174" fontId="15" fillId="3" borderId="4" xfId="4" applyNumberFormat="1" applyFont="1" applyFill="1" applyBorder="1"/>
    <xf numFmtId="174" fontId="15" fillId="5" borderId="15" xfId="4" applyNumberFormat="1" applyFont="1" applyFill="1" applyBorder="1"/>
    <xf numFmtId="174" fontId="15" fillId="5" borderId="0" xfId="4" applyNumberFormat="1" applyFont="1" applyFill="1" applyBorder="1"/>
    <xf numFmtId="174" fontId="15" fillId="3" borderId="3" xfId="4" applyNumberFormat="1" applyFont="1" applyFill="1" applyBorder="1"/>
    <xf numFmtId="174" fontId="15" fillId="5" borderId="16" xfId="4" applyNumberFormat="1" applyFont="1" applyFill="1" applyBorder="1"/>
    <xf numFmtId="164" fontId="15" fillId="4" borderId="0" xfId="4" applyFont="1" applyFill="1" applyBorder="1" applyAlignment="1">
      <alignment vertical="center"/>
    </xf>
    <xf numFmtId="164" fontId="15" fillId="4" borderId="0" xfId="4" applyFont="1" applyFill="1" applyAlignment="1">
      <alignment vertical="center"/>
    </xf>
    <xf numFmtId="4" fontId="15" fillId="4" borderId="4" xfId="12" applyNumberFormat="1" applyFont="1" applyFill="1" applyBorder="1"/>
    <xf numFmtId="4" fontId="15" fillId="4" borderId="5" xfId="12" applyNumberFormat="1" applyFont="1" applyFill="1" applyBorder="1"/>
    <xf numFmtId="0" fontId="15" fillId="4" borderId="0" xfId="0" applyFont="1" applyFill="1" applyBorder="1" applyAlignment="1">
      <alignment horizontal="center" vertical="top" wrapText="1"/>
    </xf>
    <xf numFmtId="176" fontId="15" fillId="4" borderId="0" xfId="11" applyNumberFormat="1" applyFont="1" applyFill="1" applyAlignment="1">
      <alignment vertical="center"/>
    </xf>
    <xf numFmtId="176" fontId="15" fillId="4" borderId="0" xfId="0" applyNumberFormat="1" applyFont="1" applyFill="1"/>
    <xf numFmtId="176" fontId="14" fillId="6" borderId="4" xfId="0" applyNumberFormat="1" applyFont="1" applyFill="1" applyBorder="1" applyAlignment="1">
      <alignment horizontal="center" vertical="top" wrapText="1"/>
    </xf>
    <xf numFmtId="2" fontId="14" fillId="6" borderId="5" xfId="0" applyNumberFormat="1" applyFont="1" applyFill="1" applyBorder="1" applyAlignment="1">
      <alignment horizontal="center" vertical="top" wrapText="1"/>
    </xf>
    <xf numFmtId="171" fontId="15" fillId="4" borderId="0" xfId="0" applyNumberFormat="1" applyFont="1" applyFill="1"/>
    <xf numFmtId="166" fontId="15" fillId="4" borderId="0" xfId="12" applyNumberFormat="1" applyFont="1" applyFill="1" applyBorder="1" applyAlignment="1">
      <alignment horizontal="center" vertical="top" wrapText="1"/>
    </xf>
    <xf numFmtId="166" fontId="15" fillId="4" borderId="12" xfId="0" applyNumberFormat="1" applyFont="1" applyFill="1" applyBorder="1"/>
    <xf numFmtId="171" fontId="15" fillId="4" borderId="0" xfId="0" applyNumberFormat="1" applyFont="1" applyFill="1" applyBorder="1"/>
    <xf numFmtId="166" fontId="15" fillId="4" borderId="11" xfId="0" applyNumberFormat="1" applyFont="1" applyFill="1" applyBorder="1"/>
    <xf numFmtId="166" fontId="15" fillId="4" borderId="13" xfId="0" applyNumberFormat="1" applyFont="1" applyFill="1" applyBorder="1"/>
    <xf numFmtId="171" fontId="15" fillId="4" borderId="14" xfId="0" applyNumberFormat="1" applyFont="1" applyFill="1" applyBorder="1"/>
    <xf numFmtId="171" fontId="15" fillId="4" borderId="0" xfId="12" applyNumberFormat="1" applyFont="1" applyFill="1" applyBorder="1"/>
    <xf numFmtId="3" fontId="15" fillId="3" borderId="4" xfId="12" applyNumberFormat="1" applyFont="1" applyFill="1" applyBorder="1"/>
    <xf numFmtId="3" fontId="15" fillId="3" borderId="5" xfId="12" applyNumberFormat="1" applyFont="1" applyFill="1" applyBorder="1"/>
    <xf numFmtId="3" fontId="15" fillId="3" borderId="7" xfId="12" applyNumberFormat="1" applyFont="1" applyFill="1" applyBorder="1"/>
    <xf numFmtId="0" fontId="19" fillId="4" borderId="0" xfId="0" applyFont="1" applyFill="1"/>
    <xf numFmtId="0" fontId="20" fillId="4" borderId="5" xfId="0" applyFont="1" applyFill="1" applyBorder="1" applyAlignment="1">
      <alignment horizontal="center"/>
    </xf>
    <xf numFmtId="0" fontId="20" fillId="4" borderId="5" xfId="0" applyFont="1" applyFill="1" applyBorder="1"/>
    <xf numFmtId="3" fontId="20" fillId="4" borderId="5" xfId="12" applyNumberFormat="1" applyFont="1" applyFill="1" applyBorder="1" applyAlignment="1">
      <alignment horizontal="right"/>
    </xf>
    <xf numFmtId="0" fontId="20" fillId="4" borderId="0" xfId="0" applyFont="1" applyFill="1"/>
    <xf numFmtId="167" fontId="15" fillId="4" borderId="0" xfId="0" applyNumberFormat="1" applyFont="1" applyFill="1"/>
    <xf numFmtId="171" fontId="15" fillId="4" borderId="14" xfId="12" applyNumberFormat="1" applyFont="1" applyFill="1" applyBorder="1"/>
    <xf numFmtId="171" fontId="20" fillId="4" borderId="4" xfId="0" applyNumberFormat="1" applyFont="1" applyFill="1" applyBorder="1"/>
    <xf numFmtId="0" fontId="15" fillId="8" borderId="0" xfId="0" applyFont="1" applyFill="1"/>
    <xf numFmtId="14" fontId="15" fillId="8" borderId="0" xfId="0" applyNumberFormat="1" applyFont="1" applyFill="1"/>
    <xf numFmtId="0" fontId="15" fillId="8" borderId="0" xfId="0" applyFont="1" applyFill="1" applyBorder="1"/>
    <xf numFmtId="0" fontId="16" fillId="8" borderId="0" xfId="0" applyFont="1" applyFill="1"/>
    <xf numFmtId="173" fontId="15" fillId="8" borderId="0" xfId="0" applyNumberFormat="1" applyFont="1" applyFill="1" applyBorder="1"/>
    <xf numFmtId="0" fontId="15" fillId="8" borderId="0" xfId="0" applyFont="1" applyFill="1" applyAlignment="1">
      <alignment horizontal="center" wrapText="1"/>
    </xf>
    <xf numFmtId="164" fontId="15" fillId="8" borderId="0" xfId="4" applyFont="1" applyFill="1"/>
    <xf numFmtId="3" fontId="15" fillId="8" borderId="0" xfId="0" applyNumberFormat="1" applyFont="1" applyFill="1"/>
    <xf numFmtId="2" fontId="15" fillId="8" borderId="0" xfId="0" applyNumberFormat="1" applyFont="1" applyFill="1"/>
    <xf numFmtId="0" fontId="15" fillId="8" borderId="0" xfId="0" applyFont="1" applyFill="1" applyAlignment="1">
      <alignment horizontal="center"/>
    </xf>
    <xf numFmtId="9" fontId="15" fillId="8" borderId="0" xfId="0" applyNumberFormat="1" applyFont="1" applyFill="1" applyBorder="1" applyAlignment="1">
      <alignment horizontal="center" vertical="top" wrapText="1"/>
    </xf>
    <xf numFmtId="2" fontId="15" fillId="8" borderId="0" xfId="0" applyNumberFormat="1" applyFont="1" applyFill="1" applyBorder="1" applyAlignment="1">
      <alignment horizontal="center"/>
    </xf>
    <xf numFmtId="10" fontId="15" fillId="8" borderId="14" xfId="0" applyNumberFormat="1" applyFont="1" applyFill="1" applyBorder="1" applyAlignment="1">
      <alignment horizontal="center" vertical="top" wrapText="1"/>
    </xf>
    <xf numFmtId="169" fontId="15" fillId="8" borderId="0" xfId="0" applyNumberFormat="1" applyFont="1" applyFill="1" applyBorder="1"/>
    <xf numFmtId="3" fontId="15" fillId="8" borderId="0" xfId="0" applyNumberFormat="1" applyFont="1" applyFill="1" applyBorder="1"/>
    <xf numFmtId="164" fontId="15" fillId="8" borderId="0" xfId="4" applyFont="1" applyFill="1" applyBorder="1"/>
    <xf numFmtId="0" fontId="15" fillId="8" borderId="14" xfId="0" applyFont="1" applyFill="1" applyBorder="1"/>
    <xf numFmtId="164" fontId="15" fillId="8" borderId="14" xfId="4" applyFont="1" applyFill="1" applyBorder="1"/>
    <xf numFmtId="0" fontId="15" fillId="8" borderId="0" xfId="0" applyFont="1" applyFill="1" applyAlignment="1">
      <alignment vertical="top"/>
    </xf>
    <xf numFmtId="0" fontId="17" fillId="8" borderId="0" xfId="0" applyFont="1" applyFill="1"/>
    <xf numFmtId="14" fontId="15" fillId="7" borderId="14" xfId="0" applyNumberFormat="1" applyFont="1" applyFill="1" applyBorder="1" applyAlignment="1">
      <alignment horizontal="center"/>
    </xf>
    <xf numFmtId="9" fontId="15" fillId="7" borderId="14" xfId="0" applyNumberFormat="1" applyFont="1" applyFill="1" applyBorder="1" applyAlignment="1">
      <alignment horizontal="center" vertical="top" wrapText="1"/>
    </xf>
    <xf numFmtId="10" fontId="15" fillId="7" borderId="14" xfId="0" applyNumberFormat="1" applyFont="1" applyFill="1" applyBorder="1" applyAlignment="1">
      <alignment horizontal="center"/>
    </xf>
    <xf numFmtId="0" fontId="15" fillId="8" borderId="0" xfId="0" applyFont="1" applyFill="1" applyBorder="1" applyAlignment="1"/>
    <xf numFmtId="0" fontId="15" fillId="8" borderId="0" xfId="0" applyFont="1" applyFill="1" applyBorder="1" applyAlignment="1">
      <alignment horizontal="left" vertical="top"/>
    </xf>
    <xf numFmtId="0" fontId="15" fillId="8" borderId="0" xfId="0" applyFont="1" applyFill="1" applyBorder="1" applyAlignment="1">
      <alignment horizontal="left"/>
    </xf>
    <xf numFmtId="3" fontId="15" fillId="7" borderId="14" xfId="0" applyNumberFormat="1" applyFont="1" applyFill="1" applyBorder="1"/>
    <xf numFmtId="3" fontId="15" fillId="8" borderId="14" xfId="0" applyNumberFormat="1" applyFont="1" applyFill="1" applyBorder="1"/>
    <xf numFmtId="3" fontId="15" fillId="8" borderId="14" xfId="0" applyNumberFormat="1" applyFont="1" applyFill="1" applyBorder="1" applyAlignment="1">
      <alignment horizontal="center"/>
    </xf>
    <xf numFmtId="9" fontId="15" fillId="7" borderId="14" xfId="0" applyNumberFormat="1" applyFont="1" applyFill="1" applyBorder="1" applyAlignment="1">
      <alignment horizontal="center"/>
    </xf>
    <xf numFmtId="0" fontId="15" fillId="7" borderId="14" xfId="0" applyFont="1" applyFill="1" applyBorder="1" applyAlignment="1">
      <alignment horizontal="center" vertical="top" wrapText="1"/>
    </xf>
    <xf numFmtId="0" fontId="15" fillId="8" borderId="4" xfId="0" applyFont="1" applyFill="1" applyBorder="1" applyAlignment="1">
      <alignment horizontal="center" vertical="center" wrapText="1"/>
    </xf>
    <xf numFmtId="175" fontId="15" fillId="8" borderId="14" xfId="4" applyNumberFormat="1" applyFont="1" applyFill="1" applyBorder="1"/>
    <xf numFmtId="174" fontId="15" fillId="8" borderId="17" xfId="4" applyNumberFormat="1" applyFont="1" applyFill="1" applyBorder="1"/>
    <xf numFmtId="0" fontId="15" fillId="8" borderId="7" xfId="0" applyFont="1" applyFill="1" applyBorder="1"/>
    <xf numFmtId="2" fontId="15" fillId="8" borderId="4" xfId="0" applyNumberFormat="1" applyFont="1" applyFill="1" applyBorder="1"/>
    <xf numFmtId="0" fontId="15" fillId="8" borderId="0" xfId="0" quotePrefix="1" applyFont="1" applyFill="1" applyBorder="1"/>
    <xf numFmtId="169" fontId="15" fillId="8" borderId="14" xfId="0" applyNumberFormat="1" applyFont="1" applyFill="1" applyBorder="1"/>
    <xf numFmtId="173" fontId="15" fillId="8" borderId="14" xfId="0" applyNumberFormat="1" applyFont="1" applyFill="1" applyBorder="1"/>
    <xf numFmtId="0" fontId="15" fillId="8" borderId="0" xfId="0" applyFont="1" applyFill="1" applyBorder="1" applyAlignment="1">
      <alignment horizontal="center" vertical="center" wrapText="1"/>
    </xf>
    <xf numFmtId="0" fontId="21" fillId="8" borderId="0" xfId="0" applyFont="1" applyFill="1"/>
    <xf numFmtId="0" fontId="17" fillId="8" borderId="0" xfId="0" applyFont="1" applyFill="1" applyBorder="1"/>
    <xf numFmtId="0" fontId="14" fillId="6" borderId="3" xfId="0" applyFont="1" applyFill="1" applyBorder="1" applyAlignment="1">
      <alignment horizontal="center" vertical="center" wrapText="1"/>
    </xf>
    <xf numFmtId="9" fontId="14" fillId="6" borderId="5" xfId="12" applyFont="1" applyFill="1" applyBorder="1" applyAlignment="1">
      <alignment horizontal="center"/>
    </xf>
    <xf numFmtId="4" fontId="15" fillId="4" borderId="0" xfId="0" applyNumberFormat="1" applyFont="1" applyFill="1" applyBorder="1"/>
    <xf numFmtId="1" fontId="17" fillId="4" borderId="0" xfId="11" applyNumberFormat="1" applyFont="1" applyFill="1" applyAlignment="1">
      <alignment horizontal="left" vertical="center"/>
    </xf>
    <xf numFmtId="174" fontId="15" fillId="8" borderId="0" xfId="4" applyNumberFormat="1" applyFont="1" applyFill="1"/>
    <xf numFmtId="0" fontId="22" fillId="8" borderId="0" xfId="0" applyFont="1" applyFill="1"/>
    <xf numFmtId="174" fontId="22" fillId="8" borderId="0" xfId="4" applyNumberFormat="1" applyFont="1" applyFill="1"/>
    <xf numFmtId="174" fontId="14" fillId="6" borderId="0" xfId="4" applyNumberFormat="1" applyFont="1" applyFill="1"/>
    <xf numFmtId="0" fontId="22" fillId="8" borderId="0" xfId="0" applyFont="1" applyFill="1" applyAlignment="1">
      <alignment horizontal="right"/>
    </xf>
    <xf numFmtId="168" fontId="18" fillId="4" borderId="0" xfId="11" applyNumberFormat="1" applyFont="1" applyFill="1" applyAlignment="1">
      <alignment vertical="center"/>
    </xf>
    <xf numFmtId="168" fontId="18" fillId="4" borderId="0" xfId="11" applyNumberFormat="1" applyFont="1" applyFill="1" applyBorder="1" applyAlignment="1">
      <alignment vertical="center"/>
    </xf>
    <xf numFmtId="175" fontId="15" fillId="4" borderId="0" xfId="14" applyNumberFormat="1" applyFont="1" applyFill="1" applyBorder="1" applyAlignment="1">
      <alignment vertical="center"/>
    </xf>
    <xf numFmtId="0" fontId="16" fillId="4" borderId="0" xfId="11" applyFont="1" applyFill="1" applyBorder="1"/>
    <xf numFmtId="175" fontId="16" fillId="4" borderId="0" xfId="14" applyNumberFormat="1" applyFont="1" applyFill="1" applyBorder="1"/>
    <xf numFmtId="0" fontId="15" fillId="4" borderId="0" xfId="15" applyFont="1" applyFill="1"/>
    <xf numFmtId="0" fontId="15" fillId="4" borderId="0" xfId="15" applyFont="1" applyFill="1" applyBorder="1"/>
    <xf numFmtId="175" fontId="15" fillId="4" borderId="0" xfId="14" applyNumberFormat="1" applyFont="1" applyFill="1" applyBorder="1"/>
    <xf numFmtId="3" fontId="3" fillId="4" borderId="5" xfId="15" applyNumberFormat="1" applyFont="1" applyFill="1" applyBorder="1" applyAlignment="1">
      <alignment horizontal="right"/>
    </xf>
    <xf numFmtId="43" fontId="15" fillId="4" borderId="5" xfId="14" applyFont="1" applyFill="1" applyBorder="1"/>
    <xf numFmtId="175" fontId="3" fillId="4" borderId="0" xfId="14" applyNumberFormat="1" applyFont="1" applyFill="1" applyBorder="1" applyAlignment="1">
      <alignment horizontal="left"/>
    </xf>
    <xf numFmtId="3" fontId="3" fillId="4" borderId="0" xfId="15" applyNumberFormat="1" applyFont="1" applyFill="1" applyBorder="1" applyAlignment="1">
      <alignment horizontal="right"/>
    </xf>
    <xf numFmtId="175" fontId="15" fillId="4" borderId="0" xfId="15" applyNumberFormat="1" applyFont="1" applyFill="1" applyBorder="1"/>
    <xf numFmtId="3" fontId="15" fillId="4" borderId="0" xfId="15" applyNumberFormat="1" applyFont="1" applyFill="1"/>
    <xf numFmtId="0" fontId="14" fillId="4" borderId="0" xfId="15" applyFont="1" applyFill="1" applyBorder="1" applyAlignment="1">
      <alignment vertical="center"/>
    </xf>
    <xf numFmtId="175" fontId="14" fillId="4" borderId="0" xfId="14" applyNumberFormat="1" applyFont="1" applyFill="1" applyBorder="1" applyAlignment="1">
      <alignment horizontal="center" vertical="center" wrapText="1"/>
    </xf>
    <xf numFmtId="175" fontId="14" fillId="4" borderId="0" xfId="14" applyNumberFormat="1" applyFont="1" applyFill="1" applyBorder="1" applyAlignment="1">
      <alignment vertical="center"/>
    </xf>
    <xf numFmtId="0" fontId="14" fillId="4" borderId="0" xfId="15" applyFont="1" applyFill="1" applyAlignment="1">
      <alignment vertical="center"/>
    </xf>
    <xf numFmtId="0" fontId="15" fillId="4" borderId="4" xfId="15" applyFont="1" applyFill="1" applyBorder="1"/>
    <xf numFmtId="0" fontId="15" fillId="4" borderId="5" xfId="15" applyFont="1" applyFill="1" applyBorder="1"/>
    <xf numFmtId="0" fontId="14" fillId="6" borderId="4" xfId="15" applyFont="1" applyFill="1" applyBorder="1" applyAlignment="1">
      <alignment horizontal="center" vertical="center" wrapText="1"/>
    </xf>
    <xf numFmtId="174" fontId="15" fillId="4" borderId="14" xfId="4" applyNumberFormat="1" applyFont="1" applyFill="1" applyBorder="1" applyAlignment="1">
      <alignment horizontal="center"/>
    </xf>
    <xf numFmtId="0" fontId="15" fillId="7" borderId="14" xfId="0" applyFont="1" applyFill="1" applyBorder="1"/>
    <xf numFmtId="174" fontId="15" fillId="4" borderId="7" xfId="4" applyNumberFormat="1" applyFont="1" applyFill="1" applyBorder="1" applyAlignment="1">
      <alignment horizontal="center"/>
    </xf>
    <xf numFmtId="174" fontId="15" fillId="5" borderId="14" xfId="4" applyNumberFormat="1" applyFont="1" applyFill="1" applyBorder="1" applyAlignment="1">
      <alignment horizontal="center"/>
    </xf>
    <xf numFmtId="171" fontId="20" fillId="5" borderId="4" xfId="0" applyNumberFormat="1" applyFont="1" applyFill="1" applyBorder="1"/>
    <xf numFmtId="171" fontId="20" fillId="5" borderId="5" xfId="0" applyNumberFormat="1" applyFont="1" applyFill="1" applyBorder="1"/>
    <xf numFmtId="171" fontId="15" fillId="5" borderId="14" xfId="0" applyNumberFormat="1" applyFont="1" applyFill="1" applyBorder="1"/>
    <xf numFmtId="171" fontId="20" fillId="5" borderId="3" xfId="0" applyNumberFormat="1" applyFont="1" applyFill="1" applyBorder="1"/>
    <xf numFmtId="0" fontId="15" fillId="7" borderId="14" xfId="15" applyFont="1" applyFill="1" applyBorder="1" applyAlignment="1">
      <alignment horizontal="center"/>
    </xf>
    <xf numFmtId="174" fontId="15" fillId="7" borderId="3" xfId="4" applyNumberFormat="1" applyFont="1" applyFill="1" applyBorder="1" applyAlignment="1">
      <alignment horizontal="center"/>
    </xf>
    <xf numFmtId="174" fontId="15" fillId="7" borderId="14" xfId="4" applyNumberFormat="1" applyFont="1" applyFill="1" applyBorder="1"/>
    <xf numFmtId="0" fontId="15" fillId="7" borderId="14" xfId="4" applyNumberFormat="1" applyFont="1" applyFill="1" applyBorder="1" applyAlignment="1">
      <alignment horizontal="center"/>
    </xf>
    <xf numFmtId="0" fontId="26" fillId="6" borderId="0" xfId="0" applyFont="1" applyFill="1"/>
    <xf numFmtId="0" fontId="15" fillId="7" borderId="4" xfId="15" applyFont="1" applyFill="1" applyBorder="1" applyAlignment="1">
      <alignment horizontal="center"/>
    </xf>
    <xf numFmtId="0" fontId="15" fillId="7" borderId="5" xfId="15" applyFont="1" applyFill="1" applyBorder="1" applyAlignment="1">
      <alignment horizontal="center"/>
    </xf>
    <xf numFmtId="174" fontId="15" fillId="4" borderId="0" xfId="15" applyNumberFormat="1" applyFont="1" applyFill="1"/>
    <xf numFmtId="0" fontId="14" fillId="6" borderId="5" xfId="15" quotePrefix="1" applyFont="1" applyFill="1" applyBorder="1" applyAlignment="1">
      <alignment horizontal="center" vertical="center" wrapText="1"/>
    </xf>
    <xf numFmtId="174" fontId="15" fillId="4" borderId="3" xfId="4" applyNumberFormat="1" applyFont="1" applyFill="1" applyBorder="1" applyAlignment="1">
      <alignment horizontal="center"/>
    </xf>
    <xf numFmtId="174" fontId="15" fillId="8" borderId="0" xfId="4" applyNumberFormat="1" applyFont="1" applyFill="1" applyBorder="1"/>
    <xf numFmtId="164" fontId="15" fillId="7" borderId="14" xfId="4" applyFont="1" applyFill="1" applyBorder="1" applyAlignment="1">
      <alignment horizontal="center"/>
    </xf>
    <xf numFmtId="0" fontId="25" fillId="4" borderId="0" xfId="0" applyFont="1" applyFill="1"/>
    <xf numFmtId="174" fontId="25" fillId="4" borderId="0" xfId="4" applyNumberFormat="1" applyFont="1" applyFill="1"/>
    <xf numFmtId="0" fontId="25" fillId="8" borderId="0" xfId="0" applyFont="1" applyFill="1"/>
    <xf numFmtId="174" fontId="25" fillId="3" borderId="0" xfId="4" applyNumberFormat="1" applyFont="1" applyFill="1"/>
    <xf numFmtId="164" fontId="25" fillId="4" borderId="0" xfId="4" applyFont="1" applyFill="1"/>
    <xf numFmtId="174" fontId="25" fillId="4" borderId="16" xfId="4" applyNumberFormat="1" applyFont="1" applyFill="1" applyBorder="1"/>
    <xf numFmtId="174" fontId="27" fillId="4" borderId="0" xfId="4" applyNumberFormat="1" applyFont="1" applyFill="1"/>
    <xf numFmtId="0" fontId="27" fillId="4" borderId="0" xfId="0" applyFont="1" applyFill="1"/>
    <xf numFmtId="0" fontId="25" fillId="4" borderId="0" xfId="0" applyFont="1" applyFill="1" applyAlignment="1">
      <alignment horizontal="right"/>
    </xf>
    <xf numFmtId="0" fontId="25" fillId="4" borderId="0" xfId="0" applyFont="1" applyFill="1" applyAlignment="1">
      <alignment horizontal="left"/>
    </xf>
    <xf numFmtId="164" fontId="20" fillId="4" borderId="14" xfId="4" applyFont="1" applyFill="1" applyBorder="1"/>
    <xf numFmtId="174" fontId="15" fillId="0" borderId="5" xfId="4" applyNumberFormat="1" applyFont="1" applyFill="1" applyBorder="1"/>
    <xf numFmtId="0" fontId="4" fillId="0" borderId="0" xfId="0" applyFont="1" applyFill="1" applyAlignment="1">
      <alignment horizontal="left"/>
    </xf>
    <xf numFmtId="0" fontId="15" fillId="0" borderId="0" xfId="0" applyFont="1" applyFill="1"/>
    <xf numFmtId="164" fontId="14" fillId="6" borderId="3" xfId="4" applyNumberFormat="1" applyFont="1" applyFill="1" applyBorder="1" applyAlignment="1">
      <alignment horizontal="center" vertical="center" wrapText="1"/>
    </xf>
    <xf numFmtId="10" fontId="15" fillId="8" borderId="3" xfId="12" applyNumberFormat="1" applyFont="1" applyFill="1" applyBorder="1"/>
    <xf numFmtId="2" fontId="15" fillId="8" borderId="14" xfId="0" applyNumberFormat="1" applyFont="1" applyFill="1" applyBorder="1" applyAlignment="1"/>
    <xf numFmtId="2" fontId="15" fillId="7" borderId="4" xfId="0" applyNumberFormat="1" applyFont="1" applyFill="1" applyBorder="1" applyAlignment="1"/>
    <xf numFmtId="2" fontId="15" fillId="8" borderId="14" xfId="4" applyNumberFormat="1" applyFont="1" applyFill="1" applyBorder="1"/>
    <xf numFmtId="4" fontId="15" fillId="4" borderId="5" xfId="0" applyNumberFormat="1" applyFont="1" applyFill="1" applyBorder="1"/>
    <xf numFmtId="164" fontId="15" fillId="4" borderId="5" xfId="4" applyNumberFormat="1" applyFont="1" applyFill="1" applyBorder="1"/>
    <xf numFmtId="175" fontId="15" fillId="5" borderId="14" xfId="4" applyNumberFormat="1" applyFont="1" applyFill="1" applyBorder="1"/>
    <xf numFmtId="174" fontId="15" fillId="7" borderId="14" xfId="4" applyNumberFormat="1" applyFont="1" applyFill="1" applyBorder="1" applyAlignment="1">
      <alignment horizontal="center" vertical="center" wrapText="1"/>
    </xf>
    <xf numFmtId="170" fontId="15" fillId="8" borderId="14" xfId="0" applyNumberFormat="1" applyFont="1" applyFill="1" applyBorder="1"/>
    <xf numFmtId="170" fontId="15" fillId="7" borderId="14" xfId="0" applyNumberFormat="1" applyFont="1" applyFill="1" applyBorder="1"/>
    <xf numFmtId="166" fontId="15" fillId="7" borderId="14" xfId="0" applyNumberFormat="1" applyFont="1" applyFill="1" applyBorder="1"/>
    <xf numFmtId="10" fontId="15" fillId="7" borderId="17" xfId="0" applyNumberFormat="1" applyFont="1" applyFill="1" applyBorder="1" applyAlignment="1">
      <alignment horizontal="center"/>
    </xf>
    <xf numFmtId="10" fontId="15" fillId="8" borderId="0" xfId="0" applyNumberFormat="1" applyFont="1" applyFill="1" applyBorder="1" applyAlignment="1">
      <alignment horizontal="center" vertical="top" wrapText="1"/>
    </xf>
    <xf numFmtId="0" fontId="15" fillId="8" borderId="14" xfId="0" applyFont="1" applyFill="1" applyBorder="1" applyAlignment="1">
      <alignment horizontal="right"/>
    </xf>
    <xf numFmtId="10" fontId="14" fillId="6" borderId="14" xfId="12" applyNumberFormat="1" applyFont="1" applyFill="1" applyBorder="1" applyAlignment="1">
      <alignment horizontal="center" vertical="center" wrapText="1"/>
    </xf>
    <xf numFmtId="2" fontId="15" fillId="4" borderId="0" xfId="13" applyNumberFormat="1" applyFont="1" applyFill="1" applyBorder="1"/>
    <xf numFmtId="164" fontId="15" fillId="4" borderId="0" xfId="4" applyNumberFormat="1" applyFont="1" applyFill="1" applyBorder="1"/>
    <xf numFmtId="3" fontId="15" fillId="4" borderId="14" xfId="0" applyNumberFormat="1" applyFont="1" applyFill="1" applyBorder="1"/>
    <xf numFmtId="10" fontId="14" fillId="6" borderId="14" xfId="12" applyNumberFormat="1" applyFont="1" applyFill="1" applyBorder="1" applyAlignment="1">
      <alignment vertical="center" wrapText="1"/>
    </xf>
    <xf numFmtId="164" fontId="14" fillId="6" borderId="14" xfId="4" applyNumberFormat="1" applyFont="1" applyFill="1" applyBorder="1"/>
    <xf numFmtId="1" fontId="15" fillId="4" borderId="14" xfId="0" applyNumberFormat="1" applyFont="1" applyFill="1" applyBorder="1"/>
    <xf numFmtId="10" fontId="15" fillId="4" borderId="14" xfId="0" applyNumberFormat="1" applyFont="1" applyFill="1" applyBorder="1"/>
    <xf numFmtId="174" fontId="15" fillId="4" borderId="0" xfId="4" quotePrefix="1" applyNumberFormat="1" applyFont="1" applyFill="1" applyBorder="1"/>
    <xf numFmtId="10" fontId="15" fillId="4" borderId="0" xfId="0" applyNumberFormat="1" applyFont="1" applyFill="1" applyBorder="1"/>
    <xf numFmtId="164" fontId="15" fillId="7" borderId="14" xfId="4" applyNumberFormat="1" applyFont="1" applyFill="1" applyBorder="1"/>
    <xf numFmtId="164" fontId="14" fillId="6" borderId="5" xfId="4" applyNumberFormat="1" applyFont="1" applyFill="1" applyBorder="1" applyAlignment="1">
      <alignment horizontal="center" vertical="top" wrapText="1"/>
    </xf>
    <xf numFmtId="164" fontId="15" fillId="4" borderId="0" xfId="4" applyNumberFormat="1" applyFont="1" applyFill="1"/>
    <xf numFmtId="177" fontId="15" fillId="8" borderId="0" xfId="0" applyNumberFormat="1" applyFont="1" applyFill="1"/>
    <xf numFmtId="0" fontId="15" fillId="4" borderId="0" xfId="0" applyFont="1" applyFill="1" applyAlignment="1">
      <alignment horizontal="left" vertical="center"/>
    </xf>
    <xf numFmtId="0" fontId="15" fillId="4" borderId="0" xfId="0" applyFont="1" applyFill="1" applyAlignment="1">
      <alignment vertical="center"/>
    </xf>
    <xf numFmtId="164" fontId="14" fillId="6" borderId="3" xfId="4" quotePrefix="1" applyFont="1" applyFill="1" applyBorder="1" applyAlignment="1">
      <alignment horizontal="center" vertical="center" wrapText="1"/>
    </xf>
    <xf numFmtId="174" fontId="20" fillId="4" borderId="0" xfId="4" applyNumberFormat="1" applyFont="1" applyFill="1"/>
    <xf numFmtId="174" fontId="14" fillId="6" borderId="4" xfId="4" applyNumberFormat="1" applyFont="1" applyFill="1" applyBorder="1" applyAlignment="1">
      <alignment horizontal="center" vertical="center" wrapText="1"/>
    </xf>
    <xf numFmtId="174" fontId="14" fillId="6" borderId="3" xfId="4" applyNumberFormat="1" applyFont="1" applyFill="1" applyBorder="1" applyAlignment="1">
      <alignment horizontal="center" vertical="center" wrapText="1"/>
    </xf>
    <xf numFmtId="174" fontId="15" fillId="4" borderId="0" xfId="4" applyNumberFormat="1" applyFont="1" applyFill="1" applyBorder="1" applyAlignment="1">
      <alignment horizontal="center"/>
    </xf>
    <xf numFmtId="174" fontId="29" fillId="6" borderId="14" xfId="4" applyNumberFormat="1" applyFont="1" applyFill="1" applyBorder="1" applyAlignment="1">
      <alignment horizontal="center"/>
    </xf>
    <xf numFmtId="174" fontId="14" fillId="6" borderId="5" xfId="4" applyNumberFormat="1" applyFont="1" applyFill="1" applyBorder="1" applyAlignment="1">
      <alignment horizontal="center" vertical="center" wrapText="1"/>
    </xf>
    <xf numFmtId="0" fontId="14" fillId="6" borderId="4" xfId="0" applyFont="1" applyFill="1" applyBorder="1" applyAlignment="1">
      <alignment horizontal="center" vertical="center" wrapText="1"/>
    </xf>
    <xf numFmtId="174" fontId="30" fillId="4" borderId="5" xfId="4" applyNumberFormat="1" applyFont="1" applyFill="1" applyBorder="1"/>
    <xf numFmtId="174" fontId="30" fillId="4" borderId="4" xfId="4" applyNumberFormat="1" applyFont="1" applyFill="1" applyBorder="1"/>
    <xf numFmtId="174" fontId="15" fillId="4" borderId="0" xfId="4" applyNumberFormat="1" applyFont="1" applyFill="1" applyBorder="1" applyAlignment="1">
      <alignment vertical="center"/>
    </xf>
    <xf numFmtId="174" fontId="14" fillId="6" borderId="15" xfId="4" applyNumberFormat="1" applyFont="1" applyFill="1" applyBorder="1" applyAlignment="1">
      <alignment horizontal="center" vertical="center" wrapText="1"/>
    </xf>
    <xf numFmtId="174" fontId="14" fillId="6" borderId="16" xfId="4" applyNumberFormat="1" applyFont="1" applyFill="1" applyBorder="1" applyAlignment="1">
      <alignment horizontal="center" vertical="top" wrapText="1"/>
    </xf>
    <xf numFmtId="9" fontId="15" fillId="7" borderId="14" xfId="12" applyFont="1" applyFill="1" applyBorder="1"/>
    <xf numFmtId="43" fontId="15" fillId="8" borderId="0" xfId="0" applyNumberFormat="1" applyFont="1" applyFill="1"/>
    <xf numFmtId="0" fontId="15" fillId="4" borderId="0" xfId="0" applyFont="1" applyFill="1" applyBorder="1" applyAlignment="1">
      <alignment horizontal="left"/>
    </xf>
    <xf numFmtId="9" fontId="14" fillId="6" borderId="3" xfId="12" applyFont="1" applyFill="1" applyBorder="1" applyAlignment="1">
      <alignment horizontal="center"/>
    </xf>
    <xf numFmtId="174" fontId="14" fillId="6" borderId="14" xfId="4" applyNumberFormat="1" applyFont="1" applyFill="1" applyBorder="1" applyAlignment="1">
      <alignment horizontal="center" vertical="center" wrapText="1"/>
    </xf>
    <xf numFmtId="3" fontId="15" fillId="4" borderId="0" xfId="0" applyNumberFormat="1" applyFont="1" applyFill="1" applyBorder="1"/>
    <xf numFmtId="3" fontId="15" fillId="4" borderId="7" xfId="0" applyNumberFormat="1" applyFont="1" applyFill="1" applyBorder="1"/>
    <xf numFmtId="0" fontId="15" fillId="4" borderId="9" xfId="0" applyFont="1" applyFill="1" applyBorder="1" applyAlignment="1">
      <alignment horizontal="center"/>
    </xf>
    <xf numFmtId="3" fontId="15" fillId="4" borderId="4" xfId="0" applyNumberFormat="1" applyFont="1" applyFill="1" applyBorder="1"/>
    <xf numFmtId="165" fontId="15" fillId="4" borderId="6" xfId="0" applyNumberFormat="1" applyFont="1" applyFill="1" applyBorder="1" applyAlignment="1">
      <alignment horizontal="center"/>
    </xf>
    <xf numFmtId="174" fontId="15" fillId="4" borderId="6" xfId="4" applyNumberFormat="1" applyFont="1" applyFill="1" applyBorder="1"/>
    <xf numFmtId="164" fontId="14" fillId="6" borderId="3" xfId="4" applyFont="1" applyFill="1" applyBorder="1" applyAlignment="1">
      <alignment horizontal="center" vertical="center"/>
    </xf>
    <xf numFmtId="3" fontId="15" fillId="4" borderId="3" xfId="0" applyNumberFormat="1" applyFont="1" applyFill="1" applyBorder="1"/>
    <xf numFmtId="174" fontId="15" fillId="3" borderId="11" xfId="4" applyNumberFormat="1" applyFont="1" applyFill="1" applyBorder="1"/>
    <xf numFmtId="174" fontId="15" fillId="3" borderId="7" xfId="4" applyNumberFormat="1" applyFont="1" applyFill="1" applyBorder="1"/>
    <xf numFmtId="174" fontId="15" fillId="4" borderId="4" xfId="4" applyNumberFormat="1" applyFont="1" applyFill="1" applyBorder="1" applyAlignment="1">
      <alignment horizontal="center"/>
    </xf>
    <xf numFmtId="174" fontId="15" fillId="4" borderId="5" xfId="4" applyNumberFormat="1" applyFont="1" applyFill="1" applyBorder="1" applyAlignment="1">
      <alignment horizontal="center"/>
    </xf>
    <xf numFmtId="176" fontId="15" fillId="4" borderId="0" xfId="4" applyNumberFormat="1" applyFont="1" applyFill="1" applyBorder="1"/>
    <xf numFmtId="4" fontId="15" fillId="4" borderId="6" xfId="12" applyNumberFormat="1" applyFont="1" applyFill="1" applyBorder="1"/>
    <xf numFmtId="176" fontId="15" fillId="4" borderId="6" xfId="4" applyNumberFormat="1" applyFont="1" applyFill="1" applyBorder="1"/>
    <xf numFmtId="0" fontId="15" fillId="4" borderId="4" xfId="15" applyFont="1" applyFill="1" applyBorder="1" applyAlignment="1">
      <alignment horizontal="center"/>
    </xf>
    <xf numFmtId="0" fontId="15" fillId="4" borderId="5" xfId="15" applyFont="1" applyFill="1" applyBorder="1" applyAlignment="1">
      <alignment horizontal="center"/>
    </xf>
    <xf numFmtId="0" fontId="15" fillId="4" borderId="3" xfId="15" applyFont="1" applyFill="1" applyBorder="1" applyAlignment="1">
      <alignment horizontal="center"/>
    </xf>
    <xf numFmtId="0" fontId="20" fillId="4" borderId="4" xfId="0" applyFont="1" applyFill="1" applyBorder="1" applyAlignment="1">
      <alignment horizontal="center"/>
    </xf>
    <xf numFmtId="171" fontId="20" fillId="5" borderId="12" xfId="0" applyNumberFormat="1" applyFont="1" applyFill="1" applyBorder="1"/>
    <xf numFmtId="171" fontId="20" fillId="5" borderId="11" xfId="0" applyNumberFormat="1" applyFont="1" applyFill="1" applyBorder="1"/>
    <xf numFmtId="3" fontId="20" fillId="4" borderId="0" xfId="12" applyNumberFormat="1" applyFont="1" applyFill="1" applyBorder="1"/>
    <xf numFmtId="171" fontId="20" fillId="4" borderId="0" xfId="0" applyNumberFormat="1" applyFont="1" applyFill="1" applyBorder="1"/>
    <xf numFmtId="164" fontId="20" fillId="4" borderId="9" xfId="4" applyFont="1" applyFill="1" applyBorder="1"/>
    <xf numFmtId="3" fontId="20" fillId="4" borderId="4" xfId="12" applyNumberFormat="1" applyFont="1" applyFill="1" applyBorder="1" applyAlignment="1">
      <alignment horizontal="right"/>
    </xf>
    <xf numFmtId="171" fontId="20" fillId="4" borderId="5" xfId="0" applyNumberFormat="1" applyFont="1" applyFill="1" applyBorder="1"/>
    <xf numFmtId="0" fontId="15" fillId="8" borderId="0" xfId="0" applyFont="1" applyFill="1" applyBorder="1" applyAlignment="1">
      <alignment horizontal="right"/>
    </xf>
    <xf numFmtId="178" fontId="15" fillId="7" borderId="14" xfId="4" applyNumberFormat="1" applyFont="1" applyFill="1" applyBorder="1"/>
    <xf numFmtId="3" fontId="20" fillId="4" borderId="0" xfId="0" applyNumberFormat="1" applyFont="1" applyFill="1"/>
    <xf numFmtId="164" fontId="15" fillId="7" borderId="17" xfId="4" applyFont="1" applyFill="1" applyBorder="1"/>
    <xf numFmtId="166" fontId="15" fillId="7" borderId="14" xfId="0" applyNumberFormat="1" applyFont="1" applyFill="1" applyBorder="1" applyAlignment="1">
      <alignment horizontal="center"/>
    </xf>
    <xf numFmtId="10" fontId="14" fillId="6" borderId="3" xfId="12" applyNumberFormat="1" applyFont="1" applyFill="1" applyBorder="1" applyAlignment="1">
      <alignment vertical="center"/>
    </xf>
    <xf numFmtId="164" fontId="14" fillId="6" borderId="4" xfId="4" applyFont="1" applyFill="1" applyBorder="1" applyAlignment="1">
      <alignment horizontal="center" vertical="center" wrapText="1"/>
    </xf>
    <xf numFmtId="174" fontId="25" fillId="4" borderId="0" xfId="4" applyNumberFormat="1" applyFont="1" applyFill="1" applyAlignment="1">
      <alignment horizontal="right"/>
    </xf>
    <xf numFmtId="164" fontId="14" fillId="6" borderId="5" xfId="4" applyFont="1" applyFill="1" applyBorder="1" applyAlignment="1">
      <alignment horizontal="center" vertical="top" wrapText="1"/>
    </xf>
    <xf numFmtId="164" fontId="15" fillId="4" borderId="0" xfId="4" applyFont="1" applyFill="1" applyAlignment="1">
      <alignment horizontal="center"/>
    </xf>
    <xf numFmtId="164" fontId="15" fillId="4" borderId="0" xfId="4" applyFont="1" applyFill="1" applyBorder="1" applyAlignment="1">
      <alignment horizontal="center"/>
    </xf>
    <xf numFmtId="164" fontId="15" fillId="4" borderId="0" xfId="4" applyFont="1" applyFill="1" applyBorder="1" applyAlignment="1">
      <alignment horizontal="left"/>
    </xf>
    <xf numFmtId="164" fontId="15" fillId="4" borderId="0" xfId="4" applyFont="1" applyFill="1" applyAlignment="1">
      <alignment horizontal="left"/>
    </xf>
    <xf numFmtId="164" fontId="16" fillId="4" borderId="0" xfId="4" applyFont="1" applyFill="1"/>
    <xf numFmtId="164" fontId="15" fillId="4" borderId="0" xfId="4" applyFont="1" applyFill="1" applyAlignment="1">
      <alignment horizontal="center" vertical="top" wrapText="1"/>
    </xf>
    <xf numFmtId="164" fontId="29" fillId="6" borderId="14" xfId="4" applyFont="1" applyFill="1" applyBorder="1" applyAlignment="1">
      <alignment horizontal="center"/>
    </xf>
    <xf numFmtId="164" fontId="14" fillId="6" borderId="14" xfId="4" applyFont="1" applyFill="1" applyBorder="1" applyAlignment="1">
      <alignment horizontal="center"/>
    </xf>
    <xf numFmtId="164" fontId="15" fillId="4" borderId="9" xfId="4" applyFont="1" applyFill="1" applyBorder="1"/>
    <xf numFmtId="164" fontId="30" fillId="4" borderId="5" xfId="4" applyFont="1" applyFill="1" applyBorder="1"/>
    <xf numFmtId="164" fontId="30" fillId="4" borderId="4" xfId="4" applyFont="1" applyFill="1" applyBorder="1"/>
    <xf numFmtId="164" fontId="30" fillId="4" borderId="0" xfId="4" applyFont="1" applyFill="1" applyBorder="1"/>
    <xf numFmtId="164" fontId="15" fillId="2" borderId="5" xfId="4" applyFont="1" applyFill="1" applyBorder="1"/>
    <xf numFmtId="164" fontId="15" fillId="2" borderId="0" xfId="4" applyFont="1" applyFill="1" applyBorder="1"/>
    <xf numFmtId="164" fontId="30" fillId="0" borderId="0" xfId="4" applyFont="1" applyFill="1" applyBorder="1"/>
    <xf numFmtId="164" fontId="15" fillId="0" borderId="9" xfId="4" applyFont="1" applyFill="1" applyBorder="1"/>
    <xf numFmtId="164" fontId="30" fillId="0" borderId="5" xfId="4" applyFont="1" applyFill="1" applyBorder="1"/>
    <xf numFmtId="164" fontId="15" fillId="0" borderId="5" xfId="4" applyFont="1" applyFill="1" applyBorder="1"/>
    <xf numFmtId="164" fontId="15" fillId="0" borderId="0" xfId="4" applyFont="1" applyFill="1"/>
    <xf numFmtId="164" fontId="30" fillId="4" borderId="3" xfId="4" applyFont="1" applyFill="1" applyBorder="1"/>
    <xf numFmtId="164" fontId="15" fillId="2" borderId="14" xfId="4" applyFont="1" applyFill="1" applyBorder="1"/>
    <xf numFmtId="164" fontId="15" fillId="4" borderId="0" xfId="4" applyFont="1" applyFill="1" applyBorder="1"/>
    <xf numFmtId="179" fontId="17" fillId="4" borderId="0" xfId="4" applyNumberFormat="1" applyFont="1" applyFill="1" applyAlignment="1">
      <alignment horizontal="left"/>
    </xf>
    <xf numFmtId="179" fontId="15" fillId="4" borderId="0" xfId="4" applyNumberFormat="1" applyFont="1" applyFill="1" applyAlignment="1">
      <alignment horizontal="left"/>
    </xf>
    <xf numFmtId="179" fontId="15" fillId="4" borderId="5" xfId="4" applyNumberFormat="1" applyFont="1" applyFill="1" applyBorder="1" applyAlignment="1">
      <alignment horizontal="center"/>
    </xf>
    <xf numFmtId="179" fontId="15" fillId="0" borderId="5" xfId="4" applyNumberFormat="1" applyFont="1" applyFill="1" applyBorder="1" applyAlignment="1">
      <alignment horizontal="center"/>
    </xf>
    <xf numFmtId="179" fontId="15" fillId="4" borderId="14" xfId="4" applyNumberFormat="1" applyFont="1" applyFill="1" applyBorder="1" applyAlignment="1">
      <alignment horizontal="center"/>
    </xf>
    <xf numFmtId="179" fontId="15" fillId="4" borderId="0" xfId="4" applyNumberFormat="1" applyFont="1" applyFill="1" applyAlignment="1">
      <alignment horizontal="center"/>
    </xf>
    <xf numFmtId="164" fontId="15" fillId="0" borderId="0" xfId="4" applyFont="1" applyFill="1" applyBorder="1"/>
    <xf numFmtId="174" fontId="30" fillId="4" borderId="0" xfId="4" applyNumberFormat="1" applyFont="1" applyFill="1"/>
    <xf numFmtId="174" fontId="31" fillId="4" borderId="0" xfId="4" applyNumberFormat="1" applyFont="1" applyFill="1"/>
    <xf numFmtId="164" fontId="15" fillId="4" borderId="10" xfId="4" applyFont="1" applyFill="1" applyBorder="1"/>
    <xf numFmtId="164" fontId="15" fillId="4" borderId="16" xfId="4" applyFont="1" applyFill="1" applyBorder="1"/>
    <xf numFmtId="164" fontId="15" fillId="4" borderId="12" xfId="4" applyFont="1" applyFill="1" applyBorder="1"/>
    <xf numFmtId="164" fontId="15" fillId="4" borderId="11" xfId="4" applyFont="1" applyFill="1" applyBorder="1"/>
    <xf numFmtId="164" fontId="15" fillId="0" borderId="11" xfId="4" applyFont="1" applyFill="1" applyBorder="1"/>
    <xf numFmtId="164" fontId="15" fillId="4" borderId="13" xfId="4" applyFont="1" applyFill="1" applyBorder="1"/>
    <xf numFmtId="164" fontId="15" fillId="3" borderId="14" xfId="4" applyFont="1" applyFill="1" applyBorder="1"/>
    <xf numFmtId="164" fontId="30" fillId="4" borderId="11" xfId="4" applyFont="1" applyFill="1" applyBorder="1"/>
    <xf numFmtId="164" fontId="30" fillId="0" borderId="11" xfId="4" applyFont="1" applyFill="1" applyBorder="1"/>
    <xf numFmtId="164" fontId="29" fillId="6" borderId="4" xfId="4" applyFont="1" applyFill="1" applyBorder="1" applyAlignment="1">
      <alignment horizontal="center"/>
    </xf>
    <xf numFmtId="164" fontId="14" fillId="6" borderId="12" xfId="4" applyFont="1" applyFill="1" applyBorder="1" applyAlignment="1">
      <alignment horizontal="center"/>
    </xf>
    <xf numFmtId="164" fontId="30" fillId="4" borderId="0" xfId="4" applyFont="1" applyFill="1"/>
    <xf numFmtId="164" fontId="30" fillId="4" borderId="15" xfId="4" applyFont="1" applyFill="1" applyBorder="1"/>
    <xf numFmtId="164" fontId="15" fillId="3" borderId="0" xfId="4" applyFont="1" applyFill="1" applyBorder="1" applyAlignment="1">
      <alignment horizontal="center"/>
    </xf>
    <xf numFmtId="164" fontId="15" fillId="4" borderId="4" xfId="4" applyFont="1" applyFill="1" applyBorder="1" applyAlignment="1">
      <alignment horizontal="center"/>
    </xf>
    <xf numFmtId="164" fontId="15" fillId="4" borderId="3" xfId="4" applyFont="1" applyFill="1" applyBorder="1" applyAlignment="1">
      <alignment horizontal="center"/>
    </xf>
    <xf numFmtId="14" fontId="29" fillId="6" borderId="4" xfId="0" applyNumberFormat="1" applyFont="1" applyFill="1" applyBorder="1" applyAlignment="1">
      <alignment horizontal="center"/>
    </xf>
    <xf numFmtId="164" fontId="30" fillId="4" borderId="9" xfId="4" applyNumberFormat="1" applyFont="1" applyFill="1" applyBorder="1"/>
    <xf numFmtId="164" fontId="30" fillId="4" borderId="8" xfId="4" applyNumberFormat="1" applyFont="1" applyFill="1" applyBorder="1"/>
    <xf numFmtId="164" fontId="15" fillId="4" borderId="9" xfId="4" applyNumberFormat="1" applyFont="1" applyFill="1" applyBorder="1"/>
    <xf numFmtId="164" fontId="15" fillId="0" borderId="9" xfId="4" applyNumberFormat="1" applyFont="1" applyFill="1" applyBorder="1"/>
    <xf numFmtId="164" fontId="30" fillId="4" borderId="5" xfId="4" applyNumberFormat="1" applyFont="1" applyFill="1" applyBorder="1"/>
    <xf numFmtId="164" fontId="30" fillId="4" borderId="4" xfId="4" applyNumberFormat="1" applyFont="1" applyFill="1" applyBorder="1"/>
    <xf numFmtId="0" fontId="15" fillId="7" borderId="14" xfId="0" applyFont="1" applyFill="1" applyBorder="1" applyAlignment="1">
      <alignment horizontal="center"/>
    </xf>
    <xf numFmtId="0" fontId="21" fillId="10" borderId="0" xfId="18" applyFont="1" applyFill="1"/>
    <xf numFmtId="0" fontId="15" fillId="10" borderId="0" xfId="18" applyFont="1" applyFill="1"/>
    <xf numFmtId="0" fontId="25" fillId="10" borderId="0" xfId="18" applyFont="1" applyFill="1" applyAlignment="1">
      <alignment horizontal="right"/>
    </xf>
    <xf numFmtId="0" fontId="22" fillId="10" borderId="0" xfId="18" applyFont="1" applyFill="1" applyAlignment="1">
      <alignment horizontal="right"/>
    </xf>
    <xf numFmtId="0" fontId="22" fillId="10" borderId="0" xfId="18" applyFont="1" applyFill="1"/>
    <xf numFmtId="0" fontId="34" fillId="4" borderId="0" xfId="19" applyFont="1" applyFill="1" applyBorder="1" applyAlignment="1">
      <alignment horizontal="left" vertical="top" wrapText="1"/>
    </xf>
    <xf numFmtId="0" fontId="34" fillId="4" borderId="0" xfId="19" applyFont="1" applyFill="1" applyBorder="1" applyAlignment="1">
      <alignment horizontal="left" vertical="top"/>
    </xf>
    <xf numFmtId="0" fontId="25" fillId="4" borderId="0" xfId="18" applyFont="1" applyFill="1" applyBorder="1"/>
    <xf numFmtId="0" fontId="25" fillId="4" borderId="0" xfId="18" applyFont="1" applyFill="1" applyAlignment="1">
      <alignment horizontal="right"/>
    </xf>
    <xf numFmtId="0" fontId="25" fillId="10" borderId="0" xfId="18" applyFont="1" applyFill="1"/>
    <xf numFmtId="0" fontId="26" fillId="6" borderId="0" xfId="18" applyFont="1" applyFill="1"/>
    <xf numFmtId="0" fontId="14" fillId="6" borderId="0" xfId="18" applyFont="1" applyFill="1"/>
    <xf numFmtId="0" fontId="32" fillId="6" borderId="0" xfId="18" applyFont="1" applyFill="1" applyAlignment="1">
      <alignment horizontal="center"/>
    </xf>
    <xf numFmtId="0" fontId="34" fillId="4" borderId="0" xfId="19" applyFont="1" applyFill="1" applyBorder="1" applyAlignment="1">
      <alignment horizontal="left" vertical="center" wrapText="1"/>
    </xf>
    <xf numFmtId="0" fontId="34" fillId="4" borderId="0" xfId="19" applyFont="1" applyFill="1" applyBorder="1" applyAlignment="1">
      <alignment horizontal="left" vertical="center"/>
    </xf>
    <xf numFmtId="164" fontId="25" fillId="4" borderId="0" xfId="4" applyFont="1" applyFill="1" applyBorder="1" applyAlignment="1">
      <alignment vertical="center"/>
    </xf>
    <xf numFmtId="164" fontId="25" fillId="12" borderId="0" xfId="4" applyFont="1" applyFill="1" applyBorder="1" applyAlignment="1">
      <alignment vertical="center"/>
    </xf>
    <xf numFmtId="0" fontId="25" fillId="10" borderId="0" xfId="18" applyFont="1" applyFill="1" applyAlignment="1">
      <alignment vertical="center"/>
    </xf>
    <xf numFmtId="164" fontId="25" fillId="12" borderId="0" xfId="4" applyFont="1" applyFill="1" applyBorder="1" applyAlignment="1">
      <alignment vertical="center" wrapText="1"/>
    </xf>
    <xf numFmtId="164" fontId="25" fillId="4" borderId="16" xfId="4" applyFont="1" applyFill="1" applyBorder="1" applyAlignment="1">
      <alignment vertical="center"/>
    </xf>
    <xf numFmtId="0" fontId="35" fillId="4" borderId="0" xfId="19" applyFont="1" applyFill="1" applyBorder="1" applyAlignment="1">
      <alignment horizontal="left" vertical="center"/>
    </xf>
    <xf numFmtId="164" fontId="27" fillId="4" borderId="0" xfId="4" applyFont="1" applyFill="1" applyBorder="1" applyAlignment="1">
      <alignment vertical="center"/>
    </xf>
    <xf numFmtId="164" fontId="36" fillId="4" borderId="0" xfId="4" applyFont="1" applyFill="1" applyBorder="1" applyAlignment="1">
      <alignment vertical="center"/>
    </xf>
    <xf numFmtId="0" fontId="26" fillId="6" borderId="0" xfId="18" applyFont="1" applyFill="1" applyAlignment="1">
      <alignment vertical="center"/>
    </xf>
    <xf numFmtId="0" fontId="14" fillId="6" borderId="0" xfId="18" applyFont="1" applyFill="1" applyAlignment="1">
      <alignment vertical="center"/>
    </xf>
    <xf numFmtId="0" fontId="32" fillId="6" borderId="0" xfId="18" applyFont="1" applyFill="1" applyAlignment="1">
      <alignment horizontal="center" vertical="center"/>
    </xf>
    <xf numFmtId="0" fontId="15" fillId="10" borderId="0" xfId="18" applyFont="1" applyFill="1" applyAlignment="1">
      <alignment vertical="center"/>
    </xf>
    <xf numFmtId="0" fontId="35" fillId="4" borderId="0" xfId="19" applyFont="1" applyFill="1" applyBorder="1" applyAlignment="1">
      <alignment horizontal="left" vertical="center" wrapText="1"/>
    </xf>
    <xf numFmtId="164" fontId="14" fillId="6" borderId="0" xfId="4" applyFont="1" applyFill="1" applyAlignment="1">
      <alignment vertical="center"/>
    </xf>
    <xf numFmtId="0" fontId="25" fillId="4" borderId="0" xfId="19" applyFont="1" applyFill="1" applyBorder="1" applyAlignment="1">
      <alignment horizontal="left" vertical="center" wrapText="1"/>
    </xf>
    <xf numFmtId="0" fontId="25" fillId="4" borderId="0" xfId="19" applyFont="1" applyFill="1" applyBorder="1" applyAlignment="1">
      <alignment horizontal="left" vertical="center"/>
    </xf>
    <xf numFmtId="0" fontId="25" fillId="4" borderId="0" xfId="18" applyFont="1" applyFill="1" applyAlignment="1">
      <alignment vertical="center"/>
    </xf>
    <xf numFmtId="174" fontId="25" fillId="4" borderId="0" xfId="4" applyNumberFormat="1" applyFont="1" applyFill="1" applyBorder="1" applyAlignment="1">
      <alignment vertical="center"/>
    </xf>
    <xf numFmtId="0" fontId="25" fillId="4" borderId="0" xfId="18" applyFont="1" applyFill="1" applyAlignment="1"/>
    <xf numFmtId="0" fontId="25" fillId="10" borderId="0" xfId="18" applyFont="1" applyFill="1" applyAlignment="1"/>
    <xf numFmtId="0" fontId="14" fillId="6" borderId="0" xfId="18" applyFont="1" applyFill="1" applyAlignment="1"/>
    <xf numFmtId="164" fontId="14" fillId="6" borderId="0" xfId="4" applyFont="1" applyFill="1"/>
    <xf numFmtId="164" fontId="25" fillId="4" borderId="0" xfId="4" applyFont="1" applyFill="1" applyBorder="1"/>
    <xf numFmtId="181" fontId="25" fillId="4" borderId="0" xfId="19" applyNumberFormat="1" applyFont="1" applyFill="1" applyBorder="1" applyAlignment="1">
      <alignment horizontal="left" vertical="top" wrapText="1"/>
    </xf>
    <xf numFmtId="0" fontId="25" fillId="4" borderId="0" xfId="19" applyFont="1" applyFill="1" applyBorder="1" applyAlignment="1">
      <alignment horizontal="left" vertical="top"/>
    </xf>
    <xf numFmtId="164" fontId="25" fillId="4" borderId="0" xfId="4" applyFont="1" applyFill="1" applyBorder="1" applyAlignment="1">
      <alignment horizontal="right"/>
    </xf>
    <xf numFmtId="0" fontId="25" fillId="4" borderId="0" xfId="19" applyFont="1" applyFill="1" applyBorder="1" applyAlignment="1">
      <alignment horizontal="left" vertical="top" wrapText="1"/>
    </xf>
    <xf numFmtId="0" fontId="25" fillId="4" borderId="18" xfId="19" applyFont="1" applyFill="1" applyBorder="1" applyAlignment="1">
      <alignment horizontal="left" vertical="top" wrapText="1"/>
    </xf>
    <xf numFmtId="0" fontId="25" fillId="4" borderId="18" xfId="19" applyFont="1" applyFill="1" applyBorder="1" applyAlignment="1">
      <alignment horizontal="left" vertical="top"/>
    </xf>
    <xf numFmtId="164" fontId="25" fillId="4" borderId="18" xfId="4" applyFont="1" applyFill="1" applyBorder="1"/>
    <xf numFmtId="0" fontId="38" fillId="4" borderId="0" xfId="19" applyFont="1" applyFill="1" applyBorder="1" applyAlignment="1">
      <alignment horizontal="left" vertical="top"/>
    </xf>
    <xf numFmtId="174" fontId="25" fillId="8" borderId="0" xfId="0" applyNumberFormat="1" applyFont="1" applyFill="1"/>
    <xf numFmtId="174" fontId="27" fillId="4" borderId="0" xfId="4" applyNumberFormat="1" applyFont="1" applyFill="1" applyAlignment="1">
      <alignment horizontal="center"/>
    </xf>
    <xf numFmtId="0" fontId="29" fillId="6" borderId="4" xfId="4" quotePrefix="1" applyNumberFormat="1" applyFont="1" applyFill="1" applyBorder="1" applyAlignment="1">
      <alignment horizontal="center"/>
    </xf>
    <xf numFmtId="0" fontId="14" fillId="6" borderId="5" xfId="0" applyFont="1" applyFill="1" applyBorder="1" applyAlignment="1">
      <alignment horizontal="center" vertical="center" wrapText="1"/>
    </xf>
    <xf numFmtId="0" fontId="27" fillId="3" borderId="19" xfId="0" applyFont="1" applyFill="1" applyBorder="1" applyAlignment="1">
      <alignment horizontal="center" vertical="center" wrapText="1"/>
    </xf>
    <xf numFmtId="0" fontId="25" fillId="3" borderId="19" xfId="0" applyFont="1" applyFill="1" applyBorder="1" applyAlignment="1">
      <alignment horizontal="center" vertical="center" wrapText="1"/>
    </xf>
    <xf numFmtId="174" fontId="25" fillId="3" borderId="20" xfId="4" applyNumberFormat="1" applyFont="1" applyFill="1" applyBorder="1" applyAlignment="1">
      <alignment horizontal="center" vertical="center" wrapText="1"/>
    </xf>
    <xf numFmtId="0" fontId="25" fillId="3" borderId="21" xfId="0" applyFont="1" applyFill="1" applyBorder="1"/>
    <xf numFmtId="174" fontId="25" fillId="12" borderId="21" xfId="0" applyNumberFormat="1" applyFont="1" applyFill="1" applyBorder="1"/>
    <xf numFmtId="174" fontId="25" fillId="12" borderId="21" xfId="4" applyNumberFormat="1" applyFont="1" applyFill="1" applyBorder="1"/>
    <xf numFmtId="174" fontId="25" fillId="12" borderId="0" xfId="4" applyNumberFormat="1" applyFont="1" applyFill="1"/>
    <xf numFmtId="174" fontId="25" fillId="12" borderId="23" xfId="4" applyNumberFormat="1" applyFont="1" applyFill="1" applyBorder="1"/>
    <xf numFmtId="174" fontId="25" fillId="12" borderId="16" xfId="4" applyNumberFormat="1" applyFont="1" applyFill="1" applyBorder="1"/>
    <xf numFmtId="0" fontId="39" fillId="4" borderId="0" xfId="0" applyFont="1" applyFill="1" applyAlignment="1">
      <alignment horizontal="right"/>
    </xf>
    <xf numFmtId="0" fontId="0" fillId="4" borderId="0" xfId="0" applyFill="1"/>
    <xf numFmtId="0" fontId="17" fillId="4" borderId="0" xfId="0" applyFont="1" applyFill="1" applyAlignment="1">
      <alignment horizontal="left" vertical="center"/>
    </xf>
    <xf numFmtId="164" fontId="17" fillId="4" borderId="0" xfId="4" applyFont="1" applyFill="1" applyAlignment="1">
      <alignment vertical="center"/>
    </xf>
    <xf numFmtId="0" fontId="17" fillId="4" borderId="0" xfId="0" applyFont="1" applyFill="1" applyAlignment="1">
      <alignment vertical="center"/>
    </xf>
    <xf numFmtId="174" fontId="20" fillId="4" borderId="5" xfId="4" applyNumberFormat="1" applyFont="1" applyFill="1" applyBorder="1"/>
    <xf numFmtId="174" fontId="20" fillId="4" borderId="14" xfId="4" applyNumberFormat="1" applyFont="1" applyFill="1" applyBorder="1"/>
    <xf numFmtId="171" fontId="20" fillId="5" borderId="14" xfId="0" applyNumberFormat="1" applyFont="1" applyFill="1" applyBorder="1"/>
    <xf numFmtId="171" fontId="20" fillId="4" borderId="14" xfId="0" applyNumberFormat="1" applyFont="1" applyFill="1" applyBorder="1"/>
    <xf numFmtId="3" fontId="20" fillId="4" borderId="5" xfId="0" applyNumberFormat="1" applyFont="1" applyFill="1" applyBorder="1"/>
    <xf numFmtId="174" fontId="25" fillId="12" borderId="22" xfId="0" applyNumberFormat="1" applyFont="1" applyFill="1" applyBorder="1"/>
    <xf numFmtId="0" fontId="15" fillId="4" borderId="9" xfId="0" applyFont="1" applyFill="1" applyBorder="1" applyAlignment="1">
      <alignment horizontal="left"/>
    </xf>
    <xf numFmtId="0" fontId="15" fillId="4" borderId="10" xfId="0" applyFont="1" applyFill="1" applyBorder="1" applyAlignment="1">
      <alignment horizontal="left"/>
    </xf>
    <xf numFmtId="3" fontId="15" fillId="3" borderId="13" xfId="12" applyNumberFormat="1" applyFont="1" applyFill="1" applyBorder="1"/>
    <xf numFmtId="3" fontId="15" fillId="3" borderId="0" xfId="0" applyNumberFormat="1" applyFont="1" applyFill="1" applyBorder="1"/>
    <xf numFmtId="0" fontId="15" fillId="4" borderId="8" xfId="0" applyFont="1" applyFill="1" applyBorder="1" applyAlignment="1">
      <alignment horizontal="left"/>
    </xf>
    <xf numFmtId="3" fontId="15" fillId="4" borderId="12" xfId="12" applyNumberFormat="1" applyFont="1" applyFill="1" applyBorder="1"/>
    <xf numFmtId="3" fontId="15" fillId="4" borderId="11" xfId="12" applyNumberFormat="1" applyFont="1" applyFill="1" applyBorder="1"/>
    <xf numFmtId="3" fontId="15" fillId="4" borderId="13" xfId="12" applyNumberFormat="1" applyFont="1" applyFill="1" applyBorder="1"/>
    <xf numFmtId="3" fontId="15" fillId="3" borderId="4" xfId="0" applyNumberFormat="1" applyFont="1" applyFill="1" applyBorder="1"/>
    <xf numFmtId="3" fontId="15" fillId="3" borderId="5" xfId="0" applyNumberFormat="1" applyFont="1" applyFill="1" applyBorder="1"/>
    <xf numFmtId="3" fontId="15" fillId="3" borderId="3" xfId="12" applyNumberFormat="1" applyFont="1" applyFill="1" applyBorder="1"/>
    <xf numFmtId="3" fontId="15" fillId="3" borderId="14" xfId="12" applyNumberFormat="1" applyFont="1" applyFill="1" applyBorder="1"/>
    <xf numFmtId="0" fontId="14" fillId="6" borderId="5" xfId="0" applyFont="1" applyFill="1" applyBorder="1" applyAlignment="1">
      <alignment horizontal="center" vertical="center"/>
    </xf>
    <xf numFmtId="170" fontId="15" fillId="8" borderId="0" xfId="0" applyNumberFormat="1" applyFont="1" applyFill="1"/>
    <xf numFmtId="174" fontId="15" fillId="4" borderId="17" xfId="4" applyNumberFormat="1" applyFont="1" applyFill="1" applyBorder="1" applyAlignment="1">
      <alignment horizontal="center"/>
    </xf>
    <xf numFmtId="171" fontId="15" fillId="4" borderId="3" xfId="0" applyNumberFormat="1" applyFont="1" applyFill="1" applyBorder="1"/>
    <xf numFmtId="171" fontId="20" fillId="4" borderId="3" xfId="0" applyNumberFormat="1" applyFont="1" applyFill="1" applyBorder="1"/>
    <xf numFmtId="175" fontId="15" fillId="4" borderId="0" xfId="4" applyNumberFormat="1" applyFont="1" applyFill="1"/>
    <xf numFmtId="171" fontId="20" fillId="5" borderId="7" xfId="0" applyNumberFormat="1" applyFont="1" applyFill="1" applyBorder="1"/>
    <xf numFmtId="174" fontId="15" fillId="7" borderId="14" xfId="4" applyNumberFormat="1" applyFont="1" applyFill="1" applyBorder="1" applyAlignment="1">
      <alignment horizontal="center"/>
    </xf>
    <xf numFmtId="166" fontId="14" fillId="6" borderId="14" xfId="12" applyNumberFormat="1" applyFont="1" applyFill="1" applyBorder="1" applyAlignment="1">
      <alignment vertical="center" wrapText="1"/>
    </xf>
    <xf numFmtId="166" fontId="14" fillId="6" borderId="14" xfId="12" applyNumberFormat="1" applyFont="1" applyFill="1" applyBorder="1" applyAlignment="1">
      <alignment horizontal="center" vertical="center" wrapText="1"/>
    </xf>
    <xf numFmtId="174" fontId="15" fillId="4" borderId="17" xfId="4" applyNumberFormat="1" applyFont="1" applyFill="1" applyBorder="1"/>
    <xf numFmtId="10" fontId="14" fillId="6" borderId="5" xfId="12" applyNumberFormat="1" applyFont="1" applyFill="1" applyBorder="1" applyAlignment="1">
      <alignment vertical="center"/>
    </xf>
    <xf numFmtId="0" fontId="15" fillId="7" borderId="8" xfId="0" applyFont="1" applyFill="1" applyBorder="1" applyAlignment="1">
      <alignment horizontal="center"/>
    </xf>
    <xf numFmtId="0" fontId="15" fillId="7" borderId="15" xfId="0" applyFont="1" applyFill="1" applyBorder="1" applyAlignment="1">
      <alignment horizontal="center"/>
    </xf>
    <xf numFmtId="0" fontId="15" fillId="7" borderId="12" xfId="0" applyFont="1" applyFill="1" applyBorder="1" applyAlignment="1">
      <alignment horizontal="center"/>
    </xf>
    <xf numFmtId="0" fontId="15" fillId="8" borderId="9" xfId="0" quotePrefix="1" applyFont="1" applyFill="1" applyBorder="1"/>
    <xf numFmtId="0" fontId="15" fillId="8" borderId="0" xfId="0" quotePrefix="1" applyFont="1" applyFill="1" applyBorder="1"/>
    <xf numFmtId="0" fontId="15" fillId="8" borderId="11" xfId="0" quotePrefix="1" applyFont="1" applyFill="1" applyBorder="1"/>
    <xf numFmtId="0" fontId="15" fillId="8" borderId="10" xfId="0" quotePrefix="1" applyFont="1" applyFill="1" applyBorder="1"/>
    <xf numFmtId="0" fontId="15" fillId="8" borderId="16" xfId="0" quotePrefix="1" applyFont="1" applyFill="1" applyBorder="1"/>
    <xf numFmtId="0" fontId="15" fillId="8" borderId="13" xfId="0" quotePrefix="1" applyFont="1" applyFill="1" applyBorder="1"/>
    <xf numFmtId="0" fontId="15" fillId="7" borderId="14" xfId="0" applyFont="1" applyFill="1" applyBorder="1" applyAlignment="1">
      <alignment horizontal="center"/>
    </xf>
    <xf numFmtId="3" fontId="15" fillId="8" borderId="8" xfId="0" applyNumberFormat="1" applyFont="1" applyFill="1" applyBorder="1" applyAlignment="1">
      <alignment horizontal="center" wrapText="1"/>
    </xf>
    <xf numFmtId="3" fontId="15" fillId="8" borderId="12" xfId="0" applyNumberFormat="1" applyFont="1" applyFill="1" applyBorder="1" applyAlignment="1">
      <alignment horizontal="center" wrapText="1"/>
    </xf>
    <xf numFmtId="3" fontId="15" fillId="8" borderId="10" xfId="0" applyNumberFormat="1" applyFont="1" applyFill="1" applyBorder="1" applyAlignment="1">
      <alignment horizontal="center" wrapText="1"/>
    </xf>
    <xf numFmtId="3" fontId="15" fillId="8" borderId="13" xfId="0" applyNumberFormat="1" applyFont="1" applyFill="1" applyBorder="1" applyAlignment="1">
      <alignment horizontal="center" wrapText="1"/>
    </xf>
    <xf numFmtId="0" fontId="28" fillId="4" borderId="0" xfId="0" applyFont="1" applyFill="1" applyAlignment="1">
      <alignment horizontal="center"/>
    </xf>
    <xf numFmtId="15" fontId="23" fillId="9" borderId="0" xfId="0" applyNumberFormat="1" applyFont="1" applyFill="1" applyAlignment="1">
      <alignment horizontal="center"/>
    </xf>
    <xf numFmtId="0" fontId="40" fillId="4" borderId="0" xfId="0" applyFont="1" applyFill="1" applyAlignment="1">
      <alignment horizontal="left" vertical="top" wrapText="1"/>
    </xf>
    <xf numFmtId="0" fontId="22" fillId="11" borderId="0" xfId="18" applyFont="1" applyFill="1" applyAlignment="1">
      <alignment horizontal="center"/>
    </xf>
    <xf numFmtId="0" fontId="33" fillId="4" borderId="0" xfId="18" applyFont="1" applyFill="1" applyAlignment="1">
      <alignment horizontal="center"/>
    </xf>
    <xf numFmtId="0" fontId="25" fillId="4" borderId="0" xfId="19" applyFont="1" applyFill="1" applyBorder="1" applyAlignment="1">
      <alignment horizontal="left" vertical="top" wrapText="1"/>
    </xf>
    <xf numFmtId="180" fontId="25" fillId="4" borderId="0" xfId="19" applyNumberFormat="1" applyFont="1" applyFill="1" applyBorder="1" applyAlignment="1">
      <alignment horizontal="left" vertical="top" wrapText="1"/>
    </xf>
    <xf numFmtId="164" fontId="14" fillId="6" borderId="4" xfId="4" applyFont="1" applyFill="1" applyBorder="1" applyAlignment="1">
      <alignment horizontal="center" vertical="center" textRotation="90" wrapText="1"/>
    </xf>
    <xf numFmtId="164" fontId="14" fillId="6" borderId="3" xfId="4" applyFont="1" applyFill="1" applyBorder="1" applyAlignment="1">
      <alignment horizontal="center" vertical="center" textRotation="90" wrapText="1"/>
    </xf>
    <xf numFmtId="174" fontId="29" fillId="6" borderId="4" xfId="4" applyNumberFormat="1" applyFont="1" applyFill="1" applyBorder="1" applyAlignment="1">
      <alignment horizontal="center" vertical="center" textRotation="90" wrapText="1"/>
    </xf>
    <xf numFmtId="174" fontId="29" fillId="6" borderId="3" xfId="4" applyNumberFormat="1" applyFont="1" applyFill="1" applyBorder="1" applyAlignment="1">
      <alignment horizontal="center" vertical="center" textRotation="90" wrapText="1"/>
    </xf>
    <xf numFmtId="174" fontId="29" fillId="6" borderId="5" xfId="4" applyNumberFormat="1" applyFont="1" applyFill="1" applyBorder="1" applyAlignment="1">
      <alignment horizontal="center" vertical="center" textRotation="90" wrapText="1"/>
    </xf>
    <xf numFmtId="164" fontId="29" fillId="6" borderId="4" xfId="4" applyFont="1" applyFill="1" applyBorder="1" applyAlignment="1">
      <alignment horizontal="center" vertical="center" textRotation="90" wrapText="1"/>
    </xf>
    <xf numFmtId="164" fontId="29" fillId="6" borderId="3" xfId="4" applyFont="1" applyFill="1" applyBorder="1" applyAlignment="1">
      <alignment horizontal="center" vertical="center" textRotation="90" wrapText="1"/>
    </xf>
    <xf numFmtId="174" fontId="29" fillId="6" borderId="8" xfId="4" applyNumberFormat="1" applyFont="1" applyFill="1" applyBorder="1" applyAlignment="1">
      <alignment horizontal="center" vertical="center" textRotation="90" wrapText="1"/>
    </xf>
    <xf numFmtId="174" fontId="29" fillId="6" borderId="10" xfId="4" applyNumberFormat="1" applyFont="1" applyFill="1" applyBorder="1" applyAlignment="1">
      <alignment horizontal="center" vertical="center" textRotation="90" wrapText="1"/>
    </xf>
    <xf numFmtId="174" fontId="29" fillId="6" borderId="12" xfId="4" applyNumberFormat="1" applyFont="1" applyFill="1" applyBorder="1" applyAlignment="1">
      <alignment horizontal="center" vertical="center" textRotation="90" wrapText="1"/>
    </xf>
    <xf numFmtId="174" fontId="29" fillId="6" borderId="13" xfId="4" applyNumberFormat="1" applyFont="1" applyFill="1" applyBorder="1" applyAlignment="1">
      <alignment horizontal="center" vertical="center" textRotation="90" wrapText="1"/>
    </xf>
    <xf numFmtId="179" fontId="14" fillId="6" borderId="4" xfId="4" applyNumberFormat="1" applyFont="1" applyFill="1" applyBorder="1" applyAlignment="1">
      <alignment horizontal="center" vertical="center" wrapText="1"/>
    </xf>
    <xf numFmtId="179" fontId="14" fillId="6" borderId="5" xfId="4" applyNumberFormat="1" applyFont="1" applyFill="1" applyBorder="1" applyAlignment="1">
      <alignment horizontal="center" vertical="center" wrapText="1"/>
    </xf>
    <xf numFmtId="179" fontId="14" fillId="6" borderId="3" xfId="4" applyNumberFormat="1" applyFont="1" applyFill="1" applyBorder="1" applyAlignment="1">
      <alignment horizontal="center" vertical="center" wrapText="1"/>
    </xf>
    <xf numFmtId="164" fontId="14" fillId="6" borderId="8" xfId="4" applyFont="1" applyFill="1" applyBorder="1" applyAlignment="1">
      <alignment horizontal="center" vertical="center" wrapText="1"/>
    </xf>
    <xf numFmtId="164" fontId="14" fillId="6" borderId="9" xfId="4" applyFont="1" applyFill="1" applyBorder="1" applyAlignment="1">
      <alignment horizontal="center" vertical="center" wrapText="1"/>
    </xf>
    <xf numFmtId="164" fontId="14" fillId="6" borderId="10" xfId="4" applyFont="1" applyFill="1" applyBorder="1" applyAlignment="1">
      <alignment horizontal="center" vertical="center" wrapText="1"/>
    </xf>
    <xf numFmtId="164" fontId="14" fillId="6" borderId="5" xfId="4" applyFont="1" applyFill="1" applyBorder="1" applyAlignment="1">
      <alignment horizontal="center" vertical="center" textRotation="90" wrapText="1"/>
    </xf>
    <xf numFmtId="164" fontId="14" fillId="6" borderId="12" xfId="4" applyFont="1" applyFill="1" applyBorder="1" applyAlignment="1">
      <alignment horizontal="center" vertical="center" textRotation="90" wrapText="1"/>
    </xf>
    <xf numFmtId="164" fontId="14" fillId="6" borderId="13" xfId="4" applyFont="1" applyFill="1" applyBorder="1" applyAlignment="1">
      <alignment horizontal="center" vertical="center" textRotation="90" wrapText="1"/>
    </xf>
    <xf numFmtId="3" fontId="29" fillId="6" borderId="4" xfId="0" applyNumberFormat="1" applyFont="1" applyFill="1" applyBorder="1" applyAlignment="1">
      <alignment horizontal="center" vertical="center" textRotation="90" wrapText="1"/>
    </xf>
    <xf numFmtId="0" fontId="29" fillId="6" borderId="3" xfId="0" applyFont="1" applyFill="1" applyBorder="1" applyAlignment="1">
      <alignment horizontal="center" vertical="center" textRotation="90" wrapText="1"/>
    </xf>
    <xf numFmtId="0" fontId="14" fillId="6" borderId="4" xfId="0" applyNumberFormat="1" applyFont="1" applyFill="1" applyBorder="1" applyAlignment="1">
      <alignment horizontal="center" vertical="center" wrapText="1"/>
    </xf>
    <xf numFmtId="0" fontId="14" fillId="6" borderId="5" xfId="0" applyNumberFormat="1" applyFont="1" applyFill="1" applyBorder="1" applyAlignment="1">
      <alignment horizontal="center" vertical="center" wrapText="1"/>
    </xf>
    <xf numFmtId="0" fontId="14" fillId="6" borderId="3" xfId="0" applyNumberFormat="1" applyFont="1" applyFill="1" applyBorder="1" applyAlignment="1">
      <alignment horizontal="center" vertical="center" wrapText="1"/>
    </xf>
    <xf numFmtId="3" fontId="14" fillId="6" borderId="4" xfId="0" applyNumberFormat="1" applyFont="1" applyFill="1" applyBorder="1" applyAlignment="1">
      <alignment horizontal="center" vertical="center" wrapText="1"/>
    </xf>
    <xf numFmtId="3" fontId="14" fillId="6" borderId="5" xfId="0" applyNumberFormat="1" applyFont="1" applyFill="1" applyBorder="1" applyAlignment="1">
      <alignment horizontal="center" vertical="center" wrapText="1"/>
    </xf>
    <xf numFmtId="3" fontId="14" fillId="6" borderId="3" xfId="0" applyNumberFormat="1" applyFont="1" applyFill="1" applyBorder="1" applyAlignment="1">
      <alignment horizontal="center" vertical="center" wrapText="1"/>
    </xf>
    <xf numFmtId="174" fontId="14" fillId="6" borderId="4" xfId="4" applyNumberFormat="1" applyFont="1" applyFill="1" applyBorder="1" applyAlignment="1">
      <alignment horizontal="center" vertical="center" textRotation="90" wrapText="1"/>
    </xf>
    <xf numFmtId="174" fontId="14" fillId="6" borderId="5" xfId="4" applyNumberFormat="1" applyFont="1" applyFill="1" applyBorder="1" applyAlignment="1">
      <alignment horizontal="center" vertical="center" textRotation="90" wrapText="1"/>
    </xf>
    <xf numFmtId="174" fontId="14" fillId="6" borderId="3" xfId="4" applyNumberFormat="1" applyFont="1" applyFill="1" applyBorder="1" applyAlignment="1">
      <alignment horizontal="center" vertical="center" textRotation="90" wrapText="1"/>
    </xf>
    <xf numFmtId="3" fontId="14" fillId="6" borderId="4" xfId="0" applyNumberFormat="1" applyFont="1" applyFill="1" applyBorder="1" applyAlignment="1">
      <alignment horizontal="center" vertical="center" textRotation="90" wrapText="1"/>
    </xf>
    <xf numFmtId="3" fontId="14" fillId="6" borderId="3" xfId="0" applyNumberFormat="1" applyFont="1" applyFill="1" applyBorder="1" applyAlignment="1">
      <alignment horizontal="center" vertical="center" textRotation="90" wrapText="1"/>
    </xf>
    <xf numFmtId="4" fontId="14" fillId="6" borderId="4" xfId="0" applyNumberFormat="1" applyFont="1" applyFill="1" applyBorder="1" applyAlignment="1">
      <alignment horizontal="center" vertical="center" textRotation="90" wrapText="1"/>
    </xf>
    <xf numFmtId="4" fontId="14" fillId="6" borderId="5" xfId="0" applyNumberFormat="1" applyFont="1" applyFill="1" applyBorder="1" applyAlignment="1">
      <alignment horizontal="center" vertical="center" textRotation="90" wrapText="1"/>
    </xf>
    <xf numFmtId="4" fontId="14" fillId="6" borderId="3" xfId="0" applyNumberFormat="1" applyFont="1" applyFill="1" applyBorder="1" applyAlignment="1">
      <alignment horizontal="center" vertical="center" textRotation="90" wrapText="1"/>
    </xf>
    <xf numFmtId="174" fontId="14" fillId="6" borderId="4" xfId="4" applyNumberFormat="1" applyFont="1" applyFill="1" applyBorder="1" applyAlignment="1">
      <alignment horizontal="center" vertical="center" wrapText="1"/>
    </xf>
    <xf numFmtId="174" fontId="14" fillId="6" borderId="5" xfId="4" applyNumberFormat="1" applyFont="1" applyFill="1" applyBorder="1" applyAlignment="1">
      <alignment horizontal="center" vertical="center" wrapText="1"/>
    </xf>
    <xf numFmtId="174" fontId="14" fillId="6" borderId="3" xfId="4" applyNumberFormat="1"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6" borderId="3" xfId="0" applyFont="1" applyFill="1" applyBorder="1" applyAlignment="1">
      <alignment horizontal="center" vertical="center" wrapText="1"/>
    </xf>
    <xf numFmtId="3" fontId="14" fillId="6" borderId="5" xfId="0" applyNumberFormat="1" applyFont="1" applyFill="1" applyBorder="1" applyAlignment="1">
      <alignment horizontal="center" vertical="center" textRotation="90" wrapText="1"/>
    </xf>
    <xf numFmtId="4" fontId="14" fillId="6" borderId="4" xfId="0" applyNumberFormat="1" applyFont="1" applyFill="1" applyBorder="1" applyAlignment="1">
      <alignment horizontal="center" vertical="center" wrapText="1"/>
    </xf>
    <xf numFmtId="4" fontId="14" fillId="6" borderId="5" xfId="0" applyNumberFormat="1" applyFont="1" applyFill="1" applyBorder="1" applyAlignment="1">
      <alignment horizontal="center" vertical="center" wrapText="1"/>
    </xf>
    <xf numFmtId="10" fontId="14" fillId="6" borderId="14" xfId="12" applyNumberFormat="1" applyFont="1" applyFill="1" applyBorder="1" applyAlignment="1">
      <alignment horizontal="center" vertical="center" wrapText="1"/>
    </xf>
    <xf numFmtId="0" fontId="14" fillId="6" borderId="17" xfId="0" applyFont="1" applyFill="1" applyBorder="1" applyAlignment="1">
      <alignment horizontal="center" vertical="center"/>
    </xf>
    <xf numFmtId="0" fontId="14" fillId="6" borderId="6" xfId="0" applyFont="1" applyFill="1" applyBorder="1" applyAlignment="1">
      <alignment horizontal="center" vertical="center"/>
    </xf>
    <xf numFmtId="0" fontId="14" fillId="6" borderId="7" xfId="0" applyFont="1" applyFill="1" applyBorder="1" applyAlignment="1">
      <alignment horizontal="center" vertical="center"/>
    </xf>
    <xf numFmtId="0" fontId="14" fillId="6" borderId="17"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17" xfId="0" applyFont="1" applyFill="1" applyBorder="1" applyAlignment="1">
      <alignment horizontal="center"/>
    </xf>
    <xf numFmtId="0" fontId="14" fillId="6" borderId="6" xfId="0" applyFont="1" applyFill="1" applyBorder="1" applyAlignment="1">
      <alignment horizontal="center"/>
    </xf>
    <xf numFmtId="0" fontId="14" fillId="6" borderId="7" xfId="0" applyFont="1" applyFill="1" applyBorder="1" applyAlignment="1">
      <alignment horizontal="center"/>
    </xf>
    <xf numFmtId="164" fontId="14" fillId="6" borderId="4" xfId="4" applyFont="1" applyFill="1" applyBorder="1" applyAlignment="1">
      <alignment horizontal="center" vertical="center" wrapText="1"/>
    </xf>
    <xf numFmtId="164" fontId="14" fillId="6" borderId="5" xfId="4" applyFont="1" applyFill="1" applyBorder="1" applyAlignment="1">
      <alignment horizontal="center" vertical="center" wrapText="1"/>
    </xf>
    <xf numFmtId="0" fontId="14" fillId="6" borderId="9" xfId="0" applyFont="1" applyFill="1" applyBorder="1" applyAlignment="1">
      <alignment horizontal="center" vertical="center" wrapText="1"/>
    </xf>
    <xf numFmtId="174" fontId="14" fillId="6" borderId="12" xfId="4" applyNumberFormat="1" applyFont="1" applyFill="1" applyBorder="1" applyAlignment="1">
      <alignment horizontal="center" vertical="center" wrapText="1"/>
    </xf>
    <xf numFmtId="174" fontId="14" fillId="6" borderId="13" xfId="4" applyNumberFormat="1" applyFont="1" applyFill="1" applyBorder="1" applyAlignment="1">
      <alignment horizontal="center" vertical="center" wrapText="1"/>
    </xf>
    <xf numFmtId="0" fontId="14" fillId="6" borderId="11" xfId="0" applyFont="1" applyFill="1" applyBorder="1" applyAlignment="1">
      <alignment horizontal="center" vertical="center" wrapText="1"/>
    </xf>
    <xf numFmtId="164" fontId="14" fillId="6" borderId="3" xfId="4" applyFont="1" applyFill="1" applyBorder="1" applyAlignment="1">
      <alignment horizontal="center" vertical="center" wrapText="1"/>
    </xf>
    <xf numFmtId="0" fontId="4" fillId="3" borderId="17" xfId="11" applyFont="1" applyFill="1" applyBorder="1" applyAlignment="1">
      <alignment horizontal="center"/>
    </xf>
    <xf numFmtId="0" fontId="4" fillId="3" borderId="6" xfId="11" applyFont="1" applyFill="1" applyBorder="1" applyAlignment="1">
      <alignment horizontal="center"/>
    </xf>
    <xf numFmtId="0" fontId="4" fillId="3" borderId="7" xfId="11" applyFont="1" applyFill="1" applyBorder="1" applyAlignment="1">
      <alignment horizontal="center"/>
    </xf>
    <xf numFmtId="166" fontId="14" fillId="6" borderId="4" xfId="12" applyNumberFormat="1" applyFont="1" applyFill="1" applyBorder="1" applyAlignment="1">
      <alignment horizontal="center" vertical="center" wrapText="1"/>
    </xf>
    <xf numFmtId="166" fontId="14" fillId="6" borderId="3" xfId="12" applyNumberFormat="1" applyFont="1" applyFill="1" applyBorder="1" applyAlignment="1">
      <alignment horizontal="center" vertical="center" wrapText="1"/>
    </xf>
    <xf numFmtId="0" fontId="14" fillId="6" borderId="4" xfId="15" applyFont="1" applyFill="1" applyBorder="1" applyAlignment="1">
      <alignment horizontal="center" vertical="center" wrapText="1"/>
    </xf>
    <xf numFmtId="0" fontId="14" fillId="6" borderId="3" xfId="15" applyFont="1" applyFill="1" applyBorder="1" applyAlignment="1">
      <alignment horizontal="center" vertical="center" wrapText="1"/>
    </xf>
    <xf numFmtId="0" fontId="14" fillId="6" borderId="8" xfId="15" applyFont="1" applyFill="1" applyBorder="1" applyAlignment="1">
      <alignment horizontal="center" vertical="center" wrapText="1"/>
    </xf>
    <xf numFmtId="0" fontId="14" fillId="6" borderId="10" xfId="15" applyFont="1" applyFill="1" applyBorder="1" applyAlignment="1">
      <alignment horizontal="center" vertical="center" wrapText="1"/>
    </xf>
    <xf numFmtId="0" fontId="14" fillId="4" borderId="9" xfId="0" applyFont="1" applyFill="1" applyBorder="1" applyAlignment="1">
      <alignment horizontal="center"/>
    </xf>
    <xf numFmtId="166" fontId="14" fillId="6" borderId="12" xfId="12" applyNumberFormat="1" applyFont="1" applyFill="1" applyBorder="1" applyAlignment="1">
      <alignment horizontal="center" vertical="center" wrapText="1"/>
    </xf>
    <xf numFmtId="166" fontId="14" fillId="6" borderId="13" xfId="12" applyNumberFormat="1" applyFont="1" applyFill="1" applyBorder="1" applyAlignment="1">
      <alignment horizontal="center" vertical="center" wrapText="1"/>
    </xf>
    <xf numFmtId="1" fontId="15" fillId="4" borderId="0" xfId="11" applyNumberFormat="1" applyFont="1" applyFill="1" applyAlignment="1">
      <alignment horizontal="left" vertical="center"/>
    </xf>
    <xf numFmtId="0" fontId="15" fillId="4" borderId="0" xfId="0" applyFont="1" applyFill="1" applyAlignment="1">
      <alignment vertical="center"/>
    </xf>
    <xf numFmtId="166" fontId="14" fillId="6" borderId="5" xfId="12" applyNumberFormat="1" applyFont="1" applyFill="1" applyBorder="1" applyAlignment="1">
      <alignment horizontal="center" vertical="center" wrapText="1"/>
    </xf>
    <xf numFmtId="166" fontId="14" fillId="6" borderId="15" xfId="12" applyNumberFormat="1" applyFont="1" applyFill="1" applyBorder="1" applyAlignment="1">
      <alignment horizontal="center" vertical="center" wrapText="1"/>
    </xf>
    <xf numFmtId="1" fontId="17" fillId="4" borderId="0" xfId="11" applyNumberFormat="1" applyFont="1" applyFill="1" applyAlignment="1">
      <alignment horizontal="left" vertical="center"/>
    </xf>
    <xf numFmtId="0" fontId="17" fillId="4" borderId="0" xfId="0" applyFont="1" applyFill="1" applyAlignment="1">
      <alignment vertical="center"/>
    </xf>
    <xf numFmtId="166" fontId="14" fillId="6" borderId="8" xfId="12" applyNumberFormat="1" applyFont="1" applyFill="1" applyBorder="1" applyAlignment="1">
      <alignment horizontal="center" vertical="center" wrapText="1"/>
    </xf>
  </cellXfs>
  <cellStyles count="30">
    <cellStyle name="cexColumnHeadings" xfId="1"/>
    <cellStyle name="cexReportTitle" xfId="2"/>
    <cellStyle name="cexTableEntry" xfId="3"/>
    <cellStyle name="Milliers" xfId="4" builtinId="3"/>
    <cellStyle name="Milliers 2" xfId="5"/>
    <cellStyle name="Milliers 3" xfId="6"/>
    <cellStyle name="Milliers 3 2" xfId="16"/>
    <cellStyle name="Milliers 3 2 2" xfId="20"/>
    <cellStyle name="Milliers 3 2 3" xfId="21"/>
    <cellStyle name="Milliers 3 3" xfId="22"/>
    <cellStyle name="Milliers 3 4" xfId="23"/>
    <cellStyle name="Milliers 4" xfId="14"/>
    <cellStyle name="Milliers 4 2" xfId="24"/>
    <cellStyle name="Normal" xfId="0" builtinId="0"/>
    <cellStyle name="Normal 2" xfId="7"/>
    <cellStyle name="Normal 2 2" xfId="8"/>
    <cellStyle name="Normal 2 3" xfId="9"/>
    <cellStyle name="Normal 3" xfId="10"/>
    <cellStyle name="Normal 3 2" xfId="17"/>
    <cellStyle name="Normal 3 2 2" xfId="25"/>
    <cellStyle name="Normal 3 2 3" xfId="26"/>
    <cellStyle name="Normal 3 3" xfId="27"/>
    <cellStyle name="Normal 3 4" xfId="28"/>
    <cellStyle name="Normal 4" xfId="15"/>
    <cellStyle name="Normal 4 2" xfId="29"/>
    <cellStyle name="Normal 5" xfId="18"/>
    <cellStyle name="Normal_3crit_2002-03.xls" xfId="11"/>
    <cellStyle name="Normal_Rendement impôts-2004-SJIC" xfId="19"/>
    <cellStyle name="Pourcentage" xfId="12" builtinId="5"/>
    <cellStyle name="Pourcentage 2"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F0"/>
  </sheetPr>
  <dimension ref="A1:L545"/>
  <sheetViews>
    <sheetView topLeftCell="A7" zoomScaleNormal="100" workbookViewId="0">
      <selection activeCell="A32" sqref="A32"/>
    </sheetView>
  </sheetViews>
  <sheetFormatPr baseColWidth="10" defaultColWidth="10.75" defaultRowHeight="15" x14ac:dyDescent="0.25"/>
  <cols>
    <col min="1" max="1" width="48" style="169" bestFit="1" customWidth="1"/>
    <col min="2" max="2" width="13.75" style="169" customWidth="1"/>
    <col min="3" max="3" width="16.625" style="169" customWidth="1"/>
    <col min="4" max="4" width="12.25" style="169" customWidth="1"/>
    <col min="5" max="5" width="11" style="169" bestFit="1" customWidth="1"/>
    <col min="6" max="6" width="12.125" style="169" bestFit="1" customWidth="1"/>
    <col min="7" max="7" width="12.5" style="169" bestFit="1" customWidth="1"/>
    <col min="8" max="8" width="12" style="169" bestFit="1" customWidth="1"/>
    <col min="9" max="10" width="12.125" style="169" bestFit="1" customWidth="1"/>
    <col min="11" max="11" width="14.375" style="169" bestFit="1" customWidth="1"/>
    <col min="12" max="16384" width="10.75" style="169"/>
  </cols>
  <sheetData>
    <row r="1" spans="1:9" ht="31.5" x14ac:dyDescent="0.5">
      <c r="A1" s="209" t="s">
        <v>384</v>
      </c>
    </row>
    <row r="4" spans="1:9" ht="21" x14ac:dyDescent="0.35">
      <c r="A4" s="188" t="s">
        <v>472</v>
      </c>
    </row>
    <row r="5" spans="1:9" x14ac:dyDescent="0.25">
      <c r="A5" s="169" t="s">
        <v>464</v>
      </c>
      <c r="B5" s="413">
        <v>2017</v>
      </c>
    </row>
    <row r="6" spans="1:9" x14ac:dyDescent="0.25">
      <c r="A6" s="169" t="s">
        <v>519</v>
      </c>
      <c r="B6" s="413">
        <v>2016</v>
      </c>
    </row>
    <row r="7" spans="1:9" x14ac:dyDescent="0.25">
      <c r="A7" s="169" t="s">
        <v>515</v>
      </c>
      <c r="B7" s="189">
        <v>41638</v>
      </c>
    </row>
    <row r="8" spans="1:9" x14ac:dyDescent="0.25">
      <c r="A8" s="169" t="s">
        <v>516</v>
      </c>
      <c r="B8" s="252">
        <v>2017</v>
      </c>
    </row>
    <row r="10" spans="1:9" ht="21" x14ac:dyDescent="0.35">
      <c r="A10" s="188" t="s">
        <v>473</v>
      </c>
      <c r="C10" s="171"/>
      <c r="D10" s="171"/>
    </row>
    <row r="11" spans="1:9" x14ac:dyDescent="0.25">
      <c r="A11" s="169" t="s">
        <v>458</v>
      </c>
      <c r="B11" s="190">
        <v>0.5</v>
      </c>
      <c r="C11" s="179"/>
      <c r="D11" s="179"/>
    </row>
    <row r="12" spans="1:9" x14ac:dyDescent="0.25">
      <c r="A12" s="169" t="s">
        <v>524</v>
      </c>
      <c r="B12" s="190">
        <v>0.3</v>
      </c>
      <c r="C12" s="180"/>
      <c r="D12" s="180"/>
      <c r="F12" s="176"/>
    </row>
    <row r="14" spans="1:9" ht="21" x14ac:dyDescent="0.35">
      <c r="A14" s="188" t="s">
        <v>474</v>
      </c>
    </row>
    <row r="15" spans="1:9" x14ac:dyDescent="0.25">
      <c r="B15" s="181" t="s">
        <v>300</v>
      </c>
      <c r="C15" s="181" t="s">
        <v>297</v>
      </c>
      <c r="D15" s="181" t="s">
        <v>298</v>
      </c>
      <c r="E15" s="181" t="s">
        <v>416</v>
      </c>
      <c r="G15" s="508" t="s">
        <v>545</v>
      </c>
      <c r="H15" s="509"/>
      <c r="I15" s="510"/>
    </row>
    <row r="16" spans="1:9" x14ac:dyDescent="0.25">
      <c r="A16" s="169" t="s">
        <v>523</v>
      </c>
      <c r="B16" s="191">
        <v>0.36</v>
      </c>
      <c r="C16" s="191">
        <v>0.46</v>
      </c>
      <c r="D16" s="191">
        <v>0.56000000000000005</v>
      </c>
      <c r="E16" s="191">
        <v>0.66</v>
      </c>
      <c r="G16" s="511" t="s">
        <v>543</v>
      </c>
      <c r="H16" s="512"/>
      <c r="I16" s="513"/>
    </row>
    <row r="17" spans="1:12" x14ac:dyDescent="0.25">
      <c r="A17" s="169" t="s">
        <v>475</v>
      </c>
      <c r="B17" s="191">
        <v>1.2</v>
      </c>
      <c r="C17" s="191">
        <v>1.5</v>
      </c>
      <c r="D17" s="191">
        <v>2</v>
      </c>
      <c r="E17" s="287">
        <v>3</v>
      </c>
      <c r="F17" s="171"/>
      <c r="G17" s="514" t="s">
        <v>544</v>
      </c>
      <c r="H17" s="515"/>
      <c r="I17" s="516"/>
    </row>
    <row r="18" spans="1:12" x14ac:dyDescent="0.25">
      <c r="F18" s="171"/>
      <c r="I18" s="171"/>
      <c r="J18" s="171"/>
      <c r="K18" s="171"/>
      <c r="L18" s="171"/>
    </row>
    <row r="19" spans="1:12" x14ac:dyDescent="0.25">
      <c r="B19" s="181" t="s">
        <v>596</v>
      </c>
      <c r="D19" s="181" t="s">
        <v>539</v>
      </c>
      <c r="E19" s="181" t="s">
        <v>541</v>
      </c>
      <c r="F19" s="288"/>
      <c r="I19" s="171"/>
      <c r="J19" s="171"/>
      <c r="K19" s="171"/>
      <c r="L19" s="171"/>
    </row>
    <row r="20" spans="1:12" x14ac:dyDescent="0.25">
      <c r="A20" s="169" t="s">
        <v>540</v>
      </c>
      <c r="B20" s="191">
        <v>0.65</v>
      </c>
      <c r="D20" s="191">
        <v>0.5</v>
      </c>
      <c r="E20" s="191">
        <v>0</v>
      </c>
      <c r="I20" s="171"/>
      <c r="J20" s="171"/>
      <c r="K20" s="171"/>
      <c r="L20" s="171"/>
    </row>
    <row r="21" spans="1:12" x14ac:dyDescent="0.25">
      <c r="E21" s="169" t="s">
        <v>542</v>
      </c>
      <c r="F21" s="171"/>
      <c r="I21" s="171"/>
      <c r="J21" s="171"/>
      <c r="K21" s="171"/>
      <c r="L21" s="171"/>
    </row>
    <row r="22" spans="1:12" x14ac:dyDescent="0.25">
      <c r="F22" s="171"/>
      <c r="I22" s="171"/>
      <c r="J22" s="171"/>
      <c r="K22" s="171"/>
      <c r="L22" s="171"/>
    </row>
    <row r="23" spans="1:12" ht="21" x14ac:dyDescent="0.35">
      <c r="A23" s="188" t="s">
        <v>476</v>
      </c>
      <c r="B23" s="171"/>
      <c r="C23" s="171"/>
      <c r="D23" s="171"/>
      <c r="E23" s="182"/>
      <c r="F23" s="172"/>
      <c r="I23" s="171"/>
      <c r="J23" s="171"/>
      <c r="K23" s="171"/>
      <c r="L23" s="173"/>
    </row>
    <row r="24" spans="1:12" x14ac:dyDescent="0.25">
      <c r="A24" s="193" t="s">
        <v>520</v>
      </c>
      <c r="B24" s="197">
        <v>0</v>
      </c>
      <c r="C24" s="197">
        <v>1000</v>
      </c>
      <c r="D24" s="197">
        <v>3000</v>
      </c>
      <c r="E24" s="197">
        <v>5000</v>
      </c>
      <c r="F24" s="197">
        <v>9000</v>
      </c>
      <c r="G24" s="197">
        <v>12000</v>
      </c>
      <c r="H24" s="197">
        <v>15000</v>
      </c>
      <c r="I24" s="183"/>
      <c r="J24" s="517" t="s">
        <v>545</v>
      </c>
      <c r="K24" s="517"/>
      <c r="L24" s="171"/>
    </row>
    <row r="25" spans="1:12" x14ac:dyDescent="0.25">
      <c r="A25" s="193"/>
      <c r="B25" s="197">
        <v>1000</v>
      </c>
      <c r="C25" s="197">
        <v>3000</v>
      </c>
      <c r="D25" s="197">
        <v>5000</v>
      </c>
      <c r="E25" s="197">
        <v>9000</v>
      </c>
      <c r="F25" s="197">
        <v>12000</v>
      </c>
      <c r="G25" s="197">
        <v>15000</v>
      </c>
      <c r="H25" s="197"/>
      <c r="I25" s="183"/>
      <c r="J25" s="518" t="s">
        <v>546</v>
      </c>
      <c r="K25" s="519"/>
      <c r="L25" s="171"/>
    </row>
    <row r="26" spans="1:12" x14ac:dyDescent="0.25">
      <c r="A26" s="194" t="s">
        <v>477</v>
      </c>
      <c r="B26" s="260">
        <v>100</v>
      </c>
      <c r="C26" s="260">
        <v>350</v>
      </c>
      <c r="D26" s="260">
        <v>500</v>
      </c>
      <c r="E26" s="260">
        <v>600</v>
      </c>
      <c r="F26" s="260">
        <v>850</v>
      </c>
      <c r="G26" s="260">
        <v>1000</v>
      </c>
      <c r="H26" s="260">
        <v>1050</v>
      </c>
      <c r="I26" s="184"/>
      <c r="J26" s="520"/>
      <c r="K26" s="521"/>
      <c r="L26" s="171"/>
    </row>
    <row r="27" spans="1:12" x14ac:dyDescent="0.25">
      <c r="A27" s="171" t="s">
        <v>459</v>
      </c>
      <c r="B27" s="277">
        <v>99.4</v>
      </c>
      <c r="C27" s="192"/>
      <c r="D27" s="192"/>
      <c r="E27" s="192"/>
      <c r="F27" s="192"/>
      <c r="G27" s="192"/>
      <c r="H27" s="192"/>
      <c r="I27" s="171"/>
      <c r="J27" s="171"/>
      <c r="K27" s="171"/>
      <c r="L27" s="171"/>
    </row>
    <row r="28" spans="1:12" x14ac:dyDescent="0.25">
      <c r="A28" s="171" t="s">
        <v>460</v>
      </c>
      <c r="B28" s="278">
        <v>98.2</v>
      </c>
      <c r="C28" s="192"/>
      <c r="D28" s="192"/>
      <c r="E28" s="192"/>
      <c r="F28" s="192"/>
      <c r="G28" s="192"/>
      <c r="H28" s="192"/>
      <c r="I28" s="171"/>
      <c r="J28" s="171"/>
      <c r="K28" s="171"/>
      <c r="L28" s="171"/>
    </row>
    <row r="29" spans="1:12" x14ac:dyDescent="0.25">
      <c r="A29" s="171" t="s">
        <v>461</v>
      </c>
      <c r="B29" s="279">
        <f>+B26/$B$27*$B$28</f>
        <v>98.792756539235413</v>
      </c>
      <c r="C29" s="186">
        <f t="shared" ref="C29:H29" si="0">+C26/$B$27*$B$28</f>
        <v>345.77464788732391</v>
      </c>
      <c r="D29" s="186">
        <f t="shared" si="0"/>
        <v>493.96378269617702</v>
      </c>
      <c r="E29" s="186">
        <f t="shared" si="0"/>
        <v>592.75653923541245</v>
      </c>
      <c r="F29" s="186">
        <f t="shared" si="0"/>
        <v>839.73843058350099</v>
      </c>
      <c r="G29" s="186">
        <f t="shared" si="0"/>
        <v>987.92756539235404</v>
      </c>
      <c r="H29" s="186">
        <f t="shared" si="0"/>
        <v>1037.3239436619717</v>
      </c>
      <c r="I29" s="171"/>
      <c r="J29" s="171"/>
      <c r="K29" s="171"/>
      <c r="L29" s="171"/>
    </row>
    <row r="31" spans="1:12" ht="21" x14ac:dyDescent="0.35">
      <c r="A31" s="188" t="s">
        <v>478</v>
      </c>
    </row>
    <row r="32" spans="1:12" x14ac:dyDescent="0.25">
      <c r="A32" s="169" t="s">
        <v>521</v>
      </c>
      <c r="B32" s="198">
        <v>0.27</v>
      </c>
    </row>
    <row r="34" spans="1:12" ht="21" x14ac:dyDescent="0.35">
      <c r="A34" s="188" t="s">
        <v>479</v>
      </c>
    </row>
    <row r="35" spans="1:12" x14ac:dyDescent="0.25">
      <c r="A35" s="169" t="s">
        <v>386</v>
      </c>
      <c r="C35" s="174"/>
    </row>
    <row r="36" spans="1:12" x14ac:dyDescent="0.25">
      <c r="A36" s="169" t="s">
        <v>429</v>
      </c>
      <c r="B36" s="251">
        <v>5078319.5541720632</v>
      </c>
      <c r="C36" s="105">
        <f>Synthèse!L315-Synthèse!F315</f>
        <v>450000.00000011921</v>
      </c>
      <c r="D36" s="196">
        <f>+'J) Plafonnement effort'!I314+'K) Plafonnement aide'!J314+'L) Plafonnement taux'!Q315</f>
        <v>5078319.5541717149</v>
      </c>
      <c r="L36" s="176"/>
    </row>
    <row r="37" spans="1:12" x14ac:dyDescent="0.25">
      <c r="A37" s="169" t="s">
        <v>522</v>
      </c>
      <c r="B37" s="251">
        <v>-450000</v>
      </c>
      <c r="C37" s="175"/>
      <c r="D37" s="176"/>
      <c r="L37" s="176"/>
    </row>
    <row r="38" spans="1:12" x14ac:dyDescent="0.25">
      <c r="G38" s="176"/>
      <c r="H38" s="177"/>
      <c r="L38" s="176"/>
    </row>
    <row r="39" spans="1:12" ht="21" x14ac:dyDescent="0.35">
      <c r="A39" s="188" t="s">
        <v>480</v>
      </c>
      <c r="G39" s="176"/>
      <c r="H39" s="177"/>
      <c r="L39" s="176"/>
    </row>
    <row r="40" spans="1:12" x14ac:dyDescent="0.25">
      <c r="A40" s="187"/>
      <c r="B40" s="200" t="s">
        <v>387</v>
      </c>
      <c r="C40" s="200" t="s">
        <v>385</v>
      </c>
      <c r="E40" s="185" t="s">
        <v>456</v>
      </c>
      <c r="F40" s="185"/>
      <c r="G40" s="202">
        <f>+'D) Ecrêtage'!M314</f>
        <v>35582677.91930794</v>
      </c>
      <c r="H40" s="204"/>
      <c r="I40" s="203" t="s">
        <v>457</v>
      </c>
      <c r="J40" s="185"/>
      <c r="K40" s="105">
        <f>+'I) Dépenses thématiques'!I314</f>
        <v>190323510.07011327</v>
      </c>
    </row>
    <row r="41" spans="1:12" x14ac:dyDescent="0.25">
      <c r="A41" s="169" t="s">
        <v>481</v>
      </c>
      <c r="B41" s="199">
        <v>8</v>
      </c>
      <c r="C41" s="181">
        <f>+H42</f>
        <v>0.7168290598227457</v>
      </c>
      <c r="E41" s="185" t="s">
        <v>547</v>
      </c>
      <c r="F41" s="185"/>
      <c r="G41" s="353">
        <v>4</v>
      </c>
      <c r="H41" s="319">
        <v>0.75</v>
      </c>
      <c r="I41" s="203" t="s">
        <v>220</v>
      </c>
      <c r="J41" s="185"/>
      <c r="K41" s="105">
        <f>+'I) Dépenses thématiques'!M314</f>
        <v>8232491.1506333705</v>
      </c>
    </row>
    <row r="42" spans="1:12" x14ac:dyDescent="0.25">
      <c r="A42" s="169" t="s">
        <v>525</v>
      </c>
      <c r="B42" s="199">
        <v>1</v>
      </c>
      <c r="C42" s="181">
        <f>+H42</f>
        <v>0.7168290598227457</v>
      </c>
      <c r="E42" s="185" t="s">
        <v>482</v>
      </c>
      <c r="F42" s="185"/>
      <c r="G42" s="201">
        <f>+G40*G41</f>
        <v>142330711.67723176</v>
      </c>
      <c r="H42" s="276">
        <f>IF((G42/K42)&gt;H41,H41,(G42/K42))</f>
        <v>0.7168290598227457</v>
      </c>
      <c r="I42" s="185" t="s">
        <v>143</v>
      </c>
      <c r="J42" s="185"/>
      <c r="K42" s="105">
        <f>SUM(K40:K41)</f>
        <v>198556001.22074664</v>
      </c>
    </row>
    <row r="43" spans="1:12" x14ac:dyDescent="0.25">
      <c r="E43" s="169" t="s">
        <v>548</v>
      </c>
    </row>
    <row r="44" spans="1:12" ht="21" x14ac:dyDescent="0.35">
      <c r="A44" s="188" t="s">
        <v>484</v>
      </c>
      <c r="H44" s="320"/>
    </row>
    <row r="46" spans="1:12" x14ac:dyDescent="0.25">
      <c r="A46" s="169" t="s">
        <v>554</v>
      </c>
      <c r="B46" s="285">
        <v>56.131296849291822</v>
      </c>
      <c r="H46" s="497"/>
    </row>
    <row r="47" spans="1:12" x14ac:dyDescent="0.25">
      <c r="A47" s="169" t="s">
        <v>526</v>
      </c>
      <c r="B47" s="284">
        <f>+B46+B63</f>
        <v>57.002438415899086</v>
      </c>
      <c r="C47" s="289" t="s">
        <v>550</v>
      </c>
      <c r="D47" s="354">
        <v>45</v>
      </c>
      <c r="E47" s="289" t="s">
        <v>553</v>
      </c>
      <c r="F47" s="354">
        <v>45</v>
      </c>
    </row>
    <row r="48" spans="1:12" x14ac:dyDescent="0.25">
      <c r="A48" s="169" t="s">
        <v>527</v>
      </c>
      <c r="B48" s="286">
        <v>-6.5</v>
      </c>
      <c r="C48" s="289" t="s">
        <v>550</v>
      </c>
      <c r="D48" s="354">
        <v>-6.5</v>
      </c>
      <c r="E48" s="289" t="s">
        <v>551</v>
      </c>
      <c r="F48" s="354">
        <v>8</v>
      </c>
    </row>
    <row r="49" spans="1:9" x14ac:dyDescent="0.25">
      <c r="A49" s="169" t="s">
        <v>555</v>
      </c>
      <c r="B49" s="351">
        <v>91.131296849291829</v>
      </c>
      <c r="C49" s="350"/>
      <c r="E49" s="350"/>
    </row>
    <row r="50" spans="1:9" x14ac:dyDescent="0.25">
      <c r="A50" s="169" t="s">
        <v>660</v>
      </c>
      <c r="B50" s="284">
        <f>+B49+B63</f>
        <v>92.002438415899093</v>
      </c>
    </row>
    <row r="51" spans="1:9" x14ac:dyDescent="0.25">
      <c r="A51" s="169" t="s">
        <v>536</v>
      </c>
      <c r="B51" s="283">
        <v>50</v>
      </c>
      <c r="C51" s="169" t="s">
        <v>556</v>
      </c>
      <c r="I51" s="175"/>
    </row>
    <row r="52" spans="1:9" x14ac:dyDescent="0.25">
      <c r="A52" s="169" t="s">
        <v>537</v>
      </c>
      <c r="B52" s="283">
        <v>85</v>
      </c>
    </row>
    <row r="54" spans="1:9" x14ac:dyDescent="0.25">
      <c r="A54" s="178"/>
      <c r="B54" s="170"/>
    </row>
    <row r="55" spans="1:9" ht="21" x14ac:dyDescent="0.35">
      <c r="A55" s="210" t="s">
        <v>483</v>
      </c>
      <c r="B55" s="171"/>
      <c r="E55" s="171"/>
    </row>
    <row r="56" spans="1:9" ht="45" x14ac:dyDescent="0.25">
      <c r="B56" s="208" t="s">
        <v>448</v>
      </c>
      <c r="C56" s="171"/>
      <c r="D56" s="171"/>
      <c r="E56" s="171"/>
    </row>
    <row r="57" spans="1:9" x14ac:dyDescent="0.25">
      <c r="A57" s="171" t="s">
        <v>597</v>
      </c>
      <c r="B57" s="195">
        <v>740601543</v>
      </c>
      <c r="C57" s="171"/>
      <c r="D57" s="171"/>
      <c r="E57" s="171"/>
    </row>
    <row r="58" spans="1:9" x14ac:dyDescent="0.25">
      <c r="A58" s="171" t="s">
        <v>598</v>
      </c>
      <c r="B58" s="195">
        <v>772630956</v>
      </c>
      <c r="C58" s="183"/>
      <c r="D58" s="171"/>
      <c r="E58" s="171"/>
    </row>
    <row r="59" spans="1:9" x14ac:dyDescent="0.25">
      <c r="A59" s="171" t="s">
        <v>599</v>
      </c>
      <c r="B59" s="195">
        <v>36375763.361832626</v>
      </c>
      <c r="C59" s="171"/>
      <c r="D59" s="171"/>
      <c r="E59" s="171"/>
    </row>
    <row r="60" spans="1:9" x14ac:dyDescent="0.25">
      <c r="A60" s="171" t="s">
        <v>600</v>
      </c>
      <c r="B60" s="195">
        <f>'B) D RI'!U316</f>
        <v>36767173.359367341</v>
      </c>
      <c r="C60" s="183"/>
      <c r="D60" s="171"/>
      <c r="E60" s="171"/>
    </row>
    <row r="61" spans="1:9" x14ac:dyDescent="0.25">
      <c r="A61" s="171" t="s">
        <v>449</v>
      </c>
      <c r="B61" s="206">
        <f>(B58-B57)*100/B57</f>
        <v>4.3247834551162958</v>
      </c>
      <c r="C61" s="171"/>
      <c r="D61" s="171"/>
      <c r="E61" s="171"/>
    </row>
    <row r="62" spans="1:9" x14ac:dyDescent="0.25">
      <c r="A62" s="171" t="s">
        <v>450</v>
      </c>
      <c r="B62" s="206">
        <f>(B60-B59)*100/B59</f>
        <v>1.0760186491244956</v>
      </c>
      <c r="C62" s="183"/>
      <c r="D62" s="171"/>
      <c r="E62" s="171"/>
    </row>
    <row r="63" spans="1:9" x14ac:dyDescent="0.25">
      <c r="A63" s="171" t="s">
        <v>451</v>
      </c>
      <c r="B63" s="207">
        <f>(B58-B57)/B60</f>
        <v>0.8711415666072605</v>
      </c>
      <c r="C63" s="205"/>
      <c r="D63" s="171"/>
      <c r="E63" s="171"/>
    </row>
    <row r="64" spans="1:9" x14ac:dyDescent="0.25">
      <c r="A64" s="171"/>
      <c r="B64" s="171"/>
      <c r="C64" s="171"/>
      <c r="D64" s="171"/>
      <c r="E64" s="171"/>
    </row>
    <row r="65" spans="1:7" ht="21" x14ac:dyDescent="0.35">
      <c r="A65" s="210" t="s">
        <v>509</v>
      </c>
      <c r="B65" s="171"/>
      <c r="C65" s="171"/>
      <c r="D65" s="171"/>
      <c r="E65" s="171"/>
    </row>
    <row r="66" spans="1:7" x14ac:dyDescent="0.25">
      <c r="A66" s="171" t="s">
        <v>510</v>
      </c>
      <c r="B66" s="242">
        <v>2</v>
      </c>
      <c r="C66" s="171">
        <v>2013</v>
      </c>
      <c r="D66" s="259">
        <v>62118300</v>
      </c>
      <c r="E66" s="169">
        <v>2016</v>
      </c>
      <c r="F66" s="259">
        <f>D68*101.5%</f>
        <v>64955763.00176248</v>
      </c>
      <c r="G66" s="303"/>
    </row>
    <row r="67" spans="1:7" x14ac:dyDescent="0.25">
      <c r="A67" s="171" t="s">
        <v>514</v>
      </c>
      <c r="B67" s="251">
        <v>65930099</v>
      </c>
      <c r="C67" s="171">
        <v>2014</v>
      </c>
      <c r="D67" s="259">
        <f>D66*101.5%</f>
        <v>63050074.499999993</v>
      </c>
      <c r="E67" s="171">
        <v>2017</v>
      </c>
      <c r="F67" s="215">
        <f>+F66*1.015</f>
        <v>65930099.446788907</v>
      </c>
    </row>
    <row r="68" spans="1:7" x14ac:dyDescent="0.25">
      <c r="A68" s="171"/>
      <c r="B68" s="171"/>
      <c r="C68" s="171">
        <v>2015</v>
      </c>
      <c r="D68" s="259">
        <f>D67*101.5%</f>
        <v>63995825.617499985</v>
      </c>
      <c r="E68" s="171">
        <v>2018</v>
      </c>
      <c r="F68" s="215">
        <f>+F67*101.5/100</f>
        <v>66919050.938490741</v>
      </c>
    </row>
    <row r="69" spans="1:7" ht="21" x14ac:dyDescent="0.35">
      <c r="A69" s="210" t="s">
        <v>488</v>
      </c>
    </row>
    <row r="70" spans="1:7" x14ac:dyDescent="0.25">
      <c r="A70" s="169" t="s">
        <v>266</v>
      </c>
      <c r="B70" s="169">
        <v>5401</v>
      </c>
    </row>
    <row r="71" spans="1:7" x14ac:dyDescent="0.25">
      <c r="A71" s="169" t="s">
        <v>267</v>
      </c>
      <c r="B71" s="169">
        <v>5402</v>
      </c>
    </row>
    <row r="72" spans="1:7" x14ac:dyDescent="0.25">
      <c r="A72" s="169" t="s">
        <v>117</v>
      </c>
      <c r="B72" s="169">
        <v>5403</v>
      </c>
    </row>
    <row r="73" spans="1:7" x14ac:dyDescent="0.25">
      <c r="A73" s="169" t="s">
        <v>118</v>
      </c>
      <c r="B73" s="169">
        <v>5404</v>
      </c>
    </row>
    <row r="74" spans="1:7" x14ac:dyDescent="0.25">
      <c r="A74" s="169" t="s">
        <v>119</v>
      </c>
      <c r="B74" s="169">
        <v>5405</v>
      </c>
    </row>
    <row r="75" spans="1:7" x14ac:dyDescent="0.25">
      <c r="A75" s="169" t="s">
        <v>120</v>
      </c>
      <c r="B75" s="169">
        <v>5406</v>
      </c>
    </row>
    <row r="76" spans="1:7" x14ac:dyDescent="0.25">
      <c r="A76" s="169" t="s">
        <v>121</v>
      </c>
      <c r="B76" s="169">
        <v>5407</v>
      </c>
    </row>
    <row r="77" spans="1:7" x14ac:dyDescent="0.25">
      <c r="A77" s="169" t="s">
        <v>122</v>
      </c>
      <c r="B77" s="169">
        <v>5408</v>
      </c>
    </row>
    <row r="78" spans="1:7" x14ac:dyDescent="0.25">
      <c r="A78" s="169" t="s">
        <v>123</v>
      </c>
      <c r="B78" s="169">
        <v>5409</v>
      </c>
    </row>
    <row r="79" spans="1:7" x14ac:dyDescent="0.25">
      <c r="A79" s="169" t="s">
        <v>135</v>
      </c>
      <c r="B79" s="169">
        <v>5410</v>
      </c>
    </row>
    <row r="80" spans="1:7" x14ac:dyDescent="0.25">
      <c r="A80" s="169" t="s">
        <v>136</v>
      </c>
      <c r="B80" s="169">
        <v>5411</v>
      </c>
    </row>
    <row r="81" spans="1:2" x14ac:dyDescent="0.25">
      <c r="A81" s="169" t="s">
        <v>137</v>
      </c>
      <c r="B81" s="169">
        <v>5412</v>
      </c>
    </row>
    <row r="82" spans="1:2" x14ac:dyDescent="0.25">
      <c r="A82" s="169" t="s">
        <v>138</v>
      </c>
      <c r="B82" s="169">
        <v>5413</v>
      </c>
    </row>
    <row r="83" spans="1:2" x14ac:dyDescent="0.25">
      <c r="A83" s="169" t="s">
        <v>139</v>
      </c>
      <c r="B83" s="169">
        <v>5414</v>
      </c>
    </row>
    <row r="84" spans="1:2" x14ac:dyDescent="0.25">
      <c r="A84" s="169" t="s">
        <v>77</v>
      </c>
      <c r="B84" s="169">
        <v>5415</v>
      </c>
    </row>
    <row r="85" spans="1:2" x14ac:dyDescent="0.25">
      <c r="A85" s="169" t="s">
        <v>78</v>
      </c>
      <c r="B85" s="169">
        <v>5421</v>
      </c>
    </row>
    <row r="86" spans="1:2" x14ac:dyDescent="0.25">
      <c r="A86" s="169" t="s">
        <v>79</v>
      </c>
      <c r="B86" s="169">
        <v>5422</v>
      </c>
    </row>
    <row r="87" spans="1:2" x14ac:dyDescent="0.25">
      <c r="A87" s="169" t="s">
        <v>80</v>
      </c>
      <c r="B87" s="169">
        <v>5423</v>
      </c>
    </row>
    <row r="88" spans="1:2" x14ac:dyDescent="0.25">
      <c r="A88" s="169" t="s">
        <v>81</v>
      </c>
      <c r="B88" s="169">
        <v>5424</v>
      </c>
    </row>
    <row r="89" spans="1:2" x14ac:dyDescent="0.25">
      <c r="A89" s="169" t="s">
        <v>82</v>
      </c>
      <c r="B89" s="169">
        <v>5425</v>
      </c>
    </row>
    <row r="90" spans="1:2" x14ac:dyDescent="0.25">
      <c r="A90" s="169" t="s">
        <v>76</v>
      </c>
      <c r="B90" s="169">
        <v>5426</v>
      </c>
    </row>
    <row r="91" spans="1:2" x14ac:dyDescent="0.25">
      <c r="A91" s="169" t="s">
        <v>348</v>
      </c>
      <c r="B91" s="169">
        <v>5427</v>
      </c>
    </row>
    <row r="92" spans="1:2" x14ac:dyDescent="0.25">
      <c r="A92" s="169" t="s">
        <v>349</v>
      </c>
      <c r="B92" s="169">
        <v>5428</v>
      </c>
    </row>
    <row r="93" spans="1:2" x14ac:dyDescent="0.25">
      <c r="A93" s="169" t="s">
        <v>369</v>
      </c>
      <c r="B93" s="169">
        <v>5429</v>
      </c>
    </row>
    <row r="94" spans="1:2" x14ac:dyDescent="0.25">
      <c r="A94" s="169" t="s">
        <v>370</v>
      </c>
      <c r="B94" s="169">
        <v>5430</v>
      </c>
    </row>
    <row r="95" spans="1:2" x14ac:dyDescent="0.25">
      <c r="A95" s="169" t="s">
        <v>371</v>
      </c>
      <c r="B95" s="169">
        <v>5431</v>
      </c>
    </row>
    <row r="96" spans="1:2" x14ac:dyDescent="0.25">
      <c r="A96" s="169" t="s">
        <v>372</v>
      </c>
      <c r="B96" s="169">
        <v>5432</v>
      </c>
    </row>
    <row r="97" spans="1:2" x14ac:dyDescent="0.25">
      <c r="A97" s="169" t="s">
        <v>373</v>
      </c>
      <c r="B97" s="169">
        <v>5434</v>
      </c>
    </row>
    <row r="98" spans="1:2" x14ac:dyDescent="0.25">
      <c r="A98" s="169" t="s">
        <v>350</v>
      </c>
      <c r="B98" s="169">
        <v>5435</v>
      </c>
    </row>
    <row r="99" spans="1:2" x14ac:dyDescent="0.25">
      <c r="A99" s="169" t="s">
        <v>351</v>
      </c>
      <c r="B99" s="169">
        <v>5436</v>
      </c>
    </row>
    <row r="100" spans="1:2" x14ac:dyDescent="0.25">
      <c r="A100" s="169" t="s">
        <v>352</v>
      </c>
      <c r="B100" s="169">
        <v>5437</v>
      </c>
    </row>
    <row r="101" spans="1:2" x14ac:dyDescent="0.25">
      <c r="A101" s="169" t="s">
        <v>353</v>
      </c>
      <c r="B101" s="169">
        <v>5451</v>
      </c>
    </row>
    <row r="102" spans="1:2" x14ac:dyDescent="0.25">
      <c r="A102" s="169" t="s">
        <v>354</v>
      </c>
      <c r="B102" s="169">
        <v>5456</v>
      </c>
    </row>
    <row r="103" spans="1:2" x14ac:dyDescent="0.25">
      <c r="A103" s="169" t="s">
        <v>355</v>
      </c>
      <c r="B103" s="169">
        <v>5458</v>
      </c>
    </row>
    <row r="104" spans="1:2" x14ac:dyDescent="0.25">
      <c r="A104" s="169" t="s">
        <v>440</v>
      </c>
      <c r="B104" s="169">
        <v>5464</v>
      </c>
    </row>
    <row r="105" spans="1:2" x14ac:dyDescent="0.25">
      <c r="A105" s="169" t="s">
        <v>356</v>
      </c>
      <c r="B105" s="169">
        <v>5471</v>
      </c>
    </row>
    <row r="106" spans="1:2" x14ac:dyDescent="0.25">
      <c r="A106" s="169" t="s">
        <v>357</v>
      </c>
      <c r="B106" s="169">
        <v>5472</v>
      </c>
    </row>
    <row r="107" spans="1:2" x14ac:dyDescent="0.25">
      <c r="A107" s="169" t="s">
        <v>214</v>
      </c>
      <c r="B107" s="169">
        <v>5473</v>
      </c>
    </row>
    <row r="108" spans="1:2" x14ac:dyDescent="0.25">
      <c r="A108" s="169" t="s">
        <v>215</v>
      </c>
      <c r="B108" s="169">
        <v>5474</v>
      </c>
    </row>
    <row r="109" spans="1:2" x14ac:dyDescent="0.25">
      <c r="A109" s="169" t="s">
        <v>379</v>
      </c>
      <c r="B109" s="169">
        <v>5475</v>
      </c>
    </row>
    <row r="110" spans="1:2" x14ac:dyDescent="0.25">
      <c r="A110" s="169" t="s">
        <v>380</v>
      </c>
      <c r="B110" s="169">
        <v>5476</v>
      </c>
    </row>
    <row r="111" spans="1:2" x14ac:dyDescent="0.25">
      <c r="A111" s="169" t="s">
        <v>381</v>
      </c>
      <c r="B111" s="169">
        <v>5477</v>
      </c>
    </row>
    <row r="112" spans="1:2" x14ac:dyDescent="0.25">
      <c r="A112" s="169" t="s">
        <v>246</v>
      </c>
      <c r="B112" s="169">
        <v>5478</v>
      </c>
    </row>
    <row r="113" spans="1:2" x14ac:dyDescent="0.25">
      <c r="A113" s="169" t="s">
        <v>247</v>
      </c>
      <c r="B113" s="169">
        <v>5479</v>
      </c>
    </row>
    <row r="114" spans="1:2" x14ac:dyDescent="0.25">
      <c r="A114" s="169" t="s">
        <v>248</v>
      </c>
      <c r="B114" s="169">
        <v>5480</v>
      </c>
    </row>
    <row r="115" spans="1:2" x14ac:dyDescent="0.25">
      <c r="A115" s="169" t="s">
        <v>249</v>
      </c>
      <c r="B115" s="169">
        <v>5481</v>
      </c>
    </row>
    <row r="116" spans="1:2" x14ac:dyDescent="0.25">
      <c r="A116" s="169" t="s">
        <v>250</v>
      </c>
      <c r="B116" s="169">
        <v>5482</v>
      </c>
    </row>
    <row r="117" spans="1:2" x14ac:dyDescent="0.25">
      <c r="A117" s="169" t="s">
        <v>145</v>
      </c>
      <c r="B117" s="169">
        <v>5483</v>
      </c>
    </row>
    <row r="118" spans="1:2" x14ac:dyDescent="0.25">
      <c r="A118" s="169" t="s">
        <v>146</v>
      </c>
      <c r="B118" s="169">
        <v>5484</v>
      </c>
    </row>
    <row r="119" spans="1:2" x14ac:dyDescent="0.25">
      <c r="A119" s="169" t="s">
        <v>147</v>
      </c>
      <c r="B119" s="169">
        <v>5485</v>
      </c>
    </row>
    <row r="120" spans="1:2" x14ac:dyDescent="0.25">
      <c r="A120" s="169" t="s">
        <v>5</v>
      </c>
      <c r="B120" s="169">
        <v>5486</v>
      </c>
    </row>
    <row r="121" spans="1:2" x14ac:dyDescent="0.25">
      <c r="A121" s="169" t="s">
        <v>6</v>
      </c>
      <c r="B121" s="169">
        <v>5487</v>
      </c>
    </row>
    <row r="122" spans="1:2" x14ac:dyDescent="0.25">
      <c r="A122" s="169" t="s">
        <v>7</v>
      </c>
      <c r="B122" s="169">
        <v>5488</v>
      </c>
    </row>
    <row r="123" spans="1:2" x14ac:dyDescent="0.25">
      <c r="A123" s="169" t="s">
        <v>8</v>
      </c>
      <c r="B123" s="169">
        <v>5489</v>
      </c>
    </row>
    <row r="124" spans="1:2" x14ac:dyDescent="0.25">
      <c r="A124" s="169" t="s">
        <v>9</v>
      </c>
      <c r="B124" s="169">
        <v>5490</v>
      </c>
    </row>
    <row r="125" spans="1:2" x14ac:dyDescent="0.25">
      <c r="A125" s="169" t="s">
        <v>169</v>
      </c>
      <c r="B125" s="169">
        <v>5491</v>
      </c>
    </row>
    <row r="126" spans="1:2" x14ac:dyDescent="0.25">
      <c r="A126" s="169" t="s">
        <v>170</v>
      </c>
      <c r="B126" s="169">
        <v>5492</v>
      </c>
    </row>
    <row r="127" spans="1:2" x14ac:dyDescent="0.25">
      <c r="A127" s="169" t="s">
        <v>171</v>
      </c>
      <c r="B127" s="169">
        <v>5493</v>
      </c>
    </row>
    <row r="128" spans="1:2" x14ac:dyDescent="0.25">
      <c r="A128" s="169" t="s">
        <v>172</v>
      </c>
      <c r="B128" s="169">
        <v>5494</v>
      </c>
    </row>
    <row r="129" spans="1:2" x14ac:dyDescent="0.25">
      <c r="A129" s="169" t="s">
        <v>173</v>
      </c>
      <c r="B129" s="169">
        <v>5495</v>
      </c>
    </row>
    <row r="130" spans="1:2" x14ac:dyDescent="0.25">
      <c r="A130" s="169" t="s">
        <v>174</v>
      </c>
      <c r="B130" s="169">
        <v>5496</v>
      </c>
    </row>
    <row r="131" spans="1:2" x14ac:dyDescent="0.25">
      <c r="A131" s="169" t="s">
        <v>175</v>
      </c>
      <c r="B131" s="169">
        <v>5497</v>
      </c>
    </row>
    <row r="132" spans="1:2" x14ac:dyDescent="0.25">
      <c r="A132" s="169" t="s">
        <v>176</v>
      </c>
      <c r="B132" s="169">
        <v>5498</v>
      </c>
    </row>
    <row r="133" spans="1:2" x14ac:dyDescent="0.25">
      <c r="A133" s="169" t="s">
        <v>177</v>
      </c>
      <c r="B133" s="169">
        <v>5499</v>
      </c>
    </row>
    <row r="134" spans="1:2" x14ac:dyDescent="0.25">
      <c r="A134" s="169" t="s">
        <v>178</v>
      </c>
      <c r="B134" s="169">
        <v>5500</v>
      </c>
    </row>
    <row r="135" spans="1:2" x14ac:dyDescent="0.25">
      <c r="A135" s="169" t="s">
        <v>179</v>
      </c>
      <c r="B135" s="169">
        <v>5501</v>
      </c>
    </row>
    <row r="136" spans="1:2" x14ac:dyDescent="0.25">
      <c r="A136" s="169" t="s">
        <v>180</v>
      </c>
      <c r="B136" s="169">
        <v>5503</v>
      </c>
    </row>
    <row r="137" spans="1:2" x14ac:dyDescent="0.25">
      <c r="A137" s="169" t="s">
        <v>181</v>
      </c>
      <c r="B137" s="169">
        <v>5511</v>
      </c>
    </row>
    <row r="138" spans="1:2" x14ac:dyDescent="0.25">
      <c r="A138" s="169" t="s">
        <v>182</v>
      </c>
      <c r="B138" s="169">
        <v>5512</v>
      </c>
    </row>
    <row r="139" spans="1:2" x14ac:dyDescent="0.25">
      <c r="A139" s="169" t="s">
        <v>183</v>
      </c>
      <c r="B139" s="169">
        <v>5513</v>
      </c>
    </row>
    <row r="140" spans="1:2" x14ac:dyDescent="0.25">
      <c r="A140" s="169" t="s">
        <v>184</v>
      </c>
      <c r="B140" s="169">
        <v>5514</v>
      </c>
    </row>
    <row r="141" spans="1:2" x14ac:dyDescent="0.25">
      <c r="A141" s="169" t="s">
        <v>185</v>
      </c>
      <c r="B141" s="169">
        <v>5515</v>
      </c>
    </row>
    <row r="142" spans="1:2" x14ac:dyDescent="0.25">
      <c r="A142" s="169" t="s">
        <v>186</v>
      </c>
      <c r="B142" s="169">
        <v>5516</v>
      </c>
    </row>
    <row r="143" spans="1:2" x14ac:dyDescent="0.25">
      <c r="A143" s="169" t="s">
        <v>187</v>
      </c>
      <c r="B143" s="169">
        <v>5518</v>
      </c>
    </row>
    <row r="144" spans="1:2" x14ac:dyDescent="0.25">
      <c r="A144" s="169" t="s">
        <v>188</v>
      </c>
      <c r="B144" s="169">
        <v>5520</v>
      </c>
    </row>
    <row r="145" spans="1:2" x14ac:dyDescent="0.25">
      <c r="A145" s="169" t="s">
        <v>189</v>
      </c>
      <c r="B145" s="169">
        <v>5521</v>
      </c>
    </row>
    <row r="146" spans="1:2" x14ac:dyDescent="0.25">
      <c r="A146" s="169" t="s">
        <v>190</v>
      </c>
      <c r="B146" s="169">
        <v>5522</v>
      </c>
    </row>
    <row r="147" spans="1:2" x14ac:dyDescent="0.25">
      <c r="A147" s="169" t="s">
        <v>191</v>
      </c>
      <c r="B147" s="169">
        <v>5523</v>
      </c>
    </row>
    <row r="148" spans="1:2" x14ac:dyDescent="0.25">
      <c r="A148" s="169" t="s">
        <v>192</v>
      </c>
      <c r="B148" s="169">
        <v>5527</v>
      </c>
    </row>
    <row r="149" spans="1:2" x14ac:dyDescent="0.25">
      <c r="A149" s="169" t="s">
        <v>193</v>
      </c>
      <c r="B149" s="169">
        <v>5529</v>
      </c>
    </row>
    <row r="150" spans="1:2" x14ac:dyDescent="0.25">
      <c r="A150" s="169" t="s">
        <v>194</v>
      </c>
      <c r="B150" s="169">
        <v>5530</v>
      </c>
    </row>
    <row r="151" spans="1:2" x14ac:dyDescent="0.25">
      <c r="A151" s="169" t="s">
        <v>195</v>
      </c>
      <c r="B151" s="169">
        <v>5531</v>
      </c>
    </row>
    <row r="152" spans="1:2" x14ac:dyDescent="0.25">
      <c r="A152" s="169" t="s">
        <v>196</v>
      </c>
      <c r="B152" s="169">
        <v>5533</v>
      </c>
    </row>
    <row r="153" spans="1:2" x14ac:dyDescent="0.25">
      <c r="A153" s="169" t="s">
        <v>197</v>
      </c>
      <c r="B153" s="169">
        <v>5534</v>
      </c>
    </row>
    <row r="154" spans="1:2" x14ac:dyDescent="0.25">
      <c r="A154" s="169" t="s">
        <v>34</v>
      </c>
      <c r="B154" s="169">
        <v>5535</v>
      </c>
    </row>
    <row r="155" spans="1:2" x14ac:dyDescent="0.25">
      <c r="A155" s="169" t="s">
        <v>35</v>
      </c>
      <c r="B155" s="169">
        <v>5537</v>
      </c>
    </row>
    <row r="156" spans="1:2" x14ac:dyDescent="0.25">
      <c r="A156" s="169" t="s">
        <v>36</v>
      </c>
      <c r="B156" s="169">
        <v>5539</v>
      </c>
    </row>
    <row r="157" spans="1:2" x14ac:dyDescent="0.25">
      <c r="A157" s="169" t="s">
        <v>442</v>
      </c>
      <c r="B157" s="169">
        <v>5540</v>
      </c>
    </row>
    <row r="158" spans="1:2" x14ac:dyDescent="0.25">
      <c r="A158" s="169" t="s">
        <v>441</v>
      </c>
      <c r="B158" s="169">
        <v>5541</v>
      </c>
    </row>
    <row r="159" spans="1:2" x14ac:dyDescent="0.25">
      <c r="A159" s="169" t="s">
        <v>37</v>
      </c>
      <c r="B159" s="169">
        <v>5551</v>
      </c>
    </row>
    <row r="160" spans="1:2" x14ac:dyDescent="0.25">
      <c r="A160" s="169" t="s">
        <v>38</v>
      </c>
      <c r="B160" s="169">
        <v>5552</v>
      </c>
    </row>
    <row r="161" spans="1:2" x14ac:dyDescent="0.25">
      <c r="A161" s="169" t="s">
        <v>39</v>
      </c>
      <c r="B161" s="169">
        <v>5553</v>
      </c>
    </row>
    <row r="162" spans="1:2" x14ac:dyDescent="0.25">
      <c r="A162" s="169" t="s">
        <v>40</v>
      </c>
      <c r="B162" s="169">
        <v>5554</v>
      </c>
    </row>
    <row r="163" spans="1:2" x14ac:dyDescent="0.25">
      <c r="A163" s="169" t="s">
        <v>41</v>
      </c>
      <c r="B163" s="169">
        <v>5555</v>
      </c>
    </row>
    <row r="164" spans="1:2" x14ac:dyDescent="0.25">
      <c r="A164" s="169" t="s">
        <v>42</v>
      </c>
      <c r="B164" s="169">
        <v>5556</v>
      </c>
    </row>
    <row r="165" spans="1:2" x14ac:dyDescent="0.25">
      <c r="A165" s="169" t="s">
        <v>43</v>
      </c>
      <c r="B165" s="169">
        <v>5557</v>
      </c>
    </row>
    <row r="166" spans="1:2" x14ac:dyDescent="0.25">
      <c r="A166" s="169" t="s">
        <v>44</v>
      </c>
      <c r="B166" s="169">
        <v>5559</v>
      </c>
    </row>
    <row r="167" spans="1:2" x14ac:dyDescent="0.25">
      <c r="A167" s="169" t="s">
        <v>45</v>
      </c>
      <c r="B167" s="169">
        <v>5560</v>
      </c>
    </row>
    <row r="168" spans="1:2" x14ac:dyDescent="0.25">
      <c r="A168" s="169" t="s">
        <v>46</v>
      </c>
      <c r="B168" s="169">
        <v>5561</v>
      </c>
    </row>
    <row r="169" spans="1:2" x14ac:dyDescent="0.25">
      <c r="A169" s="169" t="s">
        <v>47</v>
      </c>
      <c r="B169" s="169">
        <v>5562</v>
      </c>
    </row>
    <row r="170" spans="1:2" x14ac:dyDescent="0.25">
      <c r="A170" s="169" t="s">
        <v>290</v>
      </c>
      <c r="B170" s="169">
        <v>5563</v>
      </c>
    </row>
    <row r="171" spans="1:2" x14ac:dyDescent="0.25">
      <c r="A171" s="169" t="s">
        <v>291</v>
      </c>
      <c r="B171" s="169">
        <v>5564</v>
      </c>
    </row>
    <row r="172" spans="1:2" x14ac:dyDescent="0.25">
      <c r="A172" s="169" t="s">
        <v>292</v>
      </c>
      <c r="B172" s="169">
        <v>5565</v>
      </c>
    </row>
    <row r="173" spans="1:2" x14ac:dyDescent="0.25">
      <c r="A173" s="169" t="s">
        <v>293</v>
      </c>
      <c r="B173" s="169">
        <v>5566</v>
      </c>
    </row>
    <row r="174" spans="1:2" x14ac:dyDescent="0.25">
      <c r="A174" s="169" t="s">
        <v>124</v>
      </c>
      <c r="B174" s="169">
        <v>5568</v>
      </c>
    </row>
    <row r="175" spans="1:2" x14ac:dyDescent="0.25">
      <c r="A175" s="169" t="s">
        <v>439</v>
      </c>
      <c r="B175" s="169">
        <v>5571</v>
      </c>
    </row>
    <row r="176" spans="1:2" x14ac:dyDescent="0.25">
      <c r="A176" s="169" t="s">
        <v>395</v>
      </c>
      <c r="B176" s="169">
        <v>5581</v>
      </c>
    </row>
    <row r="177" spans="1:2" x14ac:dyDescent="0.25">
      <c r="A177" s="169" t="s">
        <v>396</v>
      </c>
      <c r="B177" s="169">
        <v>5582</v>
      </c>
    </row>
    <row r="178" spans="1:2" x14ac:dyDescent="0.25">
      <c r="A178" s="169" t="s">
        <v>397</v>
      </c>
      <c r="B178" s="169">
        <v>5583</v>
      </c>
    </row>
    <row r="179" spans="1:2" x14ac:dyDescent="0.25">
      <c r="A179" s="169" t="s">
        <v>398</v>
      </c>
      <c r="B179" s="169">
        <v>5584</v>
      </c>
    </row>
    <row r="180" spans="1:2" x14ac:dyDescent="0.25">
      <c r="A180" s="169" t="s">
        <v>399</v>
      </c>
      <c r="B180" s="169">
        <v>5585</v>
      </c>
    </row>
    <row r="181" spans="1:2" x14ac:dyDescent="0.25">
      <c r="A181" s="169" t="s">
        <v>125</v>
      </c>
      <c r="B181" s="169">
        <v>5586</v>
      </c>
    </row>
    <row r="182" spans="1:2" x14ac:dyDescent="0.25">
      <c r="A182" s="169" t="s">
        <v>126</v>
      </c>
      <c r="B182" s="169">
        <v>5587</v>
      </c>
    </row>
    <row r="183" spans="1:2" x14ac:dyDescent="0.25">
      <c r="A183" s="169" t="s">
        <v>127</v>
      </c>
      <c r="B183" s="169">
        <v>5588</v>
      </c>
    </row>
    <row r="184" spans="1:2" x14ac:dyDescent="0.25">
      <c r="A184" s="169" t="s">
        <v>128</v>
      </c>
      <c r="B184" s="169">
        <v>5589</v>
      </c>
    </row>
    <row r="185" spans="1:2" x14ac:dyDescent="0.25">
      <c r="A185" s="169" t="s">
        <v>129</v>
      </c>
      <c r="B185" s="169">
        <v>5590</v>
      </c>
    </row>
    <row r="186" spans="1:2" x14ac:dyDescent="0.25">
      <c r="A186" s="169" t="s">
        <v>402</v>
      </c>
      <c r="B186" s="169">
        <v>5591</v>
      </c>
    </row>
    <row r="187" spans="1:2" x14ac:dyDescent="0.25">
      <c r="A187" s="169" t="s">
        <v>221</v>
      </c>
      <c r="B187" s="169">
        <v>5592</v>
      </c>
    </row>
    <row r="188" spans="1:2" x14ac:dyDescent="0.25">
      <c r="A188" s="169" t="s">
        <v>304</v>
      </c>
      <c r="B188" s="169">
        <v>5601</v>
      </c>
    </row>
    <row r="189" spans="1:2" x14ac:dyDescent="0.25">
      <c r="A189" s="169" t="s">
        <v>148</v>
      </c>
      <c r="B189" s="169">
        <v>5604</v>
      </c>
    </row>
    <row r="190" spans="1:2" x14ac:dyDescent="0.25">
      <c r="A190" s="169" t="s">
        <v>149</v>
      </c>
      <c r="B190" s="169">
        <v>5606</v>
      </c>
    </row>
    <row r="191" spans="1:2" x14ac:dyDescent="0.25">
      <c r="A191" s="169" t="s">
        <v>306</v>
      </c>
      <c r="B191" s="169">
        <v>5607</v>
      </c>
    </row>
    <row r="192" spans="1:2" x14ac:dyDescent="0.25">
      <c r="A192" s="169" t="s">
        <v>133</v>
      </c>
      <c r="B192" s="169">
        <v>5609</v>
      </c>
    </row>
    <row r="193" spans="1:2" x14ac:dyDescent="0.25">
      <c r="A193" s="169" t="s">
        <v>134</v>
      </c>
      <c r="B193" s="169">
        <v>5610</v>
      </c>
    </row>
    <row r="194" spans="1:2" x14ac:dyDescent="0.25">
      <c r="A194" s="169" t="s">
        <v>303</v>
      </c>
      <c r="B194" s="169">
        <v>5611</v>
      </c>
    </row>
    <row r="195" spans="1:2" x14ac:dyDescent="0.25">
      <c r="A195" s="169" t="s">
        <v>438</v>
      </c>
      <c r="B195" s="169">
        <v>5613</v>
      </c>
    </row>
    <row r="196" spans="1:2" x14ac:dyDescent="0.25">
      <c r="A196" s="169" t="s">
        <v>411</v>
      </c>
      <c r="B196" s="169">
        <v>5621</v>
      </c>
    </row>
    <row r="197" spans="1:2" x14ac:dyDescent="0.25">
      <c r="A197" s="169" t="s">
        <v>152</v>
      </c>
      <c r="B197" s="169">
        <v>5622</v>
      </c>
    </row>
    <row r="198" spans="1:2" x14ac:dyDescent="0.25">
      <c r="A198" s="169" t="s">
        <v>153</v>
      </c>
      <c r="B198" s="169">
        <v>5623</v>
      </c>
    </row>
    <row r="199" spans="1:2" x14ac:dyDescent="0.25">
      <c r="A199" s="169" t="s">
        <v>453</v>
      </c>
      <c r="B199" s="169">
        <v>5624</v>
      </c>
    </row>
    <row r="200" spans="1:2" x14ac:dyDescent="0.25">
      <c r="A200" s="169" t="s">
        <v>307</v>
      </c>
      <c r="B200" s="169">
        <v>5625</v>
      </c>
    </row>
    <row r="201" spans="1:2" x14ac:dyDescent="0.25">
      <c r="A201" s="169" t="s">
        <v>260</v>
      </c>
      <c r="B201" s="169">
        <v>5627</v>
      </c>
    </row>
    <row r="202" spans="1:2" x14ac:dyDescent="0.25">
      <c r="A202" s="169" t="s">
        <v>261</v>
      </c>
      <c r="B202" s="169">
        <v>5628</v>
      </c>
    </row>
    <row r="203" spans="1:2" x14ac:dyDescent="0.25">
      <c r="A203" s="169" t="s">
        <v>156</v>
      </c>
      <c r="B203" s="169">
        <v>5629</v>
      </c>
    </row>
    <row r="204" spans="1:2" x14ac:dyDescent="0.25">
      <c r="A204" s="169" t="s">
        <v>157</v>
      </c>
      <c r="B204" s="169">
        <v>5631</v>
      </c>
    </row>
    <row r="205" spans="1:2" x14ac:dyDescent="0.25">
      <c r="A205" s="169" t="s">
        <v>158</v>
      </c>
      <c r="B205" s="169">
        <v>5632</v>
      </c>
    </row>
    <row r="206" spans="1:2" x14ac:dyDescent="0.25">
      <c r="A206" s="169" t="s">
        <v>159</v>
      </c>
      <c r="B206" s="169">
        <v>5633</v>
      </c>
    </row>
    <row r="207" spans="1:2" x14ac:dyDescent="0.25">
      <c r="A207" s="169" t="s">
        <v>160</v>
      </c>
      <c r="B207" s="169">
        <v>5634</v>
      </c>
    </row>
    <row r="208" spans="1:2" x14ac:dyDescent="0.25">
      <c r="A208" s="169" t="s">
        <v>161</v>
      </c>
      <c r="B208" s="169">
        <v>5635</v>
      </c>
    </row>
    <row r="209" spans="1:2" x14ac:dyDescent="0.25">
      <c r="A209" s="169" t="s">
        <v>162</v>
      </c>
      <c r="B209" s="169">
        <v>5636</v>
      </c>
    </row>
    <row r="210" spans="1:2" x14ac:dyDescent="0.25">
      <c r="A210" s="169" t="s">
        <v>163</v>
      </c>
      <c r="B210" s="169">
        <v>5637</v>
      </c>
    </row>
    <row r="211" spans="1:2" x14ac:dyDescent="0.25">
      <c r="A211" s="169" t="s">
        <v>164</v>
      </c>
      <c r="B211" s="169">
        <v>5638</v>
      </c>
    </row>
    <row r="212" spans="1:2" x14ac:dyDescent="0.25">
      <c r="A212" s="169" t="s">
        <v>165</v>
      </c>
      <c r="B212" s="169">
        <v>5639</v>
      </c>
    </row>
    <row r="213" spans="1:2" x14ac:dyDescent="0.25">
      <c r="A213" s="169" t="s">
        <v>166</v>
      </c>
      <c r="B213" s="169">
        <v>5640</v>
      </c>
    </row>
    <row r="214" spans="1:2" x14ac:dyDescent="0.25">
      <c r="A214" s="169" t="s">
        <v>167</v>
      </c>
      <c r="B214" s="169">
        <v>5642</v>
      </c>
    </row>
    <row r="215" spans="1:2" x14ac:dyDescent="0.25">
      <c r="A215" s="169" t="s">
        <v>168</v>
      </c>
      <c r="B215" s="169">
        <v>5643</v>
      </c>
    </row>
    <row r="216" spans="1:2" x14ac:dyDescent="0.25">
      <c r="A216" s="169" t="s">
        <v>318</v>
      </c>
      <c r="B216" s="169">
        <v>5644</v>
      </c>
    </row>
    <row r="217" spans="1:2" x14ac:dyDescent="0.25">
      <c r="A217" s="169" t="s">
        <v>319</v>
      </c>
      <c r="B217" s="169">
        <v>5645</v>
      </c>
    </row>
    <row r="218" spans="1:2" x14ac:dyDescent="0.25">
      <c r="A218" s="169" t="s">
        <v>320</v>
      </c>
      <c r="B218" s="169">
        <v>5646</v>
      </c>
    </row>
    <row r="219" spans="1:2" x14ac:dyDescent="0.25">
      <c r="A219" s="169" t="s">
        <v>321</v>
      </c>
      <c r="B219" s="169">
        <v>5648</v>
      </c>
    </row>
    <row r="220" spans="1:2" x14ac:dyDescent="0.25">
      <c r="A220" s="169" t="s">
        <v>322</v>
      </c>
      <c r="B220" s="169">
        <v>5649</v>
      </c>
    </row>
    <row r="221" spans="1:2" x14ac:dyDescent="0.25">
      <c r="A221" s="169" t="s">
        <v>323</v>
      </c>
      <c r="B221" s="169">
        <v>5650</v>
      </c>
    </row>
    <row r="222" spans="1:2" x14ac:dyDescent="0.25">
      <c r="A222" s="169" t="s">
        <v>324</v>
      </c>
      <c r="B222" s="169">
        <v>5651</v>
      </c>
    </row>
    <row r="223" spans="1:2" x14ac:dyDescent="0.25">
      <c r="A223" s="169" t="s">
        <v>203</v>
      </c>
      <c r="B223" s="169">
        <v>5652</v>
      </c>
    </row>
    <row r="224" spans="1:2" x14ac:dyDescent="0.25">
      <c r="A224" s="169" t="s">
        <v>204</v>
      </c>
      <c r="B224" s="169">
        <v>5653</v>
      </c>
    </row>
    <row r="225" spans="1:2" x14ac:dyDescent="0.25">
      <c r="A225" s="169" t="s">
        <v>205</v>
      </c>
      <c r="B225" s="169">
        <v>5654</v>
      </c>
    </row>
    <row r="226" spans="1:2" x14ac:dyDescent="0.25">
      <c r="A226" s="169" t="s">
        <v>206</v>
      </c>
      <c r="B226" s="169">
        <v>5655</v>
      </c>
    </row>
    <row r="227" spans="1:2" x14ac:dyDescent="0.25">
      <c r="A227" s="169" t="s">
        <v>207</v>
      </c>
      <c r="B227" s="169">
        <v>5661</v>
      </c>
    </row>
    <row r="228" spans="1:2" x14ac:dyDescent="0.25">
      <c r="A228" s="169" t="s">
        <v>208</v>
      </c>
      <c r="B228" s="169">
        <v>5663</v>
      </c>
    </row>
    <row r="229" spans="1:2" x14ac:dyDescent="0.25">
      <c r="A229" s="169" t="s">
        <v>102</v>
      </c>
      <c r="B229" s="169">
        <v>5665</v>
      </c>
    </row>
    <row r="230" spans="1:2" x14ac:dyDescent="0.25">
      <c r="A230" s="169" t="s">
        <v>103</v>
      </c>
      <c r="B230" s="169">
        <v>5669</v>
      </c>
    </row>
    <row r="231" spans="1:2" x14ac:dyDescent="0.25">
      <c r="A231" s="169" t="s">
        <v>104</v>
      </c>
      <c r="B231" s="169">
        <v>5671</v>
      </c>
    </row>
    <row r="232" spans="1:2" x14ac:dyDescent="0.25">
      <c r="A232" s="169" t="s">
        <v>105</v>
      </c>
      <c r="B232" s="169">
        <v>5673</v>
      </c>
    </row>
    <row r="233" spans="1:2" x14ac:dyDescent="0.25">
      <c r="A233" s="169" t="s">
        <v>106</v>
      </c>
      <c r="B233" s="169">
        <v>5674</v>
      </c>
    </row>
    <row r="234" spans="1:2" x14ac:dyDescent="0.25">
      <c r="A234" s="169" t="s">
        <v>107</v>
      </c>
      <c r="B234" s="169">
        <v>5675</v>
      </c>
    </row>
    <row r="235" spans="1:2" x14ac:dyDescent="0.25">
      <c r="A235" s="169" t="s">
        <v>108</v>
      </c>
      <c r="B235" s="169">
        <v>5678</v>
      </c>
    </row>
    <row r="236" spans="1:2" x14ac:dyDescent="0.25">
      <c r="A236" s="169" t="s">
        <v>109</v>
      </c>
      <c r="B236" s="169">
        <v>5680</v>
      </c>
    </row>
    <row r="237" spans="1:2" x14ac:dyDescent="0.25">
      <c r="A237" s="169" t="s">
        <v>110</v>
      </c>
      <c r="B237" s="169">
        <v>5683</v>
      </c>
    </row>
    <row r="238" spans="1:2" x14ac:dyDescent="0.25">
      <c r="A238" s="169" t="s">
        <v>111</v>
      </c>
      <c r="B238" s="169">
        <v>5684</v>
      </c>
    </row>
    <row r="239" spans="1:2" x14ac:dyDescent="0.25">
      <c r="A239" s="169" t="s">
        <v>112</v>
      </c>
      <c r="B239" s="169">
        <v>5688</v>
      </c>
    </row>
    <row r="240" spans="1:2" x14ac:dyDescent="0.25">
      <c r="A240" s="169" t="s">
        <v>113</v>
      </c>
      <c r="B240" s="169">
        <v>5690</v>
      </c>
    </row>
    <row r="241" spans="1:2" x14ac:dyDescent="0.25">
      <c r="A241" s="169" t="s">
        <v>114</v>
      </c>
      <c r="B241" s="169">
        <v>5692</v>
      </c>
    </row>
    <row r="242" spans="1:2" x14ac:dyDescent="0.25">
      <c r="A242" s="169" t="s">
        <v>455</v>
      </c>
      <c r="B242" s="169">
        <v>5693</v>
      </c>
    </row>
    <row r="243" spans="1:2" x14ac:dyDescent="0.25">
      <c r="A243" s="169" t="s">
        <v>115</v>
      </c>
      <c r="B243" s="169">
        <v>5701</v>
      </c>
    </row>
    <row r="244" spans="1:2" x14ac:dyDescent="0.25">
      <c r="A244" s="169" t="s">
        <v>454</v>
      </c>
      <c r="B244" s="169">
        <v>5702</v>
      </c>
    </row>
    <row r="245" spans="1:2" x14ac:dyDescent="0.25">
      <c r="A245" s="169" t="s">
        <v>116</v>
      </c>
      <c r="B245" s="169">
        <v>5703</v>
      </c>
    </row>
    <row r="246" spans="1:2" x14ac:dyDescent="0.25">
      <c r="A246" s="169" t="s">
        <v>226</v>
      </c>
      <c r="B246" s="169">
        <v>5704</v>
      </c>
    </row>
    <row r="247" spans="1:2" x14ac:dyDescent="0.25">
      <c r="A247" s="169" t="s">
        <v>227</v>
      </c>
      <c r="B247" s="169">
        <v>5705</v>
      </c>
    </row>
    <row r="248" spans="1:2" x14ac:dyDescent="0.25">
      <c r="A248" s="169" t="s">
        <v>228</v>
      </c>
      <c r="B248" s="169">
        <v>5706</v>
      </c>
    </row>
    <row r="249" spans="1:2" x14ac:dyDescent="0.25">
      <c r="A249" s="169" t="s">
        <v>229</v>
      </c>
      <c r="B249" s="169">
        <v>5707</v>
      </c>
    </row>
    <row r="250" spans="1:2" x14ac:dyDescent="0.25">
      <c r="A250" s="169" t="s">
        <v>230</v>
      </c>
      <c r="B250" s="169">
        <v>5708</v>
      </c>
    </row>
    <row r="251" spans="1:2" x14ac:dyDescent="0.25">
      <c r="A251" s="169" t="s">
        <v>231</v>
      </c>
      <c r="B251" s="169">
        <v>5709</v>
      </c>
    </row>
    <row r="252" spans="1:2" x14ac:dyDescent="0.25">
      <c r="A252" s="169" t="s">
        <v>232</v>
      </c>
      <c r="B252" s="169">
        <v>5710</v>
      </c>
    </row>
    <row r="253" spans="1:2" x14ac:dyDescent="0.25">
      <c r="A253" s="169" t="s">
        <v>233</v>
      </c>
      <c r="B253" s="169">
        <v>5711</v>
      </c>
    </row>
    <row r="254" spans="1:2" x14ac:dyDescent="0.25">
      <c r="A254" s="169" t="s">
        <v>234</v>
      </c>
      <c r="B254" s="169">
        <v>5712</v>
      </c>
    </row>
    <row r="255" spans="1:2" x14ac:dyDescent="0.25">
      <c r="A255" s="169" t="s">
        <v>235</v>
      </c>
      <c r="B255" s="169">
        <v>5713</v>
      </c>
    </row>
    <row r="256" spans="1:2" x14ac:dyDescent="0.25">
      <c r="A256" s="169" t="s">
        <v>236</v>
      </c>
      <c r="B256" s="169">
        <v>5714</v>
      </c>
    </row>
    <row r="257" spans="1:2" x14ac:dyDescent="0.25">
      <c r="A257" s="169" t="s">
        <v>237</v>
      </c>
      <c r="B257" s="169">
        <v>5715</v>
      </c>
    </row>
    <row r="258" spans="1:2" x14ac:dyDescent="0.25">
      <c r="A258" s="169" t="s">
        <v>238</v>
      </c>
      <c r="B258" s="169">
        <v>5716</v>
      </c>
    </row>
    <row r="259" spans="1:2" x14ac:dyDescent="0.25">
      <c r="A259" s="169" t="s">
        <v>239</v>
      </c>
      <c r="B259" s="169">
        <v>5717</v>
      </c>
    </row>
    <row r="260" spans="1:2" x14ac:dyDescent="0.25">
      <c r="A260" s="169" t="s">
        <v>240</v>
      </c>
      <c r="B260" s="169">
        <v>5718</v>
      </c>
    </row>
    <row r="261" spans="1:2" x14ac:dyDescent="0.25">
      <c r="A261" s="169" t="s">
        <v>241</v>
      </c>
      <c r="B261" s="169">
        <v>5719</v>
      </c>
    </row>
    <row r="262" spans="1:2" x14ac:dyDescent="0.25">
      <c r="A262" s="169" t="s">
        <v>242</v>
      </c>
      <c r="B262" s="169">
        <v>5720</v>
      </c>
    </row>
    <row r="263" spans="1:2" x14ac:dyDescent="0.25">
      <c r="A263" s="169" t="s">
        <v>243</v>
      </c>
      <c r="B263" s="169">
        <v>5721</v>
      </c>
    </row>
    <row r="264" spans="1:2" x14ac:dyDescent="0.25">
      <c r="A264" s="169" t="s">
        <v>244</v>
      </c>
      <c r="B264" s="169">
        <v>5722</v>
      </c>
    </row>
    <row r="265" spans="1:2" x14ac:dyDescent="0.25">
      <c r="A265" s="169" t="s">
        <v>245</v>
      </c>
      <c r="B265" s="169">
        <v>5723</v>
      </c>
    </row>
    <row r="266" spans="1:2" x14ac:dyDescent="0.25">
      <c r="A266" s="169" t="s">
        <v>74</v>
      </c>
      <c r="B266" s="169">
        <v>5724</v>
      </c>
    </row>
    <row r="267" spans="1:2" x14ac:dyDescent="0.25">
      <c r="A267" s="169" t="s">
        <v>75</v>
      </c>
      <c r="B267" s="169">
        <v>5725</v>
      </c>
    </row>
    <row r="268" spans="1:2" x14ac:dyDescent="0.25">
      <c r="A268" s="169" t="s">
        <v>325</v>
      </c>
      <c r="B268" s="169">
        <v>5726</v>
      </c>
    </row>
    <row r="269" spans="1:2" x14ac:dyDescent="0.25">
      <c r="A269" s="169" t="s">
        <v>326</v>
      </c>
      <c r="B269" s="169">
        <v>5727</v>
      </c>
    </row>
    <row r="270" spans="1:2" x14ac:dyDescent="0.25">
      <c r="A270" s="169" t="s">
        <v>327</v>
      </c>
      <c r="B270" s="169">
        <v>5728</v>
      </c>
    </row>
    <row r="271" spans="1:2" x14ac:dyDescent="0.25">
      <c r="A271" s="169" t="s">
        <v>328</v>
      </c>
      <c r="B271" s="169">
        <v>5729</v>
      </c>
    </row>
    <row r="272" spans="1:2" x14ac:dyDescent="0.25">
      <c r="A272" s="169" t="s">
        <v>329</v>
      </c>
      <c r="B272" s="169">
        <v>5730</v>
      </c>
    </row>
    <row r="273" spans="1:2" x14ac:dyDescent="0.25">
      <c r="A273" s="169" t="s">
        <v>330</v>
      </c>
      <c r="B273" s="169">
        <v>5731</v>
      </c>
    </row>
    <row r="274" spans="1:2" x14ac:dyDescent="0.25">
      <c r="A274" s="169" t="s">
        <v>331</v>
      </c>
      <c r="B274" s="169">
        <v>5732</v>
      </c>
    </row>
    <row r="275" spans="1:2" x14ac:dyDescent="0.25">
      <c r="A275" s="169" t="s">
        <v>332</v>
      </c>
      <c r="B275" s="169">
        <v>5741</v>
      </c>
    </row>
    <row r="276" spans="1:2" x14ac:dyDescent="0.25">
      <c r="A276" s="169" t="s">
        <v>333</v>
      </c>
      <c r="B276" s="169">
        <v>5742</v>
      </c>
    </row>
    <row r="277" spans="1:2" x14ac:dyDescent="0.25">
      <c r="A277" s="169" t="s">
        <v>270</v>
      </c>
      <c r="B277" s="169">
        <v>5743</v>
      </c>
    </row>
    <row r="278" spans="1:2" x14ac:dyDescent="0.25">
      <c r="A278" s="169" t="s">
        <v>271</v>
      </c>
      <c r="B278" s="169">
        <v>5744</v>
      </c>
    </row>
    <row r="279" spans="1:2" x14ac:dyDescent="0.25">
      <c r="A279" s="169" t="s">
        <v>272</v>
      </c>
      <c r="B279" s="169">
        <v>5745</v>
      </c>
    </row>
    <row r="280" spans="1:2" x14ac:dyDescent="0.25">
      <c r="A280" s="169" t="s">
        <v>273</v>
      </c>
      <c r="B280" s="169">
        <v>5746</v>
      </c>
    </row>
    <row r="281" spans="1:2" x14ac:dyDescent="0.25">
      <c r="A281" s="169" t="s">
        <v>274</v>
      </c>
      <c r="B281" s="169">
        <v>5747</v>
      </c>
    </row>
    <row r="282" spans="1:2" x14ac:dyDescent="0.25">
      <c r="A282" s="169" t="s">
        <v>275</v>
      </c>
      <c r="B282" s="169">
        <v>5748</v>
      </c>
    </row>
    <row r="283" spans="1:2" x14ac:dyDescent="0.25">
      <c r="A283" s="169" t="s">
        <v>276</v>
      </c>
      <c r="B283" s="169">
        <v>5749</v>
      </c>
    </row>
    <row r="284" spans="1:2" x14ac:dyDescent="0.25">
      <c r="A284" s="169" t="s">
        <v>277</v>
      </c>
      <c r="B284" s="169">
        <v>5750</v>
      </c>
    </row>
    <row r="285" spans="1:2" x14ac:dyDescent="0.25">
      <c r="A285" s="169" t="s">
        <v>338</v>
      </c>
      <c r="B285" s="169">
        <v>5752</v>
      </c>
    </row>
    <row r="286" spans="1:2" x14ac:dyDescent="0.25">
      <c r="A286" s="169" t="s">
        <v>339</v>
      </c>
      <c r="B286" s="169">
        <v>5754</v>
      </c>
    </row>
    <row r="287" spans="1:2" x14ac:dyDescent="0.25">
      <c r="A287" s="169" t="s">
        <v>340</v>
      </c>
      <c r="B287" s="169">
        <v>5755</v>
      </c>
    </row>
    <row r="288" spans="1:2" x14ac:dyDescent="0.25">
      <c r="A288" s="169" t="s">
        <v>341</v>
      </c>
      <c r="B288" s="169">
        <v>5756</v>
      </c>
    </row>
    <row r="289" spans="1:2" x14ac:dyDescent="0.25">
      <c r="A289" s="169" t="s">
        <v>342</v>
      </c>
      <c r="B289" s="169">
        <v>5757</v>
      </c>
    </row>
    <row r="290" spans="1:2" x14ac:dyDescent="0.25">
      <c r="A290" s="169" t="s">
        <v>222</v>
      </c>
      <c r="B290" s="169">
        <v>5758</v>
      </c>
    </row>
    <row r="291" spans="1:2" x14ac:dyDescent="0.25">
      <c r="A291" s="169" t="s">
        <v>223</v>
      </c>
      <c r="B291" s="169">
        <v>5759</v>
      </c>
    </row>
    <row r="292" spans="1:2" x14ac:dyDescent="0.25">
      <c r="A292" s="169" t="s">
        <v>224</v>
      </c>
      <c r="B292" s="169">
        <v>5760</v>
      </c>
    </row>
    <row r="293" spans="1:2" x14ac:dyDescent="0.25">
      <c r="A293" s="169" t="s">
        <v>140</v>
      </c>
      <c r="B293" s="169">
        <v>5761</v>
      </c>
    </row>
    <row r="294" spans="1:2" x14ac:dyDescent="0.25">
      <c r="A294" s="169" t="s">
        <v>141</v>
      </c>
      <c r="B294" s="169">
        <v>5762</v>
      </c>
    </row>
    <row r="295" spans="1:2" x14ac:dyDescent="0.25">
      <c r="A295" s="169" t="s">
        <v>142</v>
      </c>
      <c r="B295" s="169">
        <v>5763</v>
      </c>
    </row>
    <row r="296" spans="1:2" x14ac:dyDescent="0.25">
      <c r="A296" s="169" t="s">
        <v>343</v>
      </c>
      <c r="B296" s="169">
        <v>5764</v>
      </c>
    </row>
    <row r="297" spans="1:2" x14ac:dyDescent="0.25">
      <c r="A297" s="169" t="s">
        <v>344</v>
      </c>
      <c r="B297" s="169">
        <v>5765</v>
      </c>
    </row>
    <row r="298" spans="1:2" x14ac:dyDescent="0.25">
      <c r="A298" s="169" t="s">
        <v>345</v>
      </c>
      <c r="B298" s="169">
        <v>5766</v>
      </c>
    </row>
    <row r="299" spans="1:2" x14ac:dyDescent="0.25">
      <c r="A299" s="169" t="s">
        <v>284</v>
      </c>
      <c r="B299" s="169">
        <v>5785</v>
      </c>
    </row>
    <row r="300" spans="1:2" x14ac:dyDescent="0.25">
      <c r="A300" s="169" t="s">
        <v>285</v>
      </c>
      <c r="B300" s="169">
        <v>5788</v>
      </c>
    </row>
    <row r="301" spans="1:2" x14ac:dyDescent="0.25">
      <c r="A301" s="169" t="s">
        <v>286</v>
      </c>
      <c r="B301" s="169">
        <v>5790</v>
      </c>
    </row>
    <row r="302" spans="1:2" x14ac:dyDescent="0.25">
      <c r="A302" s="169" t="s">
        <v>287</v>
      </c>
      <c r="B302" s="169">
        <v>5792</v>
      </c>
    </row>
    <row r="303" spans="1:2" x14ac:dyDescent="0.25">
      <c r="A303" s="169" t="s">
        <v>288</v>
      </c>
      <c r="B303" s="169">
        <v>5798</v>
      </c>
    </row>
    <row r="304" spans="1:2" x14ac:dyDescent="0.25">
      <c r="A304" s="169" t="s">
        <v>289</v>
      </c>
      <c r="B304" s="169">
        <v>5799</v>
      </c>
    </row>
    <row r="305" spans="1:2" x14ac:dyDescent="0.25">
      <c r="A305" s="169" t="s">
        <v>392</v>
      </c>
      <c r="B305" s="169">
        <v>5803</v>
      </c>
    </row>
    <row r="306" spans="1:2" x14ac:dyDescent="0.25">
      <c r="A306" s="169" t="s">
        <v>443</v>
      </c>
      <c r="B306" s="169">
        <v>5804</v>
      </c>
    </row>
    <row r="307" spans="1:2" x14ac:dyDescent="0.25">
      <c r="A307" s="169" t="s">
        <v>445</v>
      </c>
      <c r="B307" s="169">
        <v>5805</v>
      </c>
    </row>
    <row r="308" spans="1:2" x14ac:dyDescent="0.25">
      <c r="A308" s="169" t="s">
        <v>549</v>
      </c>
      <c r="B308" s="169">
        <v>5806</v>
      </c>
    </row>
    <row r="309" spans="1:2" x14ac:dyDescent="0.25">
      <c r="A309" s="169" t="s">
        <v>393</v>
      </c>
      <c r="B309" s="169">
        <v>5812</v>
      </c>
    </row>
    <row r="310" spans="1:2" x14ac:dyDescent="0.25">
      <c r="A310" s="169" t="s">
        <v>394</v>
      </c>
      <c r="B310" s="169">
        <v>5813</v>
      </c>
    </row>
    <row r="311" spans="1:2" x14ac:dyDescent="0.25">
      <c r="A311" s="169" t="s">
        <v>10</v>
      </c>
      <c r="B311" s="169">
        <v>5816</v>
      </c>
    </row>
    <row r="312" spans="1:2" x14ac:dyDescent="0.25">
      <c r="A312" s="169" t="s">
        <v>11</v>
      </c>
      <c r="B312" s="169">
        <v>5817</v>
      </c>
    </row>
    <row r="313" spans="1:2" x14ac:dyDescent="0.25">
      <c r="A313" s="169" t="s">
        <v>12</v>
      </c>
      <c r="B313" s="169">
        <v>5819</v>
      </c>
    </row>
    <row r="314" spans="1:2" x14ac:dyDescent="0.25">
      <c r="A314" s="169" t="s">
        <v>13</v>
      </c>
      <c r="B314" s="169">
        <v>5821</v>
      </c>
    </row>
    <row r="315" spans="1:2" x14ac:dyDescent="0.25">
      <c r="A315" s="169" t="s">
        <v>14</v>
      </c>
      <c r="B315" s="169">
        <v>5822</v>
      </c>
    </row>
    <row r="316" spans="1:2" x14ac:dyDescent="0.25">
      <c r="A316" s="169" t="s">
        <v>15</v>
      </c>
      <c r="B316" s="169">
        <v>5827</v>
      </c>
    </row>
    <row r="317" spans="1:2" x14ac:dyDescent="0.25">
      <c r="A317" s="169" t="s">
        <v>533</v>
      </c>
      <c r="B317" s="169">
        <v>5828</v>
      </c>
    </row>
    <row r="318" spans="1:2" x14ac:dyDescent="0.25">
      <c r="A318" s="169" t="s">
        <v>16</v>
      </c>
      <c r="B318" s="169">
        <v>5830</v>
      </c>
    </row>
    <row r="319" spans="1:2" x14ac:dyDescent="0.25">
      <c r="A319" s="169" t="s">
        <v>444</v>
      </c>
      <c r="B319" s="169">
        <v>5831</v>
      </c>
    </row>
    <row r="320" spans="1:2" x14ac:dyDescent="0.25">
      <c r="A320" s="169" t="s">
        <v>17</v>
      </c>
      <c r="B320" s="169">
        <v>5841</v>
      </c>
    </row>
    <row r="321" spans="1:2" x14ac:dyDescent="0.25">
      <c r="A321" s="169" t="s">
        <v>18</v>
      </c>
      <c r="B321" s="169">
        <v>5842</v>
      </c>
    </row>
    <row r="322" spans="1:2" x14ac:dyDescent="0.25">
      <c r="A322" s="169" t="s">
        <v>19</v>
      </c>
      <c r="B322" s="169">
        <v>5843</v>
      </c>
    </row>
    <row r="323" spans="1:2" x14ac:dyDescent="0.25">
      <c r="A323" s="169" t="s">
        <v>20</v>
      </c>
      <c r="B323" s="169">
        <v>5851</v>
      </c>
    </row>
    <row r="324" spans="1:2" x14ac:dyDescent="0.25">
      <c r="A324" s="169" t="s">
        <v>21</v>
      </c>
      <c r="B324" s="169">
        <v>5852</v>
      </c>
    </row>
    <row r="325" spans="1:2" x14ac:dyDescent="0.25">
      <c r="A325" s="169" t="s">
        <v>22</v>
      </c>
      <c r="B325" s="169">
        <v>5853</v>
      </c>
    </row>
    <row r="326" spans="1:2" x14ac:dyDescent="0.25">
      <c r="A326" s="169" t="s">
        <v>23</v>
      </c>
      <c r="B326" s="169">
        <v>5854</v>
      </c>
    </row>
    <row r="327" spans="1:2" x14ac:dyDescent="0.25">
      <c r="A327" s="169" t="s">
        <v>24</v>
      </c>
      <c r="B327" s="169">
        <v>5855</v>
      </c>
    </row>
    <row r="328" spans="1:2" x14ac:dyDescent="0.25">
      <c r="A328" s="169" t="s">
        <v>25</v>
      </c>
      <c r="B328" s="169">
        <v>5856</v>
      </c>
    </row>
    <row r="329" spans="1:2" x14ac:dyDescent="0.25">
      <c r="A329" s="169" t="s">
        <v>26</v>
      </c>
      <c r="B329" s="169">
        <v>5857</v>
      </c>
    </row>
    <row r="330" spans="1:2" x14ac:dyDescent="0.25">
      <c r="A330" s="169" t="s">
        <v>27</v>
      </c>
      <c r="B330" s="169">
        <v>5858</v>
      </c>
    </row>
    <row r="331" spans="1:2" x14ac:dyDescent="0.25">
      <c r="A331" s="169" t="s">
        <v>28</v>
      </c>
      <c r="B331" s="169">
        <v>5859</v>
      </c>
    </row>
    <row r="332" spans="1:2" x14ac:dyDescent="0.25">
      <c r="A332" s="169" t="s">
        <v>29</v>
      </c>
      <c r="B332" s="169">
        <v>5860</v>
      </c>
    </row>
    <row r="333" spans="1:2" x14ac:dyDescent="0.25">
      <c r="A333" s="169" t="s">
        <v>30</v>
      </c>
      <c r="B333" s="169">
        <v>5861</v>
      </c>
    </row>
    <row r="334" spans="1:2" x14ac:dyDescent="0.25">
      <c r="A334" s="169" t="s">
        <v>31</v>
      </c>
      <c r="B334" s="169">
        <v>5862</v>
      </c>
    </row>
    <row r="335" spans="1:2" x14ac:dyDescent="0.25">
      <c r="A335" s="169" t="s">
        <v>32</v>
      </c>
      <c r="B335" s="169">
        <v>5863</v>
      </c>
    </row>
    <row r="336" spans="1:2" x14ac:dyDescent="0.25">
      <c r="A336" s="169" t="s">
        <v>33</v>
      </c>
      <c r="B336" s="169">
        <v>5871</v>
      </c>
    </row>
    <row r="337" spans="1:2" x14ac:dyDescent="0.25">
      <c r="A337" s="169" t="s">
        <v>209</v>
      </c>
      <c r="B337" s="169">
        <v>5872</v>
      </c>
    </row>
    <row r="338" spans="1:2" x14ac:dyDescent="0.25">
      <c r="A338" s="169" t="s">
        <v>210</v>
      </c>
      <c r="B338" s="169">
        <v>5873</v>
      </c>
    </row>
    <row r="339" spans="1:2" x14ac:dyDescent="0.25">
      <c r="A339" s="169" t="s">
        <v>211</v>
      </c>
      <c r="B339" s="169">
        <v>5881</v>
      </c>
    </row>
    <row r="340" spans="1:2" x14ac:dyDescent="0.25">
      <c r="A340" s="169" t="s">
        <v>212</v>
      </c>
      <c r="B340" s="169">
        <v>5882</v>
      </c>
    </row>
    <row r="341" spans="1:2" x14ac:dyDescent="0.25">
      <c r="A341" s="169" t="s">
        <v>213</v>
      </c>
      <c r="B341" s="169">
        <v>5883</v>
      </c>
    </row>
    <row r="342" spans="1:2" x14ac:dyDescent="0.25">
      <c r="A342" s="169" t="s">
        <v>53</v>
      </c>
      <c r="B342" s="169">
        <v>5884</v>
      </c>
    </row>
    <row r="343" spans="1:2" x14ac:dyDescent="0.25">
      <c r="A343" s="169" t="s">
        <v>54</v>
      </c>
      <c r="B343" s="169">
        <v>5885</v>
      </c>
    </row>
    <row r="344" spans="1:2" x14ac:dyDescent="0.25">
      <c r="A344" s="169" t="s">
        <v>55</v>
      </c>
      <c r="B344" s="169">
        <v>5886</v>
      </c>
    </row>
    <row r="345" spans="1:2" x14ac:dyDescent="0.25">
      <c r="A345" s="169" t="s">
        <v>534</v>
      </c>
      <c r="B345" s="169">
        <v>5888</v>
      </c>
    </row>
    <row r="346" spans="1:2" x14ac:dyDescent="0.25">
      <c r="A346" s="169" t="s">
        <v>56</v>
      </c>
      <c r="B346" s="169">
        <v>5889</v>
      </c>
    </row>
    <row r="347" spans="1:2" x14ac:dyDescent="0.25">
      <c r="A347" s="169" t="s">
        <v>57</v>
      </c>
      <c r="B347" s="169">
        <v>5890</v>
      </c>
    </row>
    <row r="348" spans="1:2" x14ac:dyDescent="0.25">
      <c r="A348" s="169" t="s">
        <v>58</v>
      </c>
      <c r="B348" s="169">
        <v>5891</v>
      </c>
    </row>
    <row r="349" spans="1:2" x14ac:dyDescent="0.25">
      <c r="A349" s="169" t="s">
        <v>59</v>
      </c>
      <c r="B349" s="169">
        <v>5902</v>
      </c>
    </row>
    <row r="350" spans="1:2" x14ac:dyDescent="0.25">
      <c r="A350" s="169" t="s">
        <v>60</v>
      </c>
      <c r="B350" s="169">
        <v>5903</v>
      </c>
    </row>
    <row r="351" spans="1:2" x14ac:dyDescent="0.25">
      <c r="A351" s="169" t="s">
        <v>61</v>
      </c>
      <c r="B351" s="169">
        <v>5904</v>
      </c>
    </row>
    <row r="352" spans="1:2" x14ac:dyDescent="0.25">
      <c r="A352" s="169" t="s">
        <v>62</v>
      </c>
      <c r="B352" s="169">
        <v>5905</v>
      </c>
    </row>
    <row r="353" spans="1:2" x14ac:dyDescent="0.25">
      <c r="A353" s="169" t="s">
        <v>63</v>
      </c>
      <c r="B353" s="169">
        <v>5907</v>
      </c>
    </row>
    <row r="354" spans="1:2" x14ac:dyDescent="0.25">
      <c r="A354" s="169" t="s">
        <v>64</v>
      </c>
      <c r="B354" s="169">
        <v>5908</v>
      </c>
    </row>
    <row r="355" spans="1:2" x14ac:dyDescent="0.25">
      <c r="A355" s="169" t="s">
        <v>65</v>
      </c>
      <c r="B355" s="169">
        <v>5909</v>
      </c>
    </row>
    <row r="356" spans="1:2" x14ac:dyDescent="0.25">
      <c r="A356" s="169" t="s">
        <v>66</v>
      </c>
      <c r="B356" s="169">
        <v>5910</v>
      </c>
    </row>
    <row r="357" spans="1:2" x14ac:dyDescent="0.25">
      <c r="A357" s="169" t="s">
        <v>67</v>
      </c>
      <c r="B357" s="169">
        <v>5911</v>
      </c>
    </row>
    <row r="358" spans="1:2" x14ac:dyDescent="0.25">
      <c r="A358" s="169" t="s">
        <v>68</v>
      </c>
      <c r="B358" s="169">
        <v>5912</v>
      </c>
    </row>
    <row r="359" spans="1:2" x14ac:dyDescent="0.25">
      <c r="A359" s="169" t="s">
        <v>69</v>
      </c>
      <c r="B359" s="169">
        <v>5913</v>
      </c>
    </row>
    <row r="360" spans="1:2" x14ac:dyDescent="0.25">
      <c r="A360" s="169" t="s">
        <v>70</v>
      </c>
      <c r="B360" s="169">
        <v>5914</v>
      </c>
    </row>
    <row r="361" spans="1:2" x14ac:dyDescent="0.25">
      <c r="A361" s="169" t="s">
        <v>400</v>
      </c>
      <c r="B361" s="169">
        <v>5919</v>
      </c>
    </row>
    <row r="362" spans="1:2" x14ac:dyDescent="0.25">
      <c r="A362" s="169" t="s">
        <v>401</v>
      </c>
      <c r="B362" s="169">
        <v>5921</v>
      </c>
    </row>
    <row r="363" spans="1:2" x14ac:dyDescent="0.25">
      <c r="A363" s="169" t="s">
        <v>278</v>
      </c>
      <c r="B363" s="169">
        <v>5922</v>
      </c>
    </row>
    <row r="364" spans="1:2" x14ac:dyDescent="0.25">
      <c r="A364" s="169" t="s">
        <v>279</v>
      </c>
      <c r="B364" s="169">
        <v>5923</v>
      </c>
    </row>
    <row r="365" spans="1:2" x14ac:dyDescent="0.25">
      <c r="A365" s="169" t="s">
        <v>280</v>
      </c>
      <c r="B365" s="169">
        <v>5924</v>
      </c>
    </row>
    <row r="366" spans="1:2" x14ac:dyDescent="0.25">
      <c r="A366" s="169" t="s">
        <v>405</v>
      </c>
      <c r="B366" s="169">
        <v>5925</v>
      </c>
    </row>
    <row r="367" spans="1:2" x14ac:dyDescent="0.25">
      <c r="A367" s="169" t="s">
        <v>406</v>
      </c>
      <c r="B367" s="169">
        <v>5926</v>
      </c>
    </row>
    <row r="368" spans="1:2" x14ac:dyDescent="0.25">
      <c r="A368" s="169" t="s">
        <v>407</v>
      </c>
      <c r="B368" s="169">
        <v>5928</v>
      </c>
    </row>
    <row r="369" spans="1:2" x14ac:dyDescent="0.25">
      <c r="A369" s="169" t="s">
        <v>408</v>
      </c>
      <c r="B369" s="169">
        <v>5929</v>
      </c>
    </row>
    <row r="370" spans="1:2" x14ac:dyDescent="0.25">
      <c r="A370" s="169" t="s">
        <v>409</v>
      </c>
      <c r="B370" s="169">
        <v>5930</v>
      </c>
    </row>
    <row r="371" spans="1:2" x14ac:dyDescent="0.25">
      <c r="A371" s="169" t="s">
        <v>410</v>
      </c>
      <c r="B371" s="169">
        <v>5931</v>
      </c>
    </row>
    <row r="372" spans="1:2" x14ac:dyDescent="0.25">
      <c r="A372" s="169" t="s">
        <v>281</v>
      </c>
      <c r="B372" s="169">
        <v>5932</v>
      </c>
    </row>
    <row r="373" spans="1:2" x14ac:dyDescent="0.25">
      <c r="A373" s="169" t="s">
        <v>403</v>
      </c>
      <c r="B373" s="169">
        <v>5933</v>
      </c>
    </row>
    <row r="374" spans="1:2" x14ac:dyDescent="0.25">
      <c r="A374" s="169" t="s">
        <v>404</v>
      </c>
      <c r="B374" s="169">
        <v>5934</v>
      </c>
    </row>
    <row r="375" spans="1:2" x14ac:dyDescent="0.25">
      <c r="A375" s="169" t="s">
        <v>305</v>
      </c>
      <c r="B375" s="169">
        <v>5935</v>
      </c>
    </row>
    <row r="376" spans="1:2" x14ac:dyDescent="0.25">
      <c r="A376" s="169" t="s">
        <v>282</v>
      </c>
      <c r="B376" s="169">
        <v>5937</v>
      </c>
    </row>
    <row r="377" spans="1:2" x14ac:dyDescent="0.25">
      <c r="A377" s="169" t="s">
        <v>155</v>
      </c>
      <c r="B377" s="169">
        <v>5938</v>
      </c>
    </row>
    <row r="378" spans="1:2" x14ac:dyDescent="0.25">
      <c r="A378" s="169" t="s">
        <v>154</v>
      </c>
      <c r="B378" s="169">
        <v>5939</v>
      </c>
    </row>
    <row r="379" spans="1:2" x14ac:dyDescent="0.25">
      <c r="B379" s="171"/>
    </row>
    <row r="380" spans="1:2" x14ac:dyDescent="0.25">
      <c r="B380" s="171"/>
    </row>
    <row r="381" spans="1:2" x14ac:dyDescent="0.25">
      <c r="B381" s="171"/>
    </row>
    <row r="382" spans="1:2" x14ac:dyDescent="0.25">
      <c r="B382" s="171"/>
    </row>
    <row r="383" spans="1:2" x14ac:dyDescent="0.25">
      <c r="B383" s="171"/>
    </row>
    <row r="384" spans="1:2" x14ac:dyDescent="0.25">
      <c r="B384" s="171"/>
    </row>
    <row r="385" spans="2:2" x14ac:dyDescent="0.25">
      <c r="B385" s="171"/>
    </row>
    <row r="386" spans="2:2" x14ac:dyDescent="0.25">
      <c r="B386" s="171"/>
    </row>
    <row r="387" spans="2:2" x14ac:dyDescent="0.25">
      <c r="B387" s="171"/>
    </row>
    <row r="388" spans="2:2" x14ac:dyDescent="0.25">
      <c r="B388" s="171"/>
    </row>
    <row r="389" spans="2:2" x14ac:dyDescent="0.25">
      <c r="B389" s="171"/>
    </row>
    <row r="390" spans="2:2" x14ac:dyDescent="0.25">
      <c r="B390" s="171"/>
    </row>
    <row r="391" spans="2:2" x14ac:dyDescent="0.25">
      <c r="B391" s="171"/>
    </row>
    <row r="392" spans="2:2" x14ac:dyDescent="0.25">
      <c r="B392" s="171"/>
    </row>
    <row r="393" spans="2:2" x14ac:dyDescent="0.25">
      <c r="B393" s="171"/>
    </row>
    <row r="394" spans="2:2" x14ac:dyDescent="0.25">
      <c r="B394" s="171"/>
    </row>
    <row r="395" spans="2:2" x14ac:dyDescent="0.25">
      <c r="B395" s="171"/>
    </row>
    <row r="396" spans="2:2" x14ac:dyDescent="0.25">
      <c r="B396" s="171"/>
    </row>
    <row r="397" spans="2:2" x14ac:dyDescent="0.25">
      <c r="B397" s="171"/>
    </row>
    <row r="398" spans="2:2" x14ac:dyDescent="0.25">
      <c r="B398" s="171"/>
    </row>
    <row r="399" spans="2:2" x14ac:dyDescent="0.25">
      <c r="B399" s="171"/>
    </row>
    <row r="400" spans="2:2" x14ac:dyDescent="0.25">
      <c r="B400" s="171"/>
    </row>
    <row r="401" spans="2:2" x14ac:dyDescent="0.25">
      <c r="B401" s="171"/>
    </row>
    <row r="402" spans="2:2" x14ac:dyDescent="0.25">
      <c r="B402" s="171"/>
    </row>
    <row r="403" spans="2:2" x14ac:dyDescent="0.25">
      <c r="B403" s="171"/>
    </row>
    <row r="404" spans="2:2" x14ac:dyDescent="0.25">
      <c r="B404" s="171"/>
    </row>
    <row r="405" spans="2:2" x14ac:dyDescent="0.25">
      <c r="B405" s="171"/>
    </row>
    <row r="406" spans="2:2" x14ac:dyDescent="0.25">
      <c r="B406" s="171"/>
    </row>
    <row r="407" spans="2:2" x14ac:dyDescent="0.25">
      <c r="B407" s="171"/>
    </row>
    <row r="408" spans="2:2" x14ac:dyDescent="0.25">
      <c r="B408" s="171"/>
    </row>
    <row r="409" spans="2:2" x14ac:dyDescent="0.25">
      <c r="B409" s="171"/>
    </row>
    <row r="410" spans="2:2" x14ac:dyDescent="0.25">
      <c r="B410" s="171"/>
    </row>
    <row r="411" spans="2:2" x14ac:dyDescent="0.25">
      <c r="B411" s="171"/>
    </row>
    <row r="412" spans="2:2" x14ac:dyDescent="0.25">
      <c r="B412" s="171"/>
    </row>
    <row r="413" spans="2:2" x14ac:dyDescent="0.25">
      <c r="B413" s="171"/>
    </row>
    <row r="414" spans="2:2" x14ac:dyDescent="0.25">
      <c r="B414" s="171"/>
    </row>
    <row r="415" spans="2:2" x14ac:dyDescent="0.25">
      <c r="B415" s="171"/>
    </row>
    <row r="416" spans="2:2" x14ac:dyDescent="0.25">
      <c r="B416" s="171"/>
    </row>
    <row r="417" spans="2:2" x14ac:dyDescent="0.25">
      <c r="B417" s="171"/>
    </row>
    <row r="418" spans="2:2" x14ac:dyDescent="0.25">
      <c r="B418" s="171"/>
    </row>
    <row r="419" spans="2:2" x14ac:dyDescent="0.25">
      <c r="B419" s="171"/>
    </row>
    <row r="420" spans="2:2" x14ac:dyDescent="0.25">
      <c r="B420" s="171"/>
    </row>
    <row r="421" spans="2:2" x14ac:dyDescent="0.25">
      <c r="B421" s="171"/>
    </row>
    <row r="422" spans="2:2" x14ac:dyDescent="0.25">
      <c r="B422" s="171"/>
    </row>
    <row r="423" spans="2:2" x14ac:dyDescent="0.25">
      <c r="B423" s="171"/>
    </row>
    <row r="424" spans="2:2" x14ac:dyDescent="0.25">
      <c r="B424" s="171"/>
    </row>
    <row r="425" spans="2:2" x14ac:dyDescent="0.25">
      <c r="B425" s="171"/>
    </row>
    <row r="426" spans="2:2" x14ac:dyDescent="0.25">
      <c r="B426" s="171"/>
    </row>
    <row r="427" spans="2:2" x14ac:dyDescent="0.25">
      <c r="B427" s="171"/>
    </row>
    <row r="428" spans="2:2" x14ac:dyDescent="0.25">
      <c r="B428" s="171"/>
    </row>
    <row r="429" spans="2:2" x14ac:dyDescent="0.25">
      <c r="B429" s="171"/>
    </row>
    <row r="430" spans="2:2" x14ac:dyDescent="0.25">
      <c r="B430" s="171"/>
    </row>
    <row r="431" spans="2:2" x14ac:dyDescent="0.25">
      <c r="B431" s="171"/>
    </row>
    <row r="432" spans="2:2" x14ac:dyDescent="0.25">
      <c r="B432" s="171"/>
    </row>
    <row r="433" spans="2:2" x14ac:dyDescent="0.25">
      <c r="B433" s="171"/>
    </row>
    <row r="434" spans="2:2" x14ac:dyDescent="0.25">
      <c r="B434" s="171"/>
    </row>
    <row r="435" spans="2:2" x14ac:dyDescent="0.25">
      <c r="B435" s="171"/>
    </row>
    <row r="436" spans="2:2" x14ac:dyDescent="0.25">
      <c r="B436" s="171"/>
    </row>
    <row r="437" spans="2:2" x14ac:dyDescent="0.25">
      <c r="B437" s="171"/>
    </row>
    <row r="438" spans="2:2" x14ac:dyDescent="0.25">
      <c r="B438" s="171"/>
    </row>
    <row r="439" spans="2:2" x14ac:dyDescent="0.25">
      <c r="B439" s="171"/>
    </row>
    <row r="440" spans="2:2" x14ac:dyDescent="0.25">
      <c r="B440" s="171"/>
    </row>
    <row r="441" spans="2:2" x14ac:dyDescent="0.25">
      <c r="B441" s="171"/>
    </row>
    <row r="442" spans="2:2" x14ac:dyDescent="0.25">
      <c r="B442" s="171"/>
    </row>
    <row r="443" spans="2:2" x14ac:dyDescent="0.25">
      <c r="B443" s="171"/>
    </row>
    <row r="444" spans="2:2" x14ac:dyDescent="0.25">
      <c r="B444" s="171"/>
    </row>
    <row r="445" spans="2:2" x14ac:dyDescent="0.25">
      <c r="B445" s="171"/>
    </row>
    <row r="446" spans="2:2" x14ac:dyDescent="0.25">
      <c r="B446" s="171"/>
    </row>
    <row r="447" spans="2:2" x14ac:dyDescent="0.25">
      <c r="B447" s="171"/>
    </row>
    <row r="448" spans="2:2" x14ac:dyDescent="0.25">
      <c r="B448" s="171"/>
    </row>
    <row r="449" spans="2:2" x14ac:dyDescent="0.25">
      <c r="B449" s="171"/>
    </row>
    <row r="450" spans="2:2" x14ac:dyDescent="0.25">
      <c r="B450" s="171"/>
    </row>
    <row r="451" spans="2:2" x14ac:dyDescent="0.25">
      <c r="B451" s="171"/>
    </row>
    <row r="452" spans="2:2" x14ac:dyDescent="0.25">
      <c r="B452" s="171"/>
    </row>
    <row r="453" spans="2:2" x14ac:dyDescent="0.25">
      <c r="B453" s="171"/>
    </row>
    <row r="454" spans="2:2" x14ac:dyDescent="0.25">
      <c r="B454" s="171"/>
    </row>
    <row r="455" spans="2:2" x14ac:dyDescent="0.25">
      <c r="B455" s="171"/>
    </row>
    <row r="456" spans="2:2" x14ac:dyDescent="0.25">
      <c r="B456" s="171"/>
    </row>
    <row r="457" spans="2:2" x14ac:dyDescent="0.25">
      <c r="B457" s="171"/>
    </row>
    <row r="458" spans="2:2" x14ac:dyDescent="0.25">
      <c r="B458" s="171"/>
    </row>
    <row r="459" spans="2:2" x14ac:dyDescent="0.25">
      <c r="B459" s="171"/>
    </row>
    <row r="460" spans="2:2" x14ac:dyDescent="0.25">
      <c r="B460" s="171"/>
    </row>
    <row r="461" spans="2:2" x14ac:dyDescent="0.25">
      <c r="B461" s="171"/>
    </row>
    <row r="462" spans="2:2" x14ac:dyDescent="0.25">
      <c r="B462" s="171"/>
    </row>
    <row r="463" spans="2:2" x14ac:dyDescent="0.25">
      <c r="B463" s="171"/>
    </row>
    <row r="464" spans="2:2" x14ac:dyDescent="0.25">
      <c r="B464" s="171"/>
    </row>
    <row r="465" spans="2:2" x14ac:dyDescent="0.25">
      <c r="B465" s="171"/>
    </row>
    <row r="466" spans="2:2" x14ac:dyDescent="0.25">
      <c r="B466" s="171"/>
    </row>
    <row r="467" spans="2:2" x14ac:dyDescent="0.25">
      <c r="B467" s="171"/>
    </row>
    <row r="468" spans="2:2" x14ac:dyDescent="0.25">
      <c r="B468" s="171"/>
    </row>
    <row r="469" spans="2:2" x14ac:dyDescent="0.25">
      <c r="B469" s="171"/>
    </row>
    <row r="470" spans="2:2" x14ac:dyDescent="0.25">
      <c r="B470" s="171"/>
    </row>
    <row r="471" spans="2:2" x14ac:dyDescent="0.25">
      <c r="B471" s="171"/>
    </row>
    <row r="472" spans="2:2" x14ac:dyDescent="0.25">
      <c r="B472" s="171"/>
    </row>
    <row r="473" spans="2:2" x14ac:dyDescent="0.25">
      <c r="B473" s="171"/>
    </row>
    <row r="474" spans="2:2" x14ac:dyDescent="0.25">
      <c r="B474" s="171"/>
    </row>
    <row r="475" spans="2:2" x14ac:dyDescent="0.25">
      <c r="B475" s="171"/>
    </row>
    <row r="476" spans="2:2" x14ac:dyDescent="0.25">
      <c r="B476" s="171"/>
    </row>
    <row r="477" spans="2:2" x14ac:dyDescent="0.25">
      <c r="B477" s="171"/>
    </row>
    <row r="478" spans="2:2" x14ac:dyDescent="0.25">
      <c r="B478" s="171"/>
    </row>
    <row r="479" spans="2:2" x14ac:dyDescent="0.25">
      <c r="B479" s="171"/>
    </row>
    <row r="480" spans="2:2" x14ac:dyDescent="0.25">
      <c r="B480" s="171"/>
    </row>
    <row r="481" spans="2:2" x14ac:dyDescent="0.25">
      <c r="B481" s="171"/>
    </row>
    <row r="482" spans="2:2" x14ac:dyDescent="0.25">
      <c r="B482" s="171"/>
    </row>
    <row r="483" spans="2:2" x14ac:dyDescent="0.25">
      <c r="B483" s="171"/>
    </row>
    <row r="484" spans="2:2" x14ac:dyDescent="0.25">
      <c r="B484" s="171"/>
    </row>
    <row r="485" spans="2:2" x14ac:dyDescent="0.25">
      <c r="B485" s="171"/>
    </row>
    <row r="486" spans="2:2" x14ac:dyDescent="0.25">
      <c r="B486" s="171"/>
    </row>
    <row r="487" spans="2:2" x14ac:dyDescent="0.25">
      <c r="B487" s="171"/>
    </row>
    <row r="488" spans="2:2" x14ac:dyDescent="0.25">
      <c r="B488" s="171"/>
    </row>
    <row r="489" spans="2:2" x14ac:dyDescent="0.25">
      <c r="B489" s="171"/>
    </row>
    <row r="490" spans="2:2" x14ac:dyDescent="0.25">
      <c r="B490" s="171"/>
    </row>
    <row r="491" spans="2:2" x14ac:dyDescent="0.25">
      <c r="B491" s="171"/>
    </row>
    <row r="492" spans="2:2" x14ac:dyDescent="0.25">
      <c r="B492" s="171"/>
    </row>
    <row r="493" spans="2:2" x14ac:dyDescent="0.25">
      <c r="B493" s="171"/>
    </row>
    <row r="494" spans="2:2" x14ac:dyDescent="0.25">
      <c r="B494" s="171"/>
    </row>
    <row r="495" spans="2:2" x14ac:dyDescent="0.25">
      <c r="B495" s="171"/>
    </row>
    <row r="496" spans="2:2" x14ac:dyDescent="0.25">
      <c r="B496" s="171"/>
    </row>
    <row r="497" spans="2:2" x14ac:dyDescent="0.25">
      <c r="B497" s="171"/>
    </row>
    <row r="498" spans="2:2" x14ac:dyDescent="0.25">
      <c r="B498" s="171"/>
    </row>
    <row r="499" spans="2:2" x14ac:dyDescent="0.25">
      <c r="B499" s="171"/>
    </row>
    <row r="500" spans="2:2" x14ac:dyDescent="0.25">
      <c r="B500" s="171"/>
    </row>
    <row r="501" spans="2:2" x14ac:dyDescent="0.25">
      <c r="B501" s="171"/>
    </row>
    <row r="502" spans="2:2" x14ac:dyDescent="0.25">
      <c r="B502" s="171"/>
    </row>
    <row r="503" spans="2:2" x14ac:dyDescent="0.25">
      <c r="B503" s="171"/>
    </row>
    <row r="504" spans="2:2" x14ac:dyDescent="0.25">
      <c r="B504" s="171"/>
    </row>
    <row r="505" spans="2:2" x14ac:dyDescent="0.25">
      <c r="B505" s="171"/>
    </row>
    <row r="506" spans="2:2" x14ac:dyDescent="0.25">
      <c r="B506" s="171"/>
    </row>
    <row r="507" spans="2:2" x14ac:dyDescent="0.25">
      <c r="B507" s="171"/>
    </row>
    <row r="508" spans="2:2" x14ac:dyDescent="0.25">
      <c r="B508" s="171"/>
    </row>
    <row r="509" spans="2:2" x14ac:dyDescent="0.25">
      <c r="B509" s="171"/>
    </row>
    <row r="510" spans="2:2" x14ac:dyDescent="0.25">
      <c r="B510" s="171"/>
    </row>
    <row r="511" spans="2:2" x14ac:dyDescent="0.25">
      <c r="B511" s="171"/>
    </row>
    <row r="512" spans="2:2" x14ac:dyDescent="0.25">
      <c r="B512" s="171"/>
    </row>
    <row r="513" spans="2:2" x14ac:dyDescent="0.25">
      <c r="B513" s="171"/>
    </row>
    <row r="514" spans="2:2" x14ac:dyDescent="0.25">
      <c r="B514" s="171"/>
    </row>
    <row r="515" spans="2:2" x14ac:dyDescent="0.25">
      <c r="B515" s="171"/>
    </row>
    <row r="516" spans="2:2" x14ac:dyDescent="0.25">
      <c r="B516" s="171"/>
    </row>
    <row r="517" spans="2:2" x14ac:dyDescent="0.25">
      <c r="B517" s="171"/>
    </row>
    <row r="518" spans="2:2" x14ac:dyDescent="0.25">
      <c r="B518" s="171"/>
    </row>
    <row r="519" spans="2:2" x14ac:dyDescent="0.25">
      <c r="B519" s="171"/>
    </row>
    <row r="520" spans="2:2" x14ac:dyDescent="0.25">
      <c r="B520" s="171"/>
    </row>
    <row r="521" spans="2:2" x14ac:dyDescent="0.25">
      <c r="B521" s="171"/>
    </row>
    <row r="522" spans="2:2" x14ac:dyDescent="0.25">
      <c r="B522" s="171"/>
    </row>
    <row r="523" spans="2:2" x14ac:dyDescent="0.25">
      <c r="B523" s="171"/>
    </row>
    <row r="524" spans="2:2" x14ac:dyDescent="0.25">
      <c r="B524" s="171"/>
    </row>
    <row r="525" spans="2:2" x14ac:dyDescent="0.25">
      <c r="B525" s="171"/>
    </row>
    <row r="526" spans="2:2" x14ac:dyDescent="0.25">
      <c r="B526" s="171"/>
    </row>
    <row r="527" spans="2:2" x14ac:dyDescent="0.25">
      <c r="B527" s="171"/>
    </row>
    <row r="528" spans="2:2" x14ac:dyDescent="0.25">
      <c r="B528" s="171"/>
    </row>
    <row r="529" spans="2:2" x14ac:dyDescent="0.25">
      <c r="B529" s="171"/>
    </row>
    <row r="530" spans="2:2" x14ac:dyDescent="0.25">
      <c r="B530" s="171"/>
    </row>
    <row r="531" spans="2:2" x14ac:dyDescent="0.25">
      <c r="B531" s="171"/>
    </row>
    <row r="532" spans="2:2" x14ac:dyDescent="0.25">
      <c r="B532" s="171"/>
    </row>
    <row r="533" spans="2:2" x14ac:dyDescent="0.25">
      <c r="B533" s="171"/>
    </row>
    <row r="534" spans="2:2" x14ac:dyDescent="0.25">
      <c r="B534" s="171"/>
    </row>
    <row r="535" spans="2:2" x14ac:dyDescent="0.25">
      <c r="B535" s="171"/>
    </row>
    <row r="536" spans="2:2" x14ac:dyDescent="0.25">
      <c r="B536" s="171"/>
    </row>
    <row r="537" spans="2:2" x14ac:dyDescent="0.25">
      <c r="B537" s="171"/>
    </row>
    <row r="538" spans="2:2" x14ac:dyDescent="0.25">
      <c r="B538" s="171"/>
    </row>
    <row r="539" spans="2:2" x14ac:dyDescent="0.25">
      <c r="B539" s="171"/>
    </row>
    <row r="540" spans="2:2" x14ac:dyDescent="0.25">
      <c r="B540" s="171"/>
    </row>
    <row r="541" spans="2:2" x14ac:dyDescent="0.25">
      <c r="B541" s="171"/>
    </row>
    <row r="542" spans="2:2" x14ac:dyDescent="0.25">
      <c r="B542" s="171"/>
    </row>
    <row r="543" spans="2:2" x14ac:dyDescent="0.25">
      <c r="B543" s="171"/>
    </row>
    <row r="544" spans="2:2" x14ac:dyDescent="0.25">
      <c r="B544" s="171"/>
    </row>
    <row r="545" spans="2:2" x14ac:dyDescent="0.25">
      <c r="B545" s="171"/>
    </row>
  </sheetData>
  <protectedRanges>
    <protectedRange sqref="B26:H26" name="Plage2"/>
    <protectedRange sqref="A379:A408 B11:B12 B16:E17 B28 B32 B36:B37 B41:B42 G41 B66:B67 B20:B21 D20:F20 B47:F49" name="Plage1"/>
    <protectedRange sqref="A70:A378" name="Plage1_3"/>
    <protectedRange sqref="B70:B378" name="Plage1_4"/>
    <protectedRange sqref="B5:B8" name="Plage1_1"/>
    <protectedRange sqref="B57:B58" name="Plage1_2"/>
    <protectedRange sqref="B59" name="Plage1_5"/>
  </protectedRanges>
  <sortState ref="A56:A373">
    <sortCondition ref="A56"/>
  </sortState>
  <mergeCells count="5">
    <mergeCell ref="G15:I15"/>
    <mergeCell ref="G16:I16"/>
    <mergeCell ref="G17:I17"/>
    <mergeCell ref="J24:K24"/>
    <mergeCell ref="J25:K26"/>
  </mergeCells>
  <phoneticPr fontId="8"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00B050"/>
  </sheetPr>
  <dimension ref="A1:M314"/>
  <sheetViews>
    <sheetView topLeftCell="A277" workbookViewId="0">
      <selection activeCell="A277" sqref="A277"/>
    </sheetView>
  </sheetViews>
  <sheetFormatPr baseColWidth="10" defaultColWidth="11" defaultRowHeight="15" x14ac:dyDescent="0.25"/>
  <cols>
    <col min="1" max="1" width="7.25" style="14" customWidth="1"/>
    <col min="2" max="2" width="25.375" style="14" customWidth="1"/>
    <col min="3" max="3" width="9.25" style="14" customWidth="1"/>
    <col min="4" max="4" width="13.625" style="14" customWidth="1"/>
    <col min="5" max="5" width="9" style="14" bestFit="1" customWidth="1"/>
    <col min="6" max="6" width="13.25" style="15" customWidth="1"/>
    <col min="7" max="7" width="11" style="16"/>
    <col min="8" max="8" width="11" style="14"/>
    <col min="9" max="9" width="13.375" style="6" customWidth="1"/>
    <col min="10" max="12" width="11" style="14"/>
    <col min="13" max="13" width="11.625" style="16" bestFit="1" customWidth="1"/>
    <col min="14" max="16384" width="11" style="14"/>
  </cols>
  <sheetData>
    <row r="1" spans="1:12" ht="21" x14ac:dyDescent="0.25">
      <c r="A1" s="53" t="s">
        <v>467</v>
      </c>
      <c r="B1" s="44"/>
      <c r="C1" s="99"/>
      <c r="D1" s="99"/>
    </row>
    <row r="3" spans="1:12" ht="60" x14ac:dyDescent="0.25">
      <c r="A3" s="568" t="s">
        <v>50</v>
      </c>
      <c r="B3" s="568" t="s">
        <v>101</v>
      </c>
      <c r="C3" s="568" t="s">
        <v>310</v>
      </c>
      <c r="D3" s="568" t="s">
        <v>3</v>
      </c>
      <c r="E3" s="119" t="s">
        <v>360</v>
      </c>
      <c r="F3" s="565" t="s">
        <v>317</v>
      </c>
      <c r="G3" s="588" t="s">
        <v>83</v>
      </c>
      <c r="H3" s="568" t="s">
        <v>358</v>
      </c>
      <c r="I3" s="565" t="s">
        <v>359</v>
      </c>
    </row>
    <row r="4" spans="1:12" x14ac:dyDescent="0.25">
      <c r="A4" s="569"/>
      <c r="B4" s="569"/>
      <c r="C4" s="569"/>
      <c r="D4" s="569"/>
      <c r="E4" s="120">
        <f>+Paramètres!B32</f>
        <v>0.27</v>
      </c>
      <c r="F4" s="566"/>
      <c r="G4" s="589"/>
      <c r="H4" s="569"/>
      <c r="I4" s="566"/>
    </row>
    <row r="5" spans="1:12" x14ac:dyDescent="0.25">
      <c r="A5" s="48">
        <f>'A) Base RI'!A7</f>
        <v>5401</v>
      </c>
      <c r="B5" s="327" t="str">
        <f>'A) Base RI'!B7</f>
        <v>Aigle</v>
      </c>
      <c r="C5" s="100">
        <f>'A) Base RI'!AN7</f>
        <v>10153</v>
      </c>
      <c r="D5" s="117">
        <f>'D) Ecrêtage'!N5</f>
        <v>27.657592328728477</v>
      </c>
      <c r="E5" s="36">
        <f t="shared" ref="E5" si="0">IF($D$314-D5&lt;0,0,$D$314-D5)</f>
        <v>17.135200475894905</v>
      </c>
      <c r="F5" s="298">
        <f t="shared" ref="F5" si="1">(C5*E5*G5)*$E$4</f>
        <v>3170670.5081188437</v>
      </c>
      <c r="G5" s="35">
        <f>+'A) Base RI'!AM7</f>
        <v>67.5</v>
      </c>
      <c r="H5" s="299">
        <f t="shared" ref="H5" si="2">G5/$G$314</f>
        <v>0.99264509157864089</v>
      </c>
      <c r="I5" s="59">
        <f>F5*H5</f>
        <v>3147350.5168973254</v>
      </c>
      <c r="J5" s="50"/>
      <c r="K5" s="114"/>
      <c r="L5" s="16"/>
    </row>
    <row r="6" spans="1:12" x14ac:dyDescent="0.25">
      <c r="A6" s="51">
        <f>'A) Base RI'!A8</f>
        <v>5402</v>
      </c>
      <c r="B6" s="34" t="str">
        <f>'A) Base RI'!B8</f>
        <v>Bex</v>
      </c>
      <c r="C6" s="101">
        <f>'A) Base RI'!AN8</f>
        <v>7719</v>
      </c>
      <c r="D6" s="117">
        <f>'D) Ecrêtage'!N6</f>
        <v>23.175103758970458</v>
      </c>
      <c r="E6" s="36">
        <f t="shared" ref="E6:E69" si="3">IF($D$314-D6&lt;0,0,$D$314-D6)</f>
        <v>21.617689045652924</v>
      </c>
      <c r="F6" s="298">
        <f t="shared" ref="F6:F69" si="4">(C6*E6*G6)*$E$4</f>
        <v>3198839.2732208804</v>
      </c>
      <c r="G6" s="35">
        <f>+'A) Base RI'!AM8</f>
        <v>71</v>
      </c>
      <c r="H6" s="299">
        <f t="shared" ref="H6:H69" si="5">G6/$G$314</f>
        <v>1.0441155778086446</v>
      </c>
      <c r="I6" s="59">
        <f t="shared" ref="I6:I69" si="6">F6*H6</f>
        <v>3339957.9160760045</v>
      </c>
      <c r="J6" s="50"/>
      <c r="L6" s="115"/>
    </row>
    <row r="7" spans="1:12" x14ac:dyDescent="0.25">
      <c r="A7" s="51">
        <f>'A) Base RI'!A9</f>
        <v>5403</v>
      </c>
      <c r="B7" s="34" t="str">
        <f>'A) Base RI'!B9</f>
        <v>Chessel</v>
      </c>
      <c r="C7" s="101">
        <f>'A) Base RI'!AN9</f>
        <v>403</v>
      </c>
      <c r="D7" s="117">
        <f>'D) Ecrêtage'!N7</f>
        <v>24.311147139695528</v>
      </c>
      <c r="E7" s="36">
        <f t="shared" si="3"/>
        <v>20.481645664927854</v>
      </c>
      <c r="F7" s="298">
        <f t="shared" si="4"/>
        <v>164916.98199525921</v>
      </c>
      <c r="G7" s="35">
        <f>+'A) Base RI'!AM9</f>
        <v>74</v>
      </c>
      <c r="H7" s="299">
        <f t="shared" si="5"/>
        <v>1.0882331374343619</v>
      </c>
      <c r="I7" s="59">
        <f t="shared" si="6"/>
        <v>179468.1247329071</v>
      </c>
      <c r="J7" s="50"/>
      <c r="L7" s="115"/>
    </row>
    <row r="8" spans="1:12" x14ac:dyDescent="0.25">
      <c r="A8" s="51">
        <f>'A) Base RI'!A10</f>
        <v>5404</v>
      </c>
      <c r="B8" s="34" t="str">
        <f>'A) Base RI'!B10</f>
        <v>Corbeyrier</v>
      </c>
      <c r="C8" s="101">
        <f>'A) Base RI'!AN10</f>
        <v>437</v>
      </c>
      <c r="D8" s="117">
        <f>'D) Ecrêtage'!N8</f>
        <v>25.092345428789365</v>
      </c>
      <c r="E8" s="36">
        <f t="shared" si="3"/>
        <v>19.700447375834017</v>
      </c>
      <c r="F8" s="298">
        <f t="shared" si="4"/>
        <v>162711.9050112259</v>
      </c>
      <c r="G8" s="35">
        <f>+'A) Base RI'!AM10</f>
        <v>70</v>
      </c>
      <c r="H8" s="299">
        <f t="shared" si="5"/>
        <v>1.0294097246000722</v>
      </c>
      <c r="I8" s="59">
        <f t="shared" si="6"/>
        <v>167497.21732675916</v>
      </c>
    </row>
    <row r="9" spans="1:12" x14ac:dyDescent="0.25">
      <c r="A9" s="51">
        <f>'A) Base RI'!A11</f>
        <v>5405</v>
      </c>
      <c r="B9" s="34" t="str">
        <f>'A) Base RI'!B11</f>
        <v>Gryon</v>
      </c>
      <c r="C9" s="101">
        <f>'A) Base RI'!AN11</f>
        <v>1364</v>
      </c>
      <c r="D9" s="117">
        <f>'D) Ecrêtage'!N9</f>
        <v>51.282873541870309</v>
      </c>
      <c r="E9" s="36">
        <f t="shared" si="3"/>
        <v>0</v>
      </c>
      <c r="F9" s="298">
        <f t="shared" si="4"/>
        <v>0</v>
      </c>
      <c r="G9" s="35">
        <f>+'A) Base RI'!AM11</f>
        <v>75</v>
      </c>
      <c r="H9" s="299">
        <f t="shared" si="5"/>
        <v>1.1029389906429343</v>
      </c>
      <c r="I9" s="59">
        <f t="shared" si="6"/>
        <v>0</v>
      </c>
    </row>
    <row r="10" spans="1:12" x14ac:dyDescent="0.25">
      <c r="A10" s="51">
        <f>'A) Base RI'!A12</f>
        <v>5406</v>
      </c>
      <c r="B10" s="34" t="str">
        <f>'A) Base RI'!B12</f>
        <v>Lavey-Morcles</v>
      </c>
      <c r="C10" s="101">
        <f>'A) Base RI'!AN12</f>
        <v>926</v>
      </c>
      <c r="D10" s="117">
        <f>'D) Ecrêtage'!N10</f>
        <v>23.979492171503853</v>
      </c>
      <c r="E10" s="36">
        <f t="shared" si="3"/>
        <v>20.813300633119528</v>
      </c>
      <c r="F10" s="298">
        <f t="shared" si="4"/>
        <v>369465.64112477069</v>
      </c>
      <c r="G10" s="35">
        <f>+'A) Base RI'!AM12</f>
        <v>71</v>
      </c>
      <c r="H10" s="299">
        <f t="shared" si="5"/>
        <v>1.0441155778086446</v>
      </c>
      <c r="I10" s="59">
        <f t="shared" si="6"/>
        <v>385764.83136343129</v>
      </c>
    </row>
    <row r="11" spans="1:12" x14ac:dyDescent="0.25">
      <c r="A11" s="51">
        <f>'A) Base RI'!A13</f>
        <v>5407</v>
      </c>
      <c r="B11" s="34" t="str">
        <f>'A) Base RI'!B13</f>
        <v>Leysin</v>
      </c>
      <c r="C11" s="101">
        <f>'A) Base RI'!AN13</f>
        <v>4023</v>
      </c>
      <c r="D11" s="117">
        <f>'D) Ecrêtage'!N11</f>
        <v>22.189839576282527</v>
      </c>
      <c r="E11" s="36">
        <f t="shared" si="3"/>
        <v>22.602953228340855</v>
      </c>
      <c r="F11" s="298">
        <f t="shared" si="4"/>
        <v>1915021.1984401776</v>
      </c>
      <c r="G11" s="35">
        <f>+'A) Base RI'!AM13</f>
        <v>78</v>
      </c>
      <c r="H11" s="299">
        <f t="shared" si="5"/>
        <v>1.1470565502686518</v>
      </c>
      <c r="I11" s="59">
        <f t="shared" si="6"/>
        <v>2196637.6095741293</v>
      </c>
    </row>
    <row r="12" spans="1:12" x14ac:dyDescent="0.25">
      <c r="A12" s="51">
        <f>'A) Base RI'!A14</f>
        <v>5408</v>
      </c>
      <c r="B12" s="34" t="str">
        <f>'A) Base RI'!B14</f>
        <v>Noville</v>
      </c>
      <c r="C12" s="101">
        <f>'A) Base RI'!AN14</f>
        <v>1055</v>
      </c>
      <c r="D12" s="117">
        <f>'D) Ecrêtage'!N12</f>
        <v>32.57960825509906</v>
      </c>
      <c r="E12" s="36">
        <f t="shared" si="3"/>
        <v>12.213184549524321</v>
      </c>
      <c r="F12" s="298">
        <f t="shared" si="4"/>
        <v>273095.66108616226</v>
      </c>
      <c r="G12" s="35">
        <f>+'A) Base RI'!AM14</f>
        <v>78.5</v>
      </c>
      <c r="H12" s="299">
        <f t="shared" si="5"/>
        <v>1.154409476872938</v>
      </c>
      <c r="I12" s="59">
        <f t="shared" si="6"/>
        <v>315264.21925074578</v>
      </c>
    </row>
    <row r="13" spans="1:12" x14ac:dyDescent="0.25">
      <c r="A13" s="51">
        <f>'A) Base RI'!A15</f>
        <v>5409</v>
      </c>
      <c r="B13" s="34" t="str">
        <f>'A) Base RI'!B15</f>
        <v>Ollon</v>
      </c>
      <c r="C13" s="101">
        <f>'A) Base RI'!AN15</f>
        <v>7494</v>
      </c>
      <c r="D13" s="117">
        <f>'D) Ecrêtage'!N13</f>
        <v>49.641264082155622</v>
      </c>
      <c r="E13" s="36">
        <f t="shared" si="3"/>
        <v>0</v>
      </c>
      <c r="F13" s="298">
        <f t="shared" si="4"/>
        <v>0</v>
      </c>
      <c r="G13" s="35">
        <f>+'A) Base RI'!AM15</f>
        <v>68</v>
      </c>
      <c r="H13" s="299">
        <f t="shared" si="5"/>
        <v>0.99999801818292722</v>
      </c>
      <c r="I13" s="59">
        <f t="shared" si="6"/>
        <v>0</v>
      </c>
    </row>
    <row r="14" spans="1:12" x14ac:dyDescent="0.25">
      <c r="A14" s="51">
        <f>'A) Base RI'!A16</f>
        <v>5410</v>
      </c>
      <c r="B14" s="34" t="str">
        <f>'A) Base RI'!B16</f>
        <v>Ormont-Dessous</v>
      </c>
      <c r="C14" s="101">
        <f>'A) Base RI'!AN16</f>
        <v>1117</v>
      </c>
      <c r="D14" s="117">
        <f>'D) Ecrêtage'!N14</f>
        <v>34.302494435542584</v>
      </c>
      <c r="E14" s="36">
        <f t="shared" si="3"/>
        <v>10.490298369080797</v>
      </c>
      <c r="F14" s="298">
        <f t="shared" si="4"/>
        <v>248355.87318278957</v>
      </c>
      <c r="G14" s="35">
        <f>+'A) Base RI'!AM16</f>
        <v>78.5</v>
      </c>
      <c r="H14" s="299">
        <f t="shared" si="5"/>
        <v>1.154409476872938</v>
      </c>
      <c r="I14" s="59">
        <f t="shared" si="6"/>
        <v>286704.37363926583</v>
      </c>
    </row>
    <row r="15" spans="1:12" x14ac:dyDescent="0.25">
      <c r="A15" s="51">
        <f>'A) Base RI'!A17</f>
        <v>5411</v>
      </c>
      <c r="B15" s="34" t="str">
        <f>'A) Base RI'!B17</f>
        <v>Ormont-Dessus</v>
      </c>
      <c r="C15" s="101">
        <f>'A) Base RI'!AN17</f>
        <v>1467</v>
      </c>
      <c r="D15" s="117">
        <f>'D) Ecrêtage'!N15</f>
        <v>54.480847743933793</v>
      </c>
      <c r="E15" s="36">
        <f t="shared" si="3"/>
        <v>0</v>
      </c>
      <c r="F15" s="298">
        <f t="shared" si="4"/>
        <v>0</v>
      </c>
      <c r="G15" s="35">
        <f>+'A) Base RI'!AM17</f>
        <v>76</v>
      </c>
      <c r="H15" s="299">
        <f t="shared" si="5"/>
        <v>1.1176448438515068</v>
      </c>
      <c r="I15" s="59">
        <f t="shared" si="6"/>
        <v>0</v>
      </c>
    </row>
    <row r="16" spans="1:12" x14ac:dyDescent="0.25">
      <c r="A16" s="51">
        <f>'A) Base RI'!A18</f>
        <v>5412</v>
      </c>
      <c r="B16" s="34" t="str">
        <f>'A) Base RI'!B18</f>
        <v>Rennaz</v>
      </c>
      <c r="C16" s="101">
        <f>'A) Base RI'!AN18</f>
        <v>839</v>
      </c>
      <c r="D16" s="117">
        <f>'D) Ecrêtage'!N16</f>
        <v>37.543006400918195</v>
      </c>
      <c r="E16" s="36">
        <f t="shared" si="3"/>
        <v>7.2497864037051869</v>
      </c>
      <c r="F16" s="298">
        <f t="shared" si="4"/>
        <v>110854.85269711517</v>
      </c>
      <c r="G16" s="35">
        <f>+'A) Base RI'!AM18</f>
        <v>67.5</v>
      </c>
      <c r="H16" s="299">
        <f t="shared" si="5"/>
        <v>0.99264509157864089</v>
      </c>
      <c r="I16" s="59">
        <f t="shared" si="6"/>
        <v>110039.52540746464</v>
      </c>
    </row>
    <row r="17" spans="1:9" x14ac:dyDescent="0.25">
      <c r="A17" s="51">
        <f>'A) Base RI'!A19</f>
        <v>5413</v>
      </c>
      <c r="B17" s="34" t="str">
        <f>'A) Base RI'!B19</f>
        <v>Roche</v>
      </c>
      <c r="C17" s="101">
        <f>'A) Base RI'!AN19</f>
        <v>1650</v>
      </c>
      <c r="D17" s="117">
        <f>'D) Ecrêtage'!N17</f>
        <v>22.855727272727279</v>
      </c>
      <c r="E17" s="36">
        <f t="shared" si="3"/>
        <v>21.937065531896103</v>
      </c>
      <c r="F17" s="298">
        <f t="shared" si="4"/>
        <v>664561.46322326071</v>
      </c>
      <c r="G17" s="35">
        <f>+'A) Base RI'!AM19</f>
        <v>68</v>
      </c>
      <c r="H17" s="299">
        <f t="shared" si="5"/>
        <v>0.99999801818292722</v>
      </c>
      <c r="I17" s="59">
        <f t="shared" si="6"/>
        <v>664560.14618400694</v>
      </c>
    </row>
    <row r="18" spans="1:9" x14ac:dyDescent="0.25">
      <c r="A18" s="51">
        <f>'A) Base RI'!A20</f>
        <v>5414</v>
      </c>
      <c r="B18" s="34" t="str">
        <f>'A) Base RI'!B20</f>
        <v>Villeneuve</v>
      </c>
      <c r="C18" s="101">
        <f>'A) Base RI'!AN20</f>
        <v>5672</v>
      </c>
      <c r="D18" s="117">
        <f>'D) Ecrêtage'!N18</f>
        <v>29.743662920831547</v>
      </c>
      <c r="E18" s="36">
        <f t="shared" si="3"/>
        <v>15.049129883791835</v>
      </c>
      <c r="F18" s="298">
        <f t="shared" si="4"/>
        <v>1590231.9233771577</v>
      </c>
      <c r="G18" s="35">
        <f>+'A) Base RI'!AM20</f>
        <v>69</v>
      </c>
      <c r="H18" s="299">
        <f t="shared" si="5"/>
        <v>1.0147038713914995</v>
      </c>
      <c r="I18" s="59">
        <f t="shared" si="6"/>
        <v>1613614.4890611523</v>
      </c>
    </row>
    <row r="19" spans="1:9" x14ac:dyDescent="0.25">
      <c r="A19" s="51">
        <f>'A) Base RI'!A21</f>
        <v>5415</v>
      </c>
      <c r="B19" s="34" t="str">
        <f>'A) Base RI'!B21</f>
        <v>Yvorne</v>
      </c>
      <c r="C19" s="101">
        <f>'A) Base RI'!AN21</f>
        <v>1057</v>
      </c>
      <c r="D19" s="117">
        <f>'D) Ecrêtage'!N19</f>
        <v>33.125323991681611</v>
      </c>
      <c r="E19" s="36">
        <f t="shared" si="3"/>
        <v>11.66746881294177</v>
      </c>
      <c r="F19" s="298">
        <f t="shared" si="4"/>
        <v>238079.19310356982</v>
      </c>
      <c r="G19" s="35">
        <f>+'A) Base RI'!AM21</f>
        <v>71.5</v>
      </c>
      <c r="H19" s="299">
        <f t="shared" si="5"/>
        <v>1.0514685044129308</v>
      </c>
      <c r="I19" s="59">
        <f t="shared" si="6"/>
        <v>250332.77310444793</v>
      </c>
    </row>
    <row r="20" spans="1:9" x14ac:dyDescent="0.25">
      <c r="A20" s="51">
        <f>'A) Base RI'!A22</f>
        <v>5421</v>
      </c>
      <c r="B20" s="34" t="str">
        <f>'A) Base RI'!B22</f>
        <v>Apples</v>
      </c>
      <c r="C20" s="101">
        <f>'A) Base RI'!AN22</f>
        <v>1437</v>
      </c>
      <c r="D20" s="117">
        <f>'D) Ecrêtage'!N20</f>
        <v>41.286377962128718</v>
      </c>
      <c r="E20" s="36">
        <f t="shared" si="3"/>
        <v>3.5064148424946637</v>
      </c>
      <c r="F20" s="298">
        <f t="shared" si="4"/>
        <v>103394.49600020236</v>
      </c>
      <c r="G20" s="35">
        <f>+'A) Base RI'!AM22</f>
        <v>76</v>
      </c>
      <c r="H20" s="299">
        <f t="shared" si="5"/>
        <v>1.1176448438515068</v>
      </c>
      <c r="I20" s="59">
        <f t="shared" si="6"/>
        <v>115558.3253372514</v>
      </c>
    </row>
    <row r="21" spans="1:9" x14ac:dyDescent="0.25">
      <c r="A21" s="51">
        <f>'A) Base RI'!A23</f>
        <v>5422</v>
      </c>
      <c r="B21" s="34" t="str">
        <f>'A) Base RI'!B23</f>
        <v>Aubonne</v>
      </c>
      <c r="C21" s="101">
        <f>'A) Base RI'!AN23</f>
        <v>3269</v>
      </c>
      <c r="D21" s="117">
        <f>'D) Ecrêtage'!N21</f>
        <v>74.356654211659716</v>
      </c>
      <c r="E21" s="36">
        <f t="shared" si="3"/>
        <v>0</v>
      </c>
      <c r="F21" s="298">
        <f t="shared" si="4"/>
        <v>0</v>
      </c>
      <c r="G21" s="35">
        <f>+'A) Base RI'!AM23</f>
        <v>68</v>
      </c>
      <c r="H21" s="299">
        <f t="shared" si="5"/>
        <v>0.99999801818292722</v>
      </c>
      <c r="I21" s="59">
        <f t="shared" si="6"/>
        <v>0</v>
      </c>
    </row>
    <row r="22" spans="1:9" x14ac:dyDescent="0.25">
      <c r="A22" s="51">
        <f>'A) Base RI'!A24</f>
        <v>5423</v>
      </c>
      <c r="B22" s="34" t="str">
        <f>'A) Base RI'!B24</f>
        <v>Ballens</v>
      </c>
      <c r="C22" s="101">
        <f>'A) Base RI'!AN24</f>
        <v>527</v>
      </c>
      <c r="D22" s="117">
        <f>'D) Ecrêtage'!N22</f>
        <v>31.695382394191906</v>
      </c>
      <c r="E22" s="36">
        <f t="shared" si="3"/>
        <v>13.097410410431475</v>
      </c>
      <c r="F22" s="298">
        <f t="shared" si="4"/>
        <v>128590.50638372035</v>
      </c>
      <c r="G22" s="35">
        <f>+'A) Base RI'!AM24</f>
        <v>69</v>
      </c>
      <c r="H22" s="299">
        <f t="shared" si="5"/>
        <v>1.0147038713914995</v>
      </c>
      <c r="I22" s="59">
        <f t="shared" si="6"/>
        <v>130481.28465175437</v>
      </c>
    </row>
    <row r="23" spans="1:9" x14ac:dyDescent="0.25">
      <c r="A23" s="51">
        <f>'A) Base RI'!A25</f>
        <v>5424</v>
      </c>
      <c r="B23" s="34" t="str">
        <f>'A) Base RI'!B25</f>
        <v>Berolle</v>
      </c>
      <c r="C23" s="101">
        <f>'A) Base RI'!AN25</f>
        <v>301</v>
      </c>
      <c r="D23" s="117">
        <f>'D) Ecrêtage'!N23</f>
        <v>37.684189929671668</v>
      </c>
      <c r="E23" s="36">
        <f t="shared" si="3"/>
        <v>7.1086028749517141</v>
      </c>
      <c r="F23" s="298">
        <f t="shared" si="4"/>
        <v>44484.143984844086</v>
      </c>
      <c r="G23" s="35">
        <f>+'A) Base RI'!AM25</f>
        <v>77</v>
      </c>
      <c r="H23" s="299">
        <f t="shared" si="5"/>
        <v>1.1323506970600794</v>
      </c>
      <c r="I23" s="59">
        <f t="shared" si="6"/>
        <v>50371.651449359138</v>
      </c>
    </row>
    <row r="24" spans="1:9" x14ac:dyDescent="0.25">
      <c r="A24" s="51">
        <f>'A) Base RI'!A26</f>
        <v>5425</v>
      </c>
      <c r="B24" s="34" t="str">
        <f>'A) Base RI'!B26</f>
        <v>Bière</v>
      </c>
      <c r="C24" s="101">
        <f>'A) Base RI'!AN26</f>
        <v>1577</v>
      </c>
      <c r="D24" s="117">
        <f>'D) Ecrêtage'!N24</f>
        <v>26.284960123401685</v>
      </c>
      <c r="E24" s="36">
        <f t="shared" si="3"/>
        <v>18.507832681221696</v>
      </c>
      <c r="F24" s="298">
        <f t="shared" si="4"/>
        <v>535870.60525894235</v>
      </c>
      <c r="G24" s="35">
        <f>+'A) Base RI'!AM26</f>
        <v>68</v>
      </c>
      <c r="H24" s="299">
        <f t="shared" si="5"/>
        <v>0.99999801818292722</v>
      </c>
      <c r="I24" s="59">
        <f t="shared" si="6"/>
        <v>535869.54326142801</v>
      </c>
    </row>
    <row r="25" spans="1:9" x14ac:dyDescent="0.25">
      <c r="A25" s="51">
        <f>'A) Base RI'!A27</f>
        <v>5426</v>
      </c>
      <c r="B25" s="34" t="str">
        <f>'A) Base RI'!B27</f>
        <v>Bougy-Villars</v>
      </c>
      <c r="C25" s="101">
        <f>'A) Base RI'!AN27</f>
        <v>483</v>
      </c>
      <c r="D25" s="117">
        <f>'D) Ecrêtage'!N25</f>
        <v>86.643904234666508</v>
      </c>
      <c r="E25" s="36">
        <f t="shared" si="3"/>
        <v>0</v>
      </c>
      <c r="F25" s="298">
        <f t="shared" si="4"/>
        <v>0</v>
      </c>
      <c r="G25" s="35">
        <f>+'A) Base RI'!AM27</f>
        <v>66</v>
      </c>
      <c r="H25" s="299">
        <f t="shared" si="5"/>
        <v>0.97058631176578225</v>
      </c>
      <c r="I25" s="59">
        <f t="shared" si="6"/>
        <v>0</v>
      </c>
    </row>
    <row r="26" spans="1:9" x14ac:dyDescent="0.25">
      <c r="A26" s="51">
        <f>'A) Base RI'!A28</f>
        <v>5427</v>
      </c>
      <c r="B26" s="34" t="str">
        <f>'A) Base RI'!B28</f>
        <v>Féchy</v>
      </c>
      <c r="C26" s="101">
        <f>'A) Base RI'!AN28</f>
        <v>895</v>
      </c>
      <c r="D26" s="117">
        <f>'D) Ecrêtage'!N26</f>
        <v>79.980735507209531</v>
      </c>
      <c r="E26" s="36">
        <f t="shared" si="3"/>
        <v>0</v>
      </c>
      <c r="F26" s="298">
        <f t="shared" si="4"/>
        <v>0</v>
      </c>
      <c r="G26" s="35">
        <f>+'A) Base RI'!AM28</f>
        <v>64</v>
      </c>
      <c r="H26" s="299">
        <f t="shared" si="5"/>
        <v>0.94117460534863739</v>
      </c>
      <c r="I26" s="59">
        <f t="shared" si="6"/>
        <v>0</v>
      </c>
    </row>
    <row r="27" spans="1:9" x14ac:dyDescent="0.25">
      <c r="A27" s="51">
        <f>'A) Base RI'!A29</f>
        <v>5428</v>
      </c>
      <c r="B27" s="34" t="str">
        <f>'A) Base RI'!B29</f>
        <v>Gimel</v>
      </c>
      <c r="C27" s="101">
        <f>'A) Base RI'!AN29</f>
        <v>2016</v>
      </c>
      <c r="D27" s="117">
        <f>'D) Ecrêtage'!N27</f>
        <v>31.098533272283277</v>
      </c>
      <c r="E27" s="36">
        <f t="shared" si="3"/>
        <v>13.694259532340105</v>
      </c>
      <c r="F27" s="298">
        <f t="shared" si="4"/>
        <v>532965.24342800071</v>
      </c>
      <c r="G27" s="35">
        <f>+'A) Base RI'!AM29</f>
        <v>71.5</v>
      </c>
      <c r="H27" s="299">
        <f t="shared" si="5"/>
        <v>1.0514685044129308</v>
      </c>
      <c r="I27" s="59">
        <f t="shared" si="6"/>
        <v>560396.16741131351</v>
      </c>
    </row>
    <row r="28" spans="1:9" x14ac:dyDescent="0.25">
      <c r="A28" s="51">
        <f>'A) Base RI'!A30</f>
        <v>5429</v>
      </c>
      <c r="B28" s="34" t="str">
        <f>'A) Base RI'!B30</f>
        <v>Longirod</v>
      </c>
      <c r="C28" s="101">
        <f>'A) Base RI'!AN30</f>
        <v>469</v>
      </c>
      <c r="D28" s="117">
        <f>'D) Ecrêtage'!N28</f>
        <v>31.759196609544865</v>
      </c>
      <c r="E28" s="36">
        <f t="shared" si="3"/>
        <v>13.033596195078516</v>
      </c>
      <c r="F28" s="298">
        <f t="shared" si="4"/>
        <v>133685.9871808062</v>
      </c>
      <c r="G28" s="35">
        <f>+'A) Base RI'!AM30</f>
        <v>81</v>
      </c>
      <c r="H28" s="299">
        <f t="shared" si="5"/>
        <v>1.1911741098943691</v>
      </c>
      <c r="I28" s="59">
        <f t="shared" si="6"/>
        <v>159243.28678544686</v>
      </c>
    </row>
    <row r="29" spans="1:9" x14ac:dyDescent="0.25">
      <c r="A29" s="51">
        <f>'A) Base RI'!A31</f>
        <v>5430</v>
      </c>
      <c r="B29" s="34" t="str">
        <f>'A) Base RI'!B31</f>
        <v>Marchissy</v>
      </c>
      <c r="C29" s="101">
        <f>'A) Base RI'!AN31</f>
        <v>455</v>
      </c>
      <c r="D29" s="117">
        <f>'D) Ecrêtage'!N29</f>
        <v>29.943140909723184</v>
      </c>
      <c r="E29" s="36">
        <f t="shared" si="3"/>
        <v>14.849651894900198</v>
      </c>
      <c r="F29" s="298">
        <f t="shared" si="4"/>
        <v>144118.09908779064</v>
      </c>
      <c r="G29" s="35">
        <f>+'A) Base RI'!AM31</f>
        <v>79</v>
      </c>
      <c r="H29" s="299">
        <f t="shared" si="5"/>
        <v>1.1617624034772243</v>
      </c>
      <c r="I29" s="59">
        <f t="shared" si="6"/>
        <v>167430.98918080042</v>
      </c>
    </row>
    <row r="30" spans="1:9" x14ac:dyDescent="0.25">
      <c r="A30" s="51">
        <f>'A) Base RI'!A32</f>
        <v>5431</v>
      </c>
      <c r="B30" s="34" t="str">
        <f>'A) Base RI'!B32</f>
        <v>Mollens</v>
      </c>
      <c r="C30" s="101">
        <f>'A) Base RI'!AN32</f>
        <v>301</v>
      </c>
      <c r="D30" s="117">
        <f>'D) Ecrêtage'!N30</f>
        <v>29.820479033851129</v>
      </c>
      <c r="E30" s="36">
        <f t="shared" si="3"/>
        <v>14.972313770772253</v>
      </c>
      <c r="F30" s="298">
        <f t="shared" si="4"/>
        <v>90043.195571148928</v>
      </c>
      <c r="G30" s="35">
        <f>+'A) Base RI'!AM32</f>
        <v>74</v>
      </c>
      <c r="H30" s="299">
        <f t="shared" si="5"/>
        <v>1.0882331374343619</v>
      </c>
      <c r="I30" s="59">
        <f t="shared" si="6"/>
        <v>97987.989221007243</v>
      </c>
    </row>
    <row r="31" spans="1:9" x14ac:dyDescent="0.25">
      <c r="A31" s="51">
        <f>'A) Base RI'!A33</f>
        <v>5432</v>
      </c>
      <c r="B31" s="34" t="str">
        <f>'A) Base RI'!B33</f>
        <v>Montherod</v>
      </c>
      <c r="C31" s="101">
        <f>'A) Base RI'!AN33</f>
        <v>534</v>
      </c>
      <c r="D31" s="117">
        <f>'D) Ecrêtage'!N31</f>
        <v>33.744871794871791</v>
      </c>
      <c r="E31" s="36">
        <f t="shared" si="3"/>
        <v>11.04792100975159</v>
      </c>
      <c r="F31" s="298">
        <f t="shared" si="4"/>
        <v>124245.36159250679</v>
      </c>
      <c r="G31" s="35">
        <f>+'A) Base RI'!AM33</f>
        <v>78</v>
      </c>
      <c r="H31" s="299">
        <f t="shared" si="5"/>
        <v>1.1470565502686518</v>
      </c>
      <c r="I31" s="59">
        <f t="shared" si="6"/>
        <v>142516.45585518208</v>
      </c>
    </row>
    <row r="32" spans="1:9" x14ac:dyDescent="0.25">
      <c r="A32" s="51">
        <f>'A) Base RI'!A34</f>
        <v>5434</v>
      </c>
      <c r="B32" s="34" t="str">
        <f>'A) Base RI'!B34</f>
        <v>Saint-George</v>
      </c>
      <c r="C32" s="101">
        <f>'A) Base RI'!AN34</f>
        <v>1031</v>
      </c>
      <c r="D32" s="117">
        <f>'D) Ecrêtage'!N32</f>
        <v>36.123843253507474</v>
      </c>
      <c r="E32" s="36">
        <f t="shared" si="3"/>
        <v>8.668949551115908</v>
      </c>
      <c r="F32" s="298">
        <f t="shared" si="4"/>
        <v>171335.4595446336</v>
      </c>
      <c r="G32" s="35">
        <f>+'A) Base RI'!AM34</f>
        <v>71</v>
      </c>
      <c r="H32" s="299">
        <f t="shared" si="5"/>
        <v>1.0441155778086446</v>
      </c>
      <c r="I32" s="59">
        <f t="shared" si="6"/>
        <v>178894.02234155478</v>
      </c>
    </row>
    <row r="33" spans="1:9" x14ac:dyDescent="0.25">
      <c r="A33" s="51">
        <f>'A) Base RI'!A35</f>
        <v>5435</v>
      </c>
      <c r="B33" s="34" t="str">
        <f>'A) Base RI'!B35</f>
        <v>Saint-Livres</v>
      </c>
      <c r="C33" s="101">
        <f>'A) Base RI'!AN35</f>
        <v>683</v>
      </c>
      <c r="D33" s="117">
        <f>'D) Ecrêtage'!N33</f>
        <v>37.751549430262905</v>
      </c>
      <c r="E33" s="36">
        <f t="shared" si="3"/>
        <v>7.0412433743604765</v>
      </c>
      <c r="F33" s="298">
        <f t="shared" si="4"/>
        <v>89594.822655941272</v>
      </c>
      <c r="G33" s="35">
        <f>+'A) Base RI'!AM35</f>
        <v>69</v>
      </c>
      <c r="H33" s="299">
        <f t="shared" si="5"/>
        <v>1.0147038713914995</v>
      </c>
      <c r="I33" s="59">
        <f t="shared" si="6"/>
        <v>90912.213405618444</v>
      </c>
    </row>
    <row r="34" spans="1:9" x14ac:dyDescent="0.25">
      <c r="A34" s="51">
        <f>'A) Base RI'!A36</f>
        <v>5436</v>
      </c>
      <c r="B34" s="34" t="str">
        <f>'A) Base RI'!B36</f>
        <v>Saint-Oyens</v>
      </c>
      <c r="C34" s="101">
        <f>'A) Base RI'!AN36</f>
        <v>366</v>
      </c>
      <c r="D34" s="117">
        <f>'D) Ecrêtage'!N34</f>
        <v>30.956820313027055</v>
      </c>
      <c r="E34" s="36">
        <f t="shared" si="3"/>
        <v>13.835972491596326</v>
      </c>
      <c r="F34" s="298">
        <f t="shared" si="4"/>
        <v>110748.93493118348</v>
      </c>
      <c r="G34" s="35">
        <f>+'A) Base RI'!AM36</f>
        <v>81</v>
      </c>
      <c r="H34" s="299">
        <f t="shared" si="5"/>
        <v>1.1911741098943691</v>
      </c>
      <c r="I34" s="59">
        <f t="shared" si="6"/>
        <v>131921.26398840189</v>
      </c>
    </row>
    <row r="35" spans="1:9" x14ac:dyDescent="0.25">
      <c r="A35" s="51">
        <f>'A) Base RI'!A37</f>
        <v>5437</v>
      </c>
      <c r="B35" s="34" t="str">
        <f>'A) Base RI'!B37</f>
        <v>Saubraz</v>
      </c>
      <c r="C35" s="101">
        <f>'A) Base RI'!AN37</f>
        <v>420</v>
      </c>
      <c r="D35" s="117">
        <f>'D) Ecrêtage'!N35</f>
        <v>23.687386309523806</v>
      </c>
      <c r="E35" s="36">
        <f t="shared" si="3"/>
        <v>21.105406495099576</v>
      </c>
      <c r="F35" s="298">
        <f t="shared" si="4"/>
        <v>191468.24772354341</v>
      </c>
      <c r="G35" s="35">
        <f>+'A) Base RI'!AM37</f>
        <v>80</v>
      </c>
      <c r="H35" s="299">
        <f t="shared" si="5"/>
        <v>1.1764682566857967</v>
      </c>
      <c r="I35" s="59">
        <f t="shared" si="6"/>
        <v>225256.31561000136</v>
      </c>
    </row>
    <row r="36" spans="1:9" x14ac:dyDescent="0.25">
      <c r="A36" s="51">
        <f>'A) Base RI'!A38</f>
        <v>5451</v>
      </c>
      <c r="B36" s="34" t="str">
        <f>'A) Base RI'!B38</f>
        <v>Avenches</v>
      </c>
      <c r="C36" s="101">
        <f>'A) Base RI'!AN38</f>
        <v>4210</v>
      </c>
      <c r="D36" s="117">
        <f>'D) Ecrêtage'!N36</f>
        <v>23.179102289134182</v>
      </c>
      <c r="E36" s="36">
        <f t="shared" si="3"/>
        <v>21.6136905154892</v>
      </c>
      <c r="F36" s="298">
        <f t="shared" si="4"/>
        <v>1670643.176609047</v>
      </c>
      <c r="G36" s="35">
        <f>+'A) Base RI'!AM38</f>
        <v>68</v>
      </c>
      <c r="H36" s="299">
        <f t="shared" si="5"/>
        <v>0.99999801818292722</v>
      </c>
      <c r="I36" s="59">
        <f t="shared" si="6"/>
        <v>1670639.865699877</v>
      </c>
    </row>
    <row r="37" spans="1:9" x14ac:dyDescent="0.25">
      <c r="A37" s="51">
        <f>'A) Base RI'!A39</f>
        <v>5456</v>
      </c>
      <c r="B37" s="34" t="str">
        <f>'A) Base RI'!B39</f>
        <v>Cudrefin</v>
      </c>
      <c r="C37" s="101">
        <f>'A) Base RI'!AN39</f>
        <v>1589</v>
      </c>
      <c r="D37" s="117">
        <f>'D) Ecrêtage'!N37</f>
        <v>35.180301294563975</v>
      </c>
      <c r="E37" s="36">
        <f t="shared" si="3"/>
        <v>9.6124915100594066</v>
      </c>
      <c r="F37" s="298">
        <f t="shared" si="4"/>
        <v>243318.78672108648</v>
      </c>
      <c r="G37" s="35">
        <f>+'A) Base RI'!AM39</f>
        <v>59</v>
      </c>
      <c r="H37" s="299">
        <f t="shared" si="5"/>
        <v>0.86764533930577503</v>
      </c>
      <c r="I37" s="59">
        <f t="shared" si="6"/>
        <v>211114.41126408658</v>
      </c>
    </row>
    <row r="38" spans="1:9" x14ac:dyDescent="0.25">
      <c r="A38" s="51">
        <f>'A) Base RI'!A40</f>
        <v>5458</v>
      </c>
      <c r="B38" s="34" t="str">
        <f>'A) Base RI'!B40</f>
        <v>Faoug</v>
      </c>
      <c r="C38" s="101">
        <f>'A) Base RI'!AN40</f>
        <v>893</v>
      </c>
      <c r="D38" s="117">
        <f>'D) Ecrêtage'!N38</f>
        <v>38.970029745240765</v>
      </c>
      <c r="E38" s="36">
        <f t="shared" si="3"/>
        <v>5.8227630593826163</v>
      </c>
      <c r="F38" s="298">
        <f t="shared" si="4"/>
        <v>89851.28967985553</v>
      </c>
      <c r="G38" s="35">
        <f>+'A) Base RI'!AM40</f>
        <v>64</v>
      </c>
      <c r="H38" s="299">
        <f t="shared" si="5"/>
        <v>0.94117460534863739</v>
      </c>
      <c r="I38" s="59">
        <f t="shared" si="6"/>
        <v>84565.752104504121</v>
      </c>
    </row>
    <row r="39" spans="1:9" x14ac:dyDescent="0.25">
      <c r="A39" s="51">
        <f>'A) Base RI'!A41</f>
        <v>5464</v>
      </c>
      <c r="B39" s="34" t="str">
        <f>'A) Base RI'!B41</f>
        <v>Vully-les-Lacs</v>
      </c>
      <c r="C39" s="101">
        <f>'A) Base RI'!AN41</f>
        <v>3080</v>
      </c>
      <c r="D39" s="117">
        <f>'D) Ecrêtage'!N39</f>
        <v>32.127941946113587</v>
      </c>
      <c r="E39" s="36">
        <f t="shared" si="3"/>
        <v>12.664850858509794</v>
      </c>
      <c r="F39" s="298">
        <f t="shared" si="4"/>
        <v>705650.02825376194</v>
      </c>
      <c r="G39" s="35">
        <f>+'A) Base RI'!AM41</f>
        <v>67</v>
      </c>
      <c r="H39" s="299">
        <f t="shared" si="5"/>
        <v>0.98529216497435468</v>
      </c>
      <c r="I39" s="59">
        <f t="shared" si="6"/>
        <v>695271.44405236363</v>
      </c>
    </row>
    <row r="40" spans="1:9" x14ac:dyDescent="0.25">
      <c r="A40" s="51">
        <f>'A) Base RI'!A42</f>
        <v>5471</v>
      </c>
      <c r="B40" s="34" t="str">
        <f>'A) Base RI'!B42</f>
        <v>Bettens</v>
      </c>
      <c r="C40" s="101">
        <f>'A) Base RI'!AN42</f>
        <v>574</v>
      </c>
      <c r="D40" s="117">
        <f>'D) Ecrêtage'!N40</f>
        <v>33.476327277252359</v>
      </c>
      <c r="E40" s="36">
        <f t="shared" si="3"/>
        <v>11.316465527371022</v>
      </c>
      <c r="F40" s="298">
        <f t="shared" si="4"/>
        <v>122767.80792023729</v>
      </c>
      <c r="G40" s="35">
        <f>+'A) Base RI'!AM42</f>
        <v>70</v>
      </c>
      <c r="H40" s="299">
        <f t="shared" si="5"/>
        <v>1.0294097246000722</v>
      </c>
      <c r="I40" s="59">
        <f t="shared" si="6"/>
        <v>126378.37534092602</v>
      </c>
    </row>
    <row r="41" spans="1:9" x14ac:dyDescent="0.25">
      <c r="A41" s="51">
        <f>'A) Base RI'!A43</f>
        <v>5472</v>
      </c>
      <c r="B41" s="34" t="str">
        <f>'A) Base RI'!B43</f>
        <v>Bournens</v>
      </c>
      <c r="C41" s="101">
        <f>'A) Base RI'!AN43</f>
        <v>419</v>
      </c>
      <c r="D41" s="117">
        <f>'D) Ecrêtage'!N41</f>
        <v>36.121644391408118</v>
      </c>
      <c r="E41" s="36">
        <f t="shared" si="3"/>
        <v>8.6711484132152634</v>
      </c>
      <c r="F41" s="298">
        <f t="shared" si="4"/>
        <v>78477.361598963427</v>
      </c>
      <c r="G41" s="35">
        <f>+'A) Base RI'!AM43</f>
        <v>80</v>
      </c>
      <c r="H41" s="299">
        <f t="shared" si="5"/>
        <v>1.1764682566857967</v>
      </c>
      <c r="I41" s="59">
        <f t="shared" si="6"/>
        <v>92326.124789633395</v>
      </c>
    </row>
    <row r="42" spans="1:9" x14ac:dyDescent="0.25">
      <c r="A42" s="51">
        <f>'A) Base RI'!A44</f>
        <v>5473</v>
      </c>
      <c r="B42" s="34" t="str">
        <f>'A) Base RI'!B44</f>
        <v>Boussens</v>
      </c>
      <c r="C42" s="101">
        <f>'A) Base RI'!AN44</f>
        <v>982</v>
      </c>
      <c r="D42" s="117">
        <f>'D) Ecrêtage'!N42</f>
        <v>33.888778741993576</v>
      </c>
      <c r="E42" s="36">
        <f t="shared" si="3"/>
        <v>10.904014062629805</v>
      </c>
      <c r="F42" s="298">
        <f t="shared" si="4"/>
        <v>199485.22991103103</v>
      </c>
      <c r="G42" s="35">
        <f>+'A) Base RI'!AM44</f>
        <v>69</v>
      </c>
      <c r="H42" s="299">
        <f t="shared" si="5"/>
        <v>1.0147038713914995</v>
      </c>
      <c r="I42" s="59">
        <f t="shared" si="6"/>
        <v>202418.43507614653</v>
      </c>
    </row>
    <row r="43" spans="1:9" x14ac:dyDescent="0.25">
      <c r="A43" s="51">
        <f>'A) Base RI'!A45</f>
        <v>5474</v>
      </c>
      <c r="B43" s="34" t="str">
        <f>'A) Base RI'!B45</f>
        <v>La Chaux (Cossonay)</v>
      </c>
      <c r="C43" s="101">
        <f>'A) Base RI'!AN45</f>
        <v>420</v>
      </c>
      <c r="D43" s="117">
        <f>'D) Ecrêtage'!N43</f>
        <v>31.936437641723355</v>
      </c>
      <c r="E43" s="36">
        <f t="shared" si="3"/>
        <v>12.856355162900027</v>
      </c>
      <c r="F43" s="298">
        <f t="shared" si="4"/>
        <v>112259.12201141047</v>
      </c>
      <c r="G43" s="35">
        <f>+'A) Base RI'!AM45</f>
        <v>77</v>
      </c>
      <c r="H43" s="299">
        <f t="shared" si="5"/>
        <v>1.1323506970600794</v>
      </c>
      <c r="I43" s="59">
        <f t="shared" si="6"/>
        <v>127116.69506097314</v>
      </c>
    </row>
    <row r="44" spans="1:9" x14ac:dyDescent="0.25">
      <c r="A44" s="51">
        <f>'A) Base RI'!A46</f>
        <v>5475</v>
      </c>
      <c r="B44" s="34" t="str">
        <f>'A) Base RI'!B46</f>
        <v>Chavannes-le-Veyron</v>
      </c>
      <c r="C44" s="101">
        <f>'A) Base RI'!AN46</f>
        <v>141</v>
      </c>
      <c r="D44" s="117">
        <f>'D) Ecrêtage'!N44</f>
        <v>26.830435663627153</v>
      </c>
      <c r="E44" s="36">
        <f t="shared" si="3"/>
        <v>17.962357140996229</v>
      </c>
      <c r="F44" s="298">
        <f t="shared" si="4"/>
        <v>52654.674099544936</v>
      </c>
      <c r="G44" s="35">
        <f>+'A) Base RI'!AM46</f>
        <v>77</v>
      </c>
      <c r="H44" s="299">
        <f t="shared" si="5"/>
        <v>1.1323506970600794</v>
      </c>
      <c r="I44" s="59">
        <f t="shared" si="6"/>
        <v>59623.556920091018</v>
      </c>
    </row>
    <row r="45" spans="1:9" x14ac:dyDescent="0.25">
      <c r="A45" s="51">
        <f>'A) Base RI'!A47</f>
        <v>5476</v>
      </c>
      <c r="B45" s="34" t="str">
        <f>'A) Base RI'!B47</f>
        <v>Chevilly</v>
      </c>
      <c r="C45" s="101">
        <f>'A) Base RI'!AN47</f>
        <v>298</v>
      </c>
      <c r="D45" s="117">
        <f>'D) Ecrêtage'!N45</f>
        <v>33.857326168450335</v>
      </c>
      <c r="E45" s="36">
        <f t="shared" si="3"/>
        <v>10.935466636173047</v>
      </c>
      <c r="F45" s="298">
        <f t="shared" si="4"/>
        <v>65110.205770439767</v>
      </c>
      <c r="G45" s="35">
        <f>+'A) Base RI'!AM47</f>
        <v>74</v>
      </c>
      <c r="H45" s="299">
        <f t="shared" si="5"/>
        <v>1.0882331374343619</v>
      </c>
      <c r="I45" s="59">
        <f t="shared" si="6"/>
        <v>70855.083504562557</v>
      </c>
    </row>
    <row r="46" spans="1:9" x14ac:dyDescent="0.25">
      <c r="A46" s="51">
        <f>'A) Base RI'!A48</f>
        <v>5477</v>
      </c>
      <c r="B46" s="34" t="str">
        <f>'A) Base RI'!B48</f>
        <v>Cossonay</v>
      </c>
      <c r="C46" s="101">
        <f>'A) Base RI'!AN48</f>
        <v>3808</v>
      </c>
      <c r="D46" s="117">
        <f>'D) Ecrêtage'!N46</f>
        <v>33.091708819091018</v>
      </c>
      <c r="E46" s="36">
        <f t="shared" si="3"/>
        <v>11.701083985532364</v>
      </c>
      <c r="F46" s="298">
        <f t="shared" si="4"/>
        <v>854171.64225011179</v>
      </c>
      <c r="G46" s="35">
        <f>+'A) Base RI'!AM48</f>
        <v>71</v>
      </c>
      <c r="H46" s="299">
        <f t="shared" si="5"/>
        <v>1.0441155778086446</v>
      </c>
      <c r="I46" s="59">
        <f t="shared" si="6"/>
        <v>891853.91779573436</v>
      </c>
    </row>
    <row r="47" spans="1:9" x14ac:dyDescent="0.25">
      <c r="A47" s="51">
        <f>'A) Base RI'!A49</f>
        <v>5478</v>
      </c>
      <c r="B47" s="34" t="str">
        <f>'A) Base RI'!B49</f>
        <v>Cottens</v>
      </c>
      <c r="C47" s="101">
        <f>'A) Base RI'!AN49</f>
        <v>477</v>
      </c>
      <c r="D47" s="117">
        <f>'D) Ecrêtage'!N47</f>
        <v>35.703067029293443</v>
      </c>
      <c r="E47" s="36">
        <f t="shared" si="3"/>
        <v>9.0897257753299385</v>
      </c>
      <c r="F47" s="298">
        <f t="shared" si="4"/>
        <v>86629.267912750962</v>
      </c>
      <c r="G47" s="35">
        <f>+'A) Base RI'!AM49</f>
        <v>74</v>
      </c>
      <c r="H47" s="299">
        <f t="shared" si="5"/>
        <v>1.0882331374343619</v>
      </c>
      <c r="I47" s="59">
        <f t="shared" si="6"/>
        <v>94272.84001433487</v>
      </c>
    </row>
    <row r="48" spans="1:9" x14ac:dyDescent="0.25">
      <c r="A48" s="51">
        <f>'A) Base RI'!A50</f>
        <v>5479</v>
      </c>
      <c r="B48" s="34" t="str">
        <f>'A) Base RI'!B50</f>
        <v>Cuarnens</v>
      </c>
      <c r="C48" s="101">
        <f>'A) Base RI'!AN50</f>
        <v>479</v>
      </c>
      <c r="D48" s="117">
        <f>'D) Ecrêtage'!N48</f>
        <v>40.977855922782851</v>
      </c>
      <c r="E48" s="36">
        <f t="shared" si="3"/>
        <v>3.8149368818405307</v>
      </c>
      <c r="F48" s="298">
        <f t="shared" si="4"/>
        <v>37990.705593489562</v>
      </c>
      <c r="G48" s="35">
        <f>+'A) Base RI'!AM50</f>
        <v>77</v>
      </c>
      <c r="H48" s="299">
        <f t="shared" si="5"/>
        <v>1.1323506970600794</v>
      </c>
      <c r="I48" s="59">
        <f t="shared" si="6"/>
        <v>43018.801960592165</v>
      </c>
    </row>
    <row r="49" spans="1:9" x14ac:dyDescent="0.25">
      <c r="A49" s="51">
        <f>'A) Base RI'!A51</f>
        <v>5480</v>
      </c>
      <c r="B49" s="34" t="str">
        <f>'A) Base RI'!B51</f>
        <v>Daillens</v>
      </c>
      <c r="C49" s="101">
        <f>'A) Base RI'!AN51</f>
        <v>998</v>
      </c>
      <c r="D49" s="117">
        <f>'D) Ecrêtage'!N49</f>
        <v>41.893101414095796</v>
      </c>
      <c r="E49" s="36">
        <f t="shared" si="3"/>
        <v>2.8996913905275861</v>
      </c>
      <c r="F49" s="298">
        <f t="shared" si="4"/>
        <v>55475.909788500998</v>
      </c>
      <c r="G49" s="35">
        <f>+'A) Base RI'!AM51</f>
        <v>71</v>
      </c>
      <c r="H49" s="299">
        <f t="shared" si="5"/>
        <v>1.0441155778086446</v>
      </c>
      <c r="I49" s="59">
        <f t="shared" si="6"/>
        <v>57923.26160328096</v>
      </c>
    </row>
    <row r="50" spans="1:9" x14ac:dyDescent="0.25">
      <c r="A50" s="51">
        <f>'A) Base RI'!A52</f>
        <v>5481</v>
      </c>
      <c r="B50" s="34" t="str">
        <f>'A) Base RI'!B52</f>
        <v>Dizy</v>
      </c>
      <c r="C50" s="101">
        <f>'A) Base RI'!AN52</f>
        <v>229</v>
      </c>
      <c r="D50" s="117">
        <f>'D) Ecrêtage'!N50</f>
        <v>37.020237687247793</v>
      </c>
      <c r="E50" s="36">
        <f t="shared" si="3"/>
        <v>7.7725551173755889</v>
      </c>
      <c r="F50" s="298">
        <f t="shared" si="4"/>
        <v>37965.58954967928</v>
      </c>
      <c r="G50" s="35">
        <f>+'A) Base RI'!AM52</f>
        <v>79</v>
      </c>
      <c r="H50" s="299">
        <f t="shared" si="5"/>
        <v>1.1617624034772243</v>
      </c>
      <c r="I50" s="59">
        <f t="shared" si="6"/>
        <v>44106.99456466519</v>
      </c>
    </row>
    <row r="51" spans="1:9" x14ac:dyDescent="0.25">
      <c r="A51" s="51">
        <f>'A) Base RI'!A53</f>
        <v>5482</v>
      </c>
      <c r="B51" s="34" t="str">
        <f>'A) Base RI'!B53</f>
        <v>Eclépens</v>
      </c>
      <c r="C51" s="101">
        <f>'A) Base RI'!AN53</f>
        <v>1091</v>
      </c>
      <c r="D51" s="117">
        <f>'D) Ecrêtage'!N51</f>
        <v>46.167479177459846</v>
      </c>
      <c r="E51" s="36">
        <f t="shared" si="3"/>
        <v>0</v>
      </c>
      <c r="F51" s="298">
        <f t="shared" si="4"/>
        <v>0</v>
      </c>
      <c r="G51" s="35">
        <f>+'A) Base RI'!AM53</f>
        <v>46</v>
      </c>
      <c r="H51" s="299">
        <f t="shared" si="5"/>
        <v>0.67646924759433313</v>
      </c>
      <c r="I51" s="59">
        <f t="shared" si="6"/>
        <v>0</v>
      </c>
    </row>
    <row r="52" spans="1:9" x14ac:dyDescent="0.25">
      <c r="A52" s="51">
        <f>'A) Base RI'!A54</f>
        <v>5483</v>
      </c>
      <c r="B52" s="34" t="str">
        <f>'A) Base RI'!B54</f>
        <v>Ferreyres</v>
      </c>
      <c r="C52" s="101">
        <f>'A) Base RI'!AN54</f>
        <v>322</v>
      </c>
      <c r="D52" s="117">
        <f>'D) Ecrêtage'!N52</f>
        <v>38.214936662307949</v>
      </c>
      <c r="E52" s="36">
        <f t="shared" si="3"/>
        <v>6.5778561423154329</v>
      </c>
      <c r="F52" s="298">
        <f t="shared" si="4"/>
        <v>43462.789788980677</v>
      </c>
      <c r="G52" s="35">
        <f>+'A) Base RI'!AM54</f>
        <v>76</v>
      </c>
      <c r="H52" s="299">
        <f t="shared" si="5"/>
        <v>1.1176448438515068</v>
      </c>
      <c r="I52" s="59">
        <f t="shared" si="6"/>
        <v>48575.962907056171</v>
      </c>
    </row>
    <row r="53" spans="1:9" x14ac:dyDescent="0.25">
      <c r="A53" s="51">
        <f>'A) Base RI'!A55</f>
        <v>5484</v>
      </c>
      <c r="B53" s="34" t="str">
        <f>'A) Base RI'!B55</f>
        <v>Gollion</v>
      </c>
      <c r="C53" s="101">
        <f>'A) Base RI'!AN55</f>
        <v>918</v>
      </c>
      <c r="D53" s="117">
        <f>'D) Ecrêtage'!N53</f>
        <v>37.875300153094273</v>
      </c>
      <c r="E53" s="36">
        <f t="shared" si="3"/>
        <v>6.9174926515291091</v>
      </c>
      <c r="F53" s="298">
        <f t="shared" si="4"/>
        <v>126878.15991699237</v>
      </c>
      <c r="G53" s="35">
        <f>+'A) Base RI'!AM55</f>
        <v>74</v>
      </c>
      <c r="H53" s="299">
        <f t="shared" si="5"/>
        <v>1.0882331374343619</v>
      </c>
      <c r="I53" s="59">
        <f t="shared" si="6"/>
        <v>138073.0180383673</v>
      </c>
    </row>
    <row r="54" spans="1:9" x14ac:dyDescent="0.25">
      <c r="A54" s="51">
        <f>'A) Base RI'!A56</f>
        <v>5485</v>
      </c>
      <c r="B54" s="34" t="str">
        <f>'A) Base RI'!B56</f>
        <v>Grancy</v>
      </c>
      <c r="C54" s="101">
        <f>'A) Base RI'!AN56</f>
        <v>403</v>
      </c>
      <c r="D54" s="117">
        <f>'D) Ecrêtage'!N54</f>
        <v>44.329021623537763</v>
      </c>
      <c r="E54" s="36">
        <f t="shared" si="3"/>
        <v>0.46377118108561888</v>
      </c>
      <c r="F54" s="298">
        <f t="shared" si="4"/>
        <v>3532.4059549748335</v>
      </c>
      <c r="G54" s="35">
        <f>+'A) Base RI'!AM56</f>
        <v>70</v>
      </c>
      <c r="H54" s="299">
        <f t="shared" si="5"/>
        <v>1.0294097246000722</v>
      </c>
      <c r="I54" s="59">
        <f t="shared" si="6"/>
        <v>3636.2930412862984</v>
      </c>
    </row>
    <row r="55" spans="1:9" x14ac:dyDescent="0.25">
      <c r="A55" s="51">
        <f>'A) Base RI'!A57</f>
        <v>5486</v>
      </c>
      <c r="B55" s="34" t="str">
        <f>'A) Base RI'!B57</f>
        <v>L'Isle</v>
      </c>
      <c r="C55" s="101">
        <f>'A) Base RI'!AN57</f>
        <v>1005</v>
      </c>
      <c r="D55" s="117">
        <f>'D) Ecrêtage'!N55</f>
        <v>26.056915030112595</v>
      </c>
      <c r="E55" s="36">
        <f t="shared" si="3"/>
        <v>18.735877774510787</v>
      </c>
      <c r="F55" s="298">
        <f t="shared" si="4"/>
        <v>386382.51299262617</v>
      </c>
      <c r="G55" s="35">
        <f>+'A) Base RI'!AM57</f>
        <v>76</v>
      </c>
      <c r="H55" s="299">
        <f t="shared" si="5"/>
        <v>1.1176448438515068</v>
      </c>
      <c r="I55" s="59">
        <f t="shared" si="6"/>
        <v>431838.42340059648</v>
      </c>
    </row>
    <row r="56" spans="1:9" x14ac:dyDescent="0.25">
      <c r="A56" s="51">
        <f>'A) Base RI'!A58</f>
        <v>5487</v>
      </c>
      <c r="B56" s="34" t="str">
        <f>'A) Base RI'!B58</f>
        <v>Lussery-Villars</v>
      </c>
      <c r="C56" s="101">
        <f>'A) Base RI'!AN58</f>
        <v>459</v>
      </c>
      <c r="D56" s="117">
        <f>'D) Ecrêtage'!N56</f>
        <v>31.308239227789883</v>
      </c>
      <c r="E56" s="36">
        <f t="shared" si="3"/>
        <v>13.484553576833498</v>
      </c>
      <c r="F56" s="298">
        <f t="shared" si="4"/>
        <v>120322.13218394225</v>
      </c>
      <c r="G56" s="35">
        <f>+'A) Base RI'!AM58</f>
        <v>72</v>
      </c>
      <c r="H56" s="299">
        <f t="shared" si="5"/>
        <v>1.058821431017217</v>
      </c>
      <c r="I56" s="59">
        <f t="shared" si="6"/>
        <v>127399.65218204448</v>
      </c>
    </row>
    <row r="57" spans="1:9" x14ac:dyDescent="0.25">
      <c r="A57" s="51">
        <f>'A) Base RI'!A59</f>
        <v>5488</v>
      </c>
      <c r="B57" s="34" t="str">
        <f>'A) Base RI'!B59</f>
        <v>Mauraz</v>
      </c>
      <c r="C57" s="101">
        <f>'A) Base RI'!AN59</f>
        <v>60</v>
      </c>
      <c r="D57" s="117">
        <f>'D) Ecrêtage'!N57</f>
        <v>27.248954954954957</v>
      </c>
      <c r="E57" s="36">
        <f t="shared" si="3"/>
        <v>17.543837849668424</v>
      </c>
      <c r="F57" s="298">
        <f t="shared" si="4"/>
        <v>21031.552814182509</v>
      </c>
      <c r="G57" s="35">
        <f>+'A) Base RI'!AM59</f>
        <v>74</v>
      </c>
      <c r="H57" s="299">
        <f t="shared" si="5"/>
        <v>1.0882331374343619</v>
      </c>
      <c r="I57" s="59">
        <f t="shared" si="6"/>
        <v>22887.232704094316</v>
      </c>
    </row>
    <row r="58" spans="1:9" x14ac:dyDescent="0.25">
      <c r="A58" s="51">
        <f>'A) Base RI'!A60</f>
        <v>5489</v>
      </c>
      <c r="B58" s="34" t="str">
        <f>'A) Base RI'!B60</f>
        <v>Mex</v>
      </c>
      <c r="C58" s="101">
        <f>'A) Base RI'!AN60</f>
        <v>718</v>
      </c>
      <c r="D58" s="117">
        <f>'D) Ecrêtage'!N58</f>
        <v>73.548813624202651</v>
      </c>
      <c r="E58" s="36">
        <f t="shared" si="3"/>
        <v>0</v>
      </c>
      <c r="F58" s="298">
        <f t="shared" si="4"/>
        <v>0</v>
      </c>
      <c r="G58" s="35">
        <f>+'A) Base RI'!AM60</f>
        <v>61</v>
      </c>
      <c r="H58" s="299">
        <f t="shared" si="5"/>
        <v>0.89705704572292</v>
      </c>
      <c r="I58" s="59">
        <f t="shared" si="6"/>
        <v>0</v>
      </c>
    </row>
    <row r="59" spans="1:9" x14ac:dyDescent="0.25">
      <c r="A59" s="51">
        <f>'A) Base RI'!A61</f>
        <v>5490</v>
      </c>
      <c r="B59" s="34" t="str">
        <f>'A) Base RI'!B61</f>
        <v>Moiry</v>
      </c>
      <c r="C59" s="101">
        <f>'A) Base RI'!AN61</f>
        <v>316</v>
      </c>
      <c r="D59" s="117">
        <f>'D) Ecrêtage'!N59</f>
        <v>25.837732848882638</v>
      </c>
      <c r="E59" s="36">
        <f t="shared" si="3"/>
        <v>18.955059955740744</v>
      </c>
      <c r="F59" s="298">
        <f t="shared" si="4"/>
        <v>130996.90294932784</v>
      </c>
      <c r="G59" s="35">
        <f>+'A) Base RI'!AM61</f>
        <v>81</v>
      </c>
      <c r="H59" s="299">
        <f t="shared" si="5"/>
        <v>1.1911741098943691</v>
      </c>
      <c r="I59" s="59">
        <f t="shared" si="6"/>
        <v>156040.11926958465</v>
      </c>
    </row>
    <row r="60" spans="1:9" x14ac:dyDescent="0.25">
      <c r="A60" s="51">
        <f>'A) Base RI'!A62</f>
        <v>5491</v>
      </c>
      <c r="B60" s="34" t="str">
        <f>'A) Base RI'!B62</f>
        <v>Mont-la-Ville</v>
      </c>
      <c r="C60" s="101">
        <f>'A) Base RI'!AN62</f>
        <v>417</v>
      </c>
      <c r="D60" s="117">
        <f>'D) Ecrêtage'!N60</f>
        <v>25.272135239177082</v>
      </c>
      <c r="E60" s="36">
        <f t="shared" si="3"/>
        <v>19.520657565446299</v>
      </c>
      <c r="F60" s="298">
        <f t="shared" si="4"/>
        <v>167035.14348231352</v>
      </c>
      <c r="G60" s="35">
        <f>+'A) Base RI'!AM62</f>
        <v>76</v>
      </c>
      <c r="H60" s="299">
        <f t="shared" si="5"/>
        <v>1.1176448438515068</v>
      </c>
      <c r="I60" s="59">
        <f t="shared" si="6"/>
        <v>186685.96685500431</v>
      </c>
    </row>
    <row r="61" spans="1:9" x14ac:dyDescent="0.25">
      <c r="A61" s="51">
        <f>'A) Base RI'!A63</f>
        <v>5492</v>
      </c>
      <c r="B61" s="34" t="str">
        <f>'A) Base RI'!B63</f>
        <v>Montricher</v>
      </c>
      <c r="C61" s="101">
        <f>'A) Base RI'!AN63</f>
        <v>986</v>
      </c>
      <c r="D61" s="117">
        <f>'D) Ecrêtage'!N61</f>
        <v>162.08954361907425</v>
      </c>
      <c r="E61" s="36">
        <f t="shared" si="3"/>
        <v>0</v>
      </c>
      <c r="F61" s="298">
        <f t="shared" si="4"/>
        <v>0</v>
      </c>
      <c r="G61" s="35">
        <f>+'A) Base RI'!AM63</f>
        <v>64</v>
      </c>
      <c r="H61" s="299">
        <f t="shared" si="5"/>
        <v>0.94117460534863739</v>
      </c>
      <c r="I61" s="59">
        <f t="shared" si="6"/>
        <v>0</v>
      </c>
    </row>
    <row r="62" spans="1:9" x14ac:dyDescent="0.25">
      <c r="A62" s="51">
        <f>'A) Base RI'!A64</f>
        <v>5493</v>
      </c>
      <c r="B62" s="34" t="str">
        <f>'A) Base RI'!B64</f>
        <v>Orny</v>
      </c>
      <c r="C62" s="101">
        <f>'A) Base RI'!AN64</f>
        <v>356</v>
      </c>
      <c r="D62" s="117">
        <f>'D) Ecrêtage'!N62</f>
        <v>27.818556463930097</v>
      </c>
      <c r="E62" s="36">
        <f t="shared" si="3"/>
        <v>16.974236340693285</v>
      </c>
      <c r="F62" s="298">
        <f t="shared" si="4"/>
        <v>119104.14258592302</v>
      </c>
      <c r="G62" s="35">
        <f>+'A) Base RI'!AM64</f>
        <v>73</v>
      </c>
      <c r="H62" s="299">
        <f t="shared" si="5"/>
        <v>1.0735272842257895</v>
      </c>
      <c r="I62" s="59">
        <f t="shared" si="6"/>
        <v>127861.54673030713</v>
      </c>
    </row>
    <row r="63" spans="1:9" x14ac:dyDescent="0.25">
      <c r="A63" s="51">
        <f>'A) Base RI'!A65</f>
        <v>5494</v>
      </c>
      <c r="B63" s="34" t="str">
        <f>'A) Base RI'!B65</f>
        <v>Pampigny</v>
      </c>
      <c r="C63" s="101">
        <f>'A) Base RI'!AN65</f>
        <v>1124</v>
      </c>
      <c r="D63" s="117">
        <f>'D) Ecrêtage'!N63</f>
        <v>33.096860741117325</v>
      </c>
      <c r="E63" s="36">
        <f t="shared" si="3"/>
        <v>11.695932063506056</v>
      </c>
      <c r="F63" s="298">
        <f t="shared" si="4"/>
        <v>266211.10969746136</v>
      </c>
      <c r="G63" s="35">
        <f>+'A) Base RI'!AM65</f>
        <v>75</v>
      </c>
      <c r="H63" s="299">
        <f t="shared" si="5"/>
        <v>1.1029389906429343</v>
      </c>
      <c r="I63" s="59">
        <f t="shared" si="6"/>
        <v>293614.61262765352</v>
      </c>
    </row>
    <row r="64" spans="1:9" x14ac:dyDescent="0.25">
      <c r="A64" s="51">
        <f>'A) Base RI'!A66</f>
        <v>5495</v>
      </c>
      <c r="B64" s="34" t="str">
        <f>'A) Base RI'!B66</f>
        <v>Penthalaz</v>
      </c>
      <c r="C64" s="101">
        <f>'A) Base RI'!AN66</f>
        <v>3282</v>
      </c>
      <c r="D64" s="117">
        <f>'D) Ecrêtage'!N64</f>
        <v>28.497566579376453</v>
      </c>
      <c r="E64" s="36">
        <f t="shared" si="3"/>
        <v>16.295226225246928</v>
      </c>
      <c r="F64" s="298">
        <f t="shared" si="4"/>
        <v>1068549.0307757834</v>
      </c>
      <c r="G64" s="35">
        <f>+'A) Base RI'!AM66</f>
        <v>74</v>
      </c>
      <c r="H64" s="299">
        <f t="shared" si="5"/>
        <v>1.0882331374343619</v>
      </c>
      <c r="I64" s="59">
        <f t="shared" si="6"/>
        <v>1162830.4642635772</v>
      </c>
    </row>
    <row r="65" spans="1:9" x14ac:dyDescent="0.25">
      <c r="A65" s="51">
        <f>'A) Base RI'!A67</f>
        <v>5496</v>
      </c>
      <c r="B65" s="34" t="str">
        <f>'A) Base RI'!B67</f>
        <v>Penthaz</v>
      </c>
      <c r="C65" s="101">
        <f>'A) Base RI'!AN67</f>
        <v>1726</v>
      </c>
      <c r="D65" s="117">
        <f>'D) Ecrêtage'!N65</f>
        <v>32.076581610170884</v>
      </c>
      <c r="E65" s="36">
        <f t="shared" si="3"/>
        <v>12.716211194452498</v>
      </c>
      <c r="F65" s="298">
        <f t="shared" si="4"/>
        <v>420746.62059955148</v>
      </c>
      <c r="G65" s="35">
        <f>+'A) Base RI'!AM67</f>
        <v>71</v>
      </c>
      <c r="H65" s="299">
        <f t="shared" si="5"/>
        <v>1.0441155778086446</v>
      </c>
      <c r="I65" s="59">
        <f t="shared" si="6"/>
        <v>439308.10087833524</v>
      </c>
    </row>
    <row r="66" spans="1:9" x14ac:dyDescent="0.25">
      <c r="A66" s="51">
        <f>'A) Base RI'!A68</f>
        <v>5497</v>
      </c>
      <c r="B66" s="34" t="str">
        <f>'A) Base RI'!B68</f>
        <v>Pompaples</v>
      </c>
      <c r="C66" s="101">
        <f>'A) Base RI'!AN68</f>
        <v>854</v>
      </c>
      <c r="D66" s="117">
        <f>'D) Ecrêtage'!N66</f>
        <v>25.475611028315946</v>
      </c>
      <c r="E66" s="36">
        <f t="shared" si="3"/>
        <v>19.317181776307436</v>
      </c>
      <c r="F66" s="298">
        <f t="shared" si="4"/>
        <v>293974.2810827439</v>
      </c>
      <c r="G66" s="35">
        <f>+'A) Base RI'!AM68</f>
        <v>66</v>
      </c>
      <c r="H66" s="299">
        <f t="shared" si="5"/>
        <v>0.97058631176578225</v>
      </c>
      <c r="I66" s="59">
        <f t="shared" si="6"/>
        <v>285327.41323009779</v>
      </c>
    </row>
    <row r="67" spans="1:9" x14ac:dyDescent="0.25">
      <c r="A67" s="51">
        <f>'A) Base RI'!A69</f>
        <v>5498</v>
      </c>
      <c r="B67" s="34" t="str">
        <f>'A) Base RI'!B69</f>
        <v>La Sarraz</v>
      </c>
      <c r="C67" s="101">
        <f>'A) Base RI'!AN69</f>
        <v>2609</v>
      </c>
      <c r="D67" s="117">
        <f>'D) Ecrêtage'!N67</f>
        <v>27.545699385576736</v>
      </c>
      <c r="E67" s="36">
        <f t="shared" si="3"/>
        <v>17.247093419046646</v>
      </c>
      <c r="F67" s="298">
        <f t="shared" si="4"/>
        <v>801858.42113381589</v>
      </c>
      <c r="G67" s="35">
        <f>+'A) Base RI'!AM69</f>
        <v>66</v>
      </c>
      <c r="H67" s="299">
        <f t="shared" si="5"/>
        <v>0.97058631176578225</v>
      </c>
      <c r="I67" s="59">
        <f t="shared" si="6"/>
        <v>778272.80752660381</v>
      </c>
    </row>
    <row r="68" spans="1:9" x14ac:dyDescent="0.25">
      <c r="A68" s="51">
        <f>'A) Base RI'!A70</f>
        <v>5499</v>
      </c>
      <c r="B68" s="34" t="str">
        <f>'A) Base RI'!B70</f>
        <v>Senarclens</v>
      </c>
      <c r="C68" s="101">
        <f>'A) Base RI'!AN70</f>
        <v>505</v>
      </c>
      <c r="D68" s="117">
        <f>'D) Ecrêtage'!N68</f>
        <v>40.09430165498302</v>
      </c>
      <c r="E68" s="36">
        <f t="shared" si="3"/>
        <v>4.6984911496403612</v>
      </c>
      <c r="F68" s="298">
        <f t="shared" si="4"/>
        <v>43883.789875362228</v>
      </c>
      <c r="G68" s="35">
        <f>+'A) Base RI'!AM70</f>
        <v>68.5</v>
      </c>
      <c r="H68" s="299">
        <f t="shared" si="5"/>
        <v>1.0073509447872133</v>
      </c>
      <c r="I68" s="59">
        <f t="shared" si="6"/>
        <v>44206.377191789688</v>
      </c>
    </row>
    <row r="69" spans="1:9" x14ac:dyDescent="0.25">
      <c r="A69" s="51">
        <f>'A) Base RI'!A71</f>
        <v>5500</v>
      </c>
      <c r="B69" s="34" t="str">
        <f>'A) Base RI'!B71</f>
        <v>Sévery</v>
      </c>
      <c r="C69" s="101">
        <f>'A) Base RI'!AN71</f>
        <v>233</v>
      </c>
      <c r="D69" s="117">
        <f>'D) Ecrêtage'!N69</f>
        <v>38.42472312827848</v>
      </c>
      <c r="E69" s="36">
        <f t="shared" si="3"/>
        <v>6.3680696763449021</v>
      </c>
      <c r="F69" s="298">
        <f t="shared" si="4"/>
        <v>30046.144750414336</v>
      </c>
      <c r="G69" s="35">
        <f>+'A) Base RI'!AM71</f>
        <v>75</v>
      </c>
      <c r="H69" s="299">
        <f t="shared" si="5"/>
        <v>1.1029389906429343</v>
      </c>
      <c r="I69" s="59">
        <f t="shared" si="6"/>
        <v>33139.064563733489</v>
      </c>
    </row>
    <row r="70" spans="1:9" x14ac:dyDescent="0.25">
      <c r="A70" s="51">
        <f>'A) Base RI'!A72</f>
        <v>5501</v>
      </c>
      <c r="B70" s="34" t="str">
        <f>'A) Base RI'!B72</f>
        <v>Sullens</v>
      </c>
      <c r="C70" s="101">
        <f>'A) Base RI'!AN72</f>
        <v>1005</v>
      </c>
      <c r="D70" s="117">
        <f>'D) Ecrêtage'!N70</f>
        <v>34.339195167022034</v>
      </c>
      <c r="E70" s="36">
        <f t="shared" ref="E70:E133" si="7">IF($D$314-D70&lt;0,0,$D$314-D70)</f>
        <v>10.453597637601348</v>
      </c>
      <c r="F70" s="298">
        <f t="shared" ref="F70:F133" si="8">(C70*E70*G70)*$E$4</f>
        <v>198560.86032741881</v>
      </c>
      <c r="G70" s="35">
        <f>+'A) Base RI'!AM72</f>
        <v>70</v>
      </c>
      <c r="H70" s="299">
        <f t="shared" ref="H70:H133" si="9">G70/$G$314</f>
        <v>1.0294097246000722</v>
      </c>
      <c r="I70" s="59">
        <f t="shared" ref="I70:I133" si="10">F70*H70</f>
        <v>204400.48054600158</v>
      </c>
    </row>
    <row r="71" spans="1:9" x14ac:dyDescent="0.25">
      <c r="A71" s="51">
        <f>'A) Base RI'!A73</f>
        <v>5503</v>
      </c>
      <c r="B71" s="34" t="str">
        <f>'A) Base RI'!B73</f>
        <v>Vufflens-la-Ville</v>
      </c>
      <c r="C71" s="101">
        <f>'A) Base RI'!AN73</f>
        <v>1284</v>
      </c>
      <c r="D71" s="117">
        <f>'D) Ecrêtage'!N71</f>
        <v>54.118870871499183</v>
      </c>
      <c r="E71" s="36">
        <f t="shared" si="7"/>
        <v>0</v>
      </c>
      <c r="F71" s="298">
        <f t="shared" si="8"/>
        <v>0</v>
      </c>
      <c r="G71" s="35">
        <f>+'A) Base RI'!AM73</f>
        <v>67</v>
      </c>
      <c r="H71" s="299">
        <f t="shared" si="9"/>
        <v>0.98529216497435468</v>
      </c>
      <c r="I71" s="59">
        <f t="shared" si="10"/>
        <v>0</v>
      </c>
    </row>
    <row r="72" spans="1:9" x14ac:dyDescent="0.25">
      <c r="A72" s="51">
        <f>'A) Base RI'!A74</f>
        <v>5511</v>
      </c>
      <c r="B72" s="34" t="str">
        <f>'A) Base RI'!B74</f>
        <v>Assens</v>
      </c>
      <c r="C72" s="101">
        <f>'A) Base RI'!AN74</f>
        <v>1070</v>
      </c>
      <c r="D72" s="117">
        <f>'D) Ecrêtage'!N72</f>
        <v>46.32458344459279</v>
      </c>
      <c r="E72" s="36">
        <f t="shared" si="7"/>
        <v>0</v>
      </c>
      <c r="F72" s="298">
        <f t="shared" si="8"/>
        <v>0</v>
      </c>
      <c r="G72" s="35">
        <f>+'A) Base RI'!AM74</f>
        <v>70</v>
      </c>
      <c r="H72" s="299">
        <f t="shared" si="9"/>
        <v>1.0294097246000722</v>
      </c>
      <c r="I72" s="59">
        <f t="shared" si="10"/>
        <v>0</v>
      </c>
    </row>
    <row r="73" spans="1:9" x14ac:dyDescent="0.25">
      <c r="A73" s="51">
        <f>'A) Base RI'!A75</f>
        <v>5512</v>
      </c>
      <c r="B73" s="34" t="str">
        <f>'A) Base RI'!B75</f>
        <v>Bercher</v>
      </c>
      <c r="C73" s="101">
        <f>'A) Base RI'!AN75</f>
        <v>1221</v>
      </c>
      <c r="D73" s="117">
        <f>'D) Ecrêtage'!N73</f>
        <v>31.364479830808936</v>
      </c>
      <c r="E73" s="36">
        <f t="shared" si="7"/>
        <v>13.428312973814446</v>
      </c>
      <c r="F73" s="298">
        <f t="shared" si="8"/>
        <v>349726.04310811526</v>
      </c>
      <c r="G73" s="35">
        <f>+'A) Base RI'!AM75</f>
        <v>79</v>
      </c>
      <c r="H73" s="299">
        <f t="shared" si="9"/>
        <v>1.1617624034772243</v>
      </c>
      <c r="I73" s="59">
        <f t="shared" si="10"/>
        <v>406298.56839986332</v>
      </c>
    </row>
    <row r="74" spans="1:9" x14ac:dyDescent="0.25">
      <c r="A74" s="51">
        <f>'A) Base RI'!A76</f>
        <v>5513</v>
      </c>
      <c r="B74" s="34" t="str">
        <f>'A) Base RI'!B76</f>
        <v>Bioley-Orjulaz</v>
      </c>
      <c r="C74" s="101">
        <f>'A) Base RI'!AN76</f>
        <v>499</v>
      </c>
      <c r="D74" s="117">
        <f>'D) Ecrêtage'!N74</f>
        <v>46.615425851703407</v>
      </c>
      <c r="E74" s="36">
        <f t="shared" si="7"/>
        <v>0</v>
      </c>
      <c r="F74" s="298">
        <f t="shared" si="8"/>
        <v>0</v>
      </c>
      <c r="G74" s="35">
        <f>+'A) Base RI'!AM76</f>
        <v>68</v>
      </c>
      <c r="H74" s="299">
        <f t="shared" si="9"/>
        <v>0.99999801818292722</v>
      </c>
      <c r="I74" s="59">
        <f t="shared" si="10"/>
        <v>0</v>
      </c>
    </row>
    <row r="75" spans="1:9" x14ac:dyDescent="0.25">
      <c r="A75" s="51">
        <f>'A) Base RI'!A77</f>
        <v>5514</v>
      </c>
      <c r="B75" s="34" t="str">
        <f>'A) Base RI'!B77</f>
        <v>Bottens</v>
      </c>
      <c r="C75" s="101">
        <f>'A) Base RI'!AN77</f>
        <v>1263</v>
      </c>
      <c r="D75" s="117">
        <f>'D) Ecrêtage'!N75</f>
        <v>32.503338382273625</v>
      </c>
      <c r="E75" s="36">
        <f t="shared" si="7"/>
        <v>12.289454422349756</v>
      </c>
      <c r="F75" s="298">
        <f t="shared" si="8"/>
        <v>289167.0528270189</v>
      </c>
      <c r="G75" s="35">
        <f>+'A) Base RI'!AM77</f>
        <v>69</v>
      </c>
      <c r="H75" s="299">
        <f t="shared" si="9"/>
        <v>1.0147038713914995</v>
      </c>
      <c r="I75" s="59">
        <f t="shared" si="10"/>
        <v>293418.92798244633</v>
      </c>
    </row>
    <row r="76" spans="1:9" x14ac:dyDescent="0.25">
      <c r="A76" s="51">
        <f>'A) Base RI'!A78</f>
        <v>5515</v>
      </c>
      <c r="B76" s="34" t="str">
        <f>'A) Base RI'!B78</f>
        <v>Bretigny-sur-Morrens</v>
      </c>
      <c r="C76" s="101">
        <f>'A) Base RI'!AN78</f>
        <v>825</v>
      </c>
      <c r="D76" s="117">
        <f>'D) Ecrêtage'!N76</f>
        <v>33.62557061021171</v>
      </c>
      <c r="E76" s="36">
        <f t="shared" si="7"/>
        <v>11.167222194411671</v>
      </c>
      <c r="F76" s="298">
        <f t="shared" si="8"/>
        <v>181587.40829777962</v>
      </c>
      <c r="G76" s="35">
        <f>+'A) Base RI'!AM78</f>
        <v>73</v>
      </c>
      <c r="H76" s="299">
        <f t="shared" si="9"/>
        <v>1.0735272842257895</v>
      </c>
      <c r="I76" s="59">
        <f t="shared" si="10"/>
        <v>194939.03727951495</v>
      </c>
    </row>
    <row r="77" spans="1:9" x14ac:dyDescent="0.25">
      <c r="A77" s="51">
        <f>'A) Base RI'!A79</f>
        <v>5516</v>
      </c>
      <c r="B77" s="34" t="str">
        <f>'A) Base RI'!B79</f>
        <v>Cugy</v>
      </c>
      <c r="C77" s="101">
        <f>'A) Base RI'!AN79</f>
        <v>2744</v>
      </c>
      <c r="D77" s="117">
        <f>'D) Ecrêtage'!N77</f>
        <v>40.599054092044973</v>
      </c>
      <c r="E77" s="36">
        <f t="shared" si="7"/>
        <v>4.1937387125784085</v>
      </c>
      <c r="F77" s="298">
        <f t="shared" si="8"/>
        <v>217493.99961625642</v>
      </c>
      <c r="G77" s="35">
        <f>+'A) Base RI'!AM79</f>
        <v>70</v>
      </c>
      <c r="H77" s="299">
        <f t="shared" si="9"/>
        <v>1.0294097246000722</v>
      </c>
      <c r="I77" s="59">
        <f t="shared" si="10"/>
        <v>223890.43824713872</v>
      </c>
    </row>
    <row r="78" spans="1:9" x14ac:dyDescent="0.25">
      <c r="A78" s="51">
        <f>'A) Base RI'!A80</f>
        <v>5518</v>
      </c>
      <c r="B78" s="34" t="str">
        <f>'A) Base RI'!B80</f>
        <v>Echallens</v>
      </c>
      <c r="C78" s="101">
        <f>'A) Base RI'!AN80</f>
        <v>5728</v>
      </c>
      <c r="D78" s="117">
        <f>'D) Ecrêtage'!N78</f>
        <v>33.80564269402084</v>
      </c>
      <c r="E78" s="36">
        <f t="shared" si="7"/>
        <v>10.987150110602542</v>
      </c>
      <c r="F78" s="298">
        <f t="shared" si="8"/>
        <v>1257429.2287539565</v>
      </c>
      <c r="G78" s="35">
        <f>+'A) Base RI'!AM80</f>
        <v>74</v>
      </c>
      <c r="H78" s="299">
        <f t="shared" si="9"/>
        <v>1.0882331374343619</v>
      </c>
      <c r="I78" s="59">
        <f t="shared" si="10"/>
        <v>1368376.154708588</v>
      </c>
    </row>
    <row r="79" spans="1:9" x14ac:dyDescent="0.25">
      <c r="A79" s="51">
        <f>'A) Base RI'!A81</f>
        <v>5520</v>
      </c>
      <c r="B79" s="34" t="str">
        <f>'A) Base RI'!B81</f>
        <v>Essertines-sur-Yverdon</v>
      </c>
      <c r="C79" s="101">
        <f>'A) Base RI'!AN81</f>
        <v>981</v>
      </c>
      <c r="D79" s="117">
        <f>'D) Ecrêtage'!N79</f>
        <v>32.644601957745103</v>
      </c>
      <c r="E79" s="36">
        <f t="shared" si="7"/>
        <v>12.148190846878279</v>
      </c>
      <c r="F79" s="298">
        <f t="shared" si="8"/>
        <v>234891.46560172344</v>
      </c>
      <c r="G79" s="35">
        <f>+'A) Base RI'!AM81</f>
        <v>73</v>
      </c>
      <c r="H79" s="299">
        <f t="shared" si="9"/>
        <v>1.0735272842257895</v>
      </c>
      <c r="I79" s="59">
        <f t="shared" si="10"/>
        <v>252162.3971552336</v>
      </c>
    </row>
    <row r="80" spans="1:9" x14ac:dyDescent="0.25">
      <c r="A80" s="51">
        <f>'A) Base RI'!A82</f>
        <v>5521</v>
      </c>
      <c r="B80" s="34" t="str">
        <f>'A) Base RI'!B82</f>
        <v>Etagnières</v>
      </c>
      <c r="C80" s="101">
        <f>'A) Base RI'!AN82</f>
        <v>1119</v>
      </c>
      <c r="D80" s="117">
        <f>'D) Ecrêtage'!N80</f>
        <v>37.338949894107991</v>
      </c>
      <c r="E80" s="36">
        <f t="shared" si="7"/>
        <v>7.4538429105153909</v>
      </c>
      <c r="F80" s="298">
        <f t="shared" si="8"/>
        <v>164398.1577744431</v>
      </c>
      <c r="G80" s="35">
        <f>+'A) Base RI'!AM82</f>
        <v>73</v>
      </c>
      <c r="H80" s="299">
        <f t="shared" si="9"/>
        <v>1.0735272842257895</v>
      </c>
      <c r="I80" s="59">
        <f t="shared" si="10"/>
        <v>176485.90784732075</v>
      </c>
    </row>
    <row r="81" spans="1:9" x14ac:dyDescent="0.25">
      <c r="A81" s="51">
        <f>'A) Base RI'!A83</f>
        <v>5522</v>
      </c>
      <c r="B81" s="34" t="str">
        <f>'A) Base RI'!B83</f>
        <v>Fey</v>
      </c>
      <c r="C81" s="101">
        <f>'A) Base RI'!AN83</f>
        <v>703</v>
      </c>
      <c r="D81" s="117">
        <f>'D) Ecrêtage'!N81</f>
        <v>29.190732479848268</v>
      </c>
      <c r="E81" s="36">
        <f t="shared" si="7"/>
        <v>15.602060324775113</v>
      </c>
      <c r="F81" s="298">
        <f t="shared" si="8"/>
        <v>222107.03026841729</v>
      </c>
      <c r="G81" s="35">
        <f>+'A) Base RI'!AM83</f>
        <v>75</v>
      </c>
      <c r="H81" s="299">
        <f t="shared" si="9"/>
        <v>1.1029389906429343</v>
      </c>
      <c r="I81" s="59">
        <f t="shared" si="10"/>
        <v>244970.50377894784</v>
      </c>
    </row>
    <row r="82" spans="1:9" x14ac:dyDescent="0.25">
      <c r="A82" s="51">
        <f>'A) Base RI'!A84</f>
        <v>5523</v>
      </c>
      <c r="B82" s="34" t="str">
        <f>'A) Base RI'!B84</f>
        <v>Froideville</v>
      </c>
      <c r="C82" s="101">
        <f>'A) Base RI'!AN84</f>
        <v>2561</v>
      </c>
      <c r="D82" s="117">
        <f>'D) Ecrêtage'!N82</f>
        <v>32.742979510470832</v>
      </c>
      <c r="E82" s="36">
        <f t="shared" si="7"/>
        <v>12.04981329415255</v>
      </c>
      <c r="F82" s="298">
        <f t="shared" si="8"/>
        <v>633238.4142865825</v>
      </c>
      <c r="G82" s="35">
        <f>+'A) Base RI'!AM84</f>
        <v>76</v>
      </c>
      <c r="H82" s="299">
        <f t="shared" si="9"/>
        <v>1.1176448438515068</v>
      </c>
      <c r="I82" s="59">
        <f t="shared" si="10"/>
        <v>707735.64865610329</v>
      </c>
    </row>
    <row r="83" spans="1:9" x14ac:dyDescent="0.25">
      <c r="A83" s="51">
        <f>'A) Base RI'!A85</f>
        <v>5527</v>
      </c>
      <c r="B83" s="34" t="str">
        <f>'A) Base RI'!B85</f>
        <v>Morrens</v>
      </c>
      <c r="C83" s="101">
        <f>'A) Base RI'!AN85</f>
        <v>1092</v>
      </c>
      <c r="D83" s="117">
        <f>'D) Ecrêtage'!N83</f>
        <v>36.398137930144976</v>
      </c>
      <c r="E83" s="36">
        <f t="shared" si="7"/>
        <v>8.3946548744784053</v>
      </c>
      <c r="F83" s="298">
        <f t="shared" si="8"/>
        <v>175730.68306657611</v>
      </c>
      <c r="G83" s="35">
        <f>+'A) Base RI'!AM85</f>
        <v>71</v>
      </c>
      <c r="H83" s="299">
        <f t="shared" si="9"/>
        <v>1.0441155778086446</v>
      </c>
      <c r="I83" s="59">
        <f t="shared" si="10"/>
        <v>183483.14368876591</v>
      </c>
    </row>
    <row r="84" spans="1:9" x14ac:dyDescent="0.25">
      <c r="A84" s="51">
        <f>'A) Base RI'!A86</f>
        <v>5529</v>
      </c>
      <c r="B84" s="34" t="str">
        <f>'A) Base RI'!B86</f>
        <v>Oulens-sous-Echallens</v>
      </c>
      <c r="C84" s="101">
        <f>'A) Base RI'!AN86</f>
        <v>577</v>
      </c>
      <c r="D84" s="117">
        <f>'D) Ecrêtage'!N84</f>
        <v>35.010472819586504</v>
      </c>
      <c r="E84" s="36">
        <f t="shared" si="7"/>
        <v>9.7823199850368781</v>
      </c>
      <c r="F84" s="298">
        <f t="shared" si="8"/>
        <v>108203.12176329158</v>
      </c>
      <c r="G84" s="35">
        <f>+'A) Base RI'!AM86</f>
        <v>71</v>
      </c>
      <c r="H84" s="299">
        <f t="shared" si="9"/>
        <v>1.0441155778086446</v>
      </c>
      <c r="I84" s="59">
        <f t="shared" si="10"/>
        <v>112976.56500057831</v>
      </c>
    </row>
    <row r="85" spans="1:9" x14ac:dyDescent="0.25">
      <c r="A85" s="51">
        <f>'A) Base RI'!A87</f>
        <v>5530</v>
      </c>
      <c r="B85" s="34" t="str">
        <f>'A) Base RI'!B87</f>
        <v>Pailly</v>
      </c>
      <c r="C85" s="101">
        <f>'A) Base RI'!AN87</f>
        <v>543</v>
      </c>
      <c r="D85" s="117">
        <f>'D) Ecrêtage'!N85</f>
        <v>31.411827600546545</v>
      </c>
      <c r="E85" s="36">
        <f t="shared" si="7"/>
        <v>13.380965204076837</v>
      </c>
      <c r="F85" s="298">
        <f t="shared" si="8"/>
        <v>152038.20641415217</v>
      </c>
      <c r="G85" s="35">
        <f>+'A) Base RI'!AM87</f>
        <v>77.5</v>
      </c>
      <c r="H85" s="299">
        <f t="shared" si="9"/>
        <v>1.1397036236643656</v>
      </c>
      <c r="I85" s="59">
        <f t="shared" si="10"/>
        <v>173278.49478564001</v>
      </c>
    </row>
    <row r="86" spans="1:9" x14ac:dyDescent="0.25">
      <c r="A86" s="51">
        <f>'A) Base RI'!A88</f>
        <v>5531</v>
      </c>
      <c r="B86" s="34" t="str">
        <f>'A) Base RI'!B88</f>
        <v>Penthéréaz</v>
      </c>
      <c r="C86" s="101">
        <f>'A) Base RI'!AN88</f>
        <v>418</v>
      </c>
      <c r="D86" s="117">
        <f>'D) Ecrêtage'!N86</f>
        <v>31.422894430131272</v>
      </c>
      <c r="E86" s="36">
        <f t="shared" si="7"/>
        <v>13.369898374492109</v>
      </c>
      <c r="F86" s="298">
        <f t="shared" si="8"/>
        <v>117696.28498252401</v>
      </c>
      <c r="G86" s="35">
        <f>+'A) Base RI'!AM88</f>
        <v>78</v>
      </c>
      <c r="H86" s="299">
        <f t="shared" si="9"/>
        <v>1.1470565502686518</v>
      </c>
      <c r="I86" s="59">
        <f t="shared" si="10"/>
        <v>135004.29463149013</v>
      </c>
    </row>
    <row r="87" spans="1:9" x14ac:dyDescent="0.25">
      <c r="A87" s="51">
        <f>'A) Base RI'!A89</f>
        <v>5533</v>
      </c>
      <c r="B87" s="34" t="str">
        <f>'A) Base RI'!B89</f>
        <v>Poliez-Pittet</v>
      </c>
      <c r="C87" s="101">
        <f>'A) Base RI'!AN89</f>
        <v>849</v>
      </c>
      <c r="D87" s="117">
        <f>'D) Ecrêtage'!N87</f>
        <v>33.030503657990344</v>
      </c>
      <c r="E87" s="36">
        <f t="shared" si="7"/>
        <v>11.762289146633037</v>
      </c>
      <c r="F87" s="298">
        <f t="shared" si="8"/>
        <v>191435.13741687109</v>
      </c>
      <c r="G87" s="35">
        <f>+'A) Base RI'!AM89</f>
        <v>71</v>
      </c>
      <c r="H87" s="299">
        <f t="shared" si="9"/>
        <v>1.0441155778086446</v>
      </c>
      <c r="I87" s="59">
        <f t="shared" si="10"/>
        <v>199880.40911689363</v>
      </c>
    </row>
    <row r="88" spans="1:9" x14ac:dyDescent="0.25">
      <c r="A88" s="51">
        <f>'A) Base RI'!A90</f>
        <v>5534</v>
      </c>
      <c r="B88" s="34" t="str">
        <f>'A) Base RI'!B90</f>
        <v>Rueyres</v>
      </c>
      <c r="C88" s="101">
        <f>'A) Base RI'!AN90</f>
        <v>257</v>
      </c>
      <c r="D88" s="117">
        <f>'D) Ecrêtage'!N88</f>
        <v>37.82904962422046</v>
      </c>
      <c r="E88" s="36">
        <f t="shared" si="7"/>
        <v>6.963743180402922</v>
      </c>
      <c r="F88" s="298">
        <f t="shared" si="8"/>
        <v>35274.63216803559</v>
      </c>
      <c r="G88" s="35">
        <f>+'A) Base RI'!AM90</f>
        <v>73</v>
      </c>
      <c r="H88" s="299">
        <f t="shared" si="9"/>
        <v>1.0735272842257895</v>
      </c>
      <c r="I88" s="59">
        <f t="shared" si="10"/>
        <v>37868.28007341492</v>
      </c>
    </row>
    <row r="89" spans="1:9" x14ac:dyDescent="0.25">
      <c r="A89" s="51">
        <f>'A) Base RI'!A91</f>
        <v>5535</v>
      </c>
      <c r="B89" s="34" t="str">
        <f>'A) Base RI'!B91</f>
        <v>Saint-Barthélemy</v>
      </c>
      <c r="C89" s="101">
        <f>'A) Base RI'!AN91</f>
        <v>769</v>
      </c>
      <c r="D89" s="117">
        <f>'D) Ecrêtage'!N89</f>
        <v>30.317476398763791</v>
      </c>
      <c r="E89" s="36">
        <f t="shared" si="7"/>
        <v>14.475316405859591</v>
      </c>
      <c r="F89" s="298">
        <f t="shared" si="8"/>
        <v>231424.26579184429</v>
      </c>
      <c r="G89" s="35">
        <f>+'A) Base RI'!AM91</f>
        <v>77</v>
      </c>
      <c r="H89" s="299">
        <f t="shared" si="9"/>
        <v>1.1323506970600794</v>
      </c>
      <c r="I89" s="59">
        <f t="shared" si="10"/>
        <v>262053.42868601196</v>
      </c>
    </row>
    <row r="90" spans="1:9" x14ac:dyDescent="0.25">
      <c r="A90" s="51">
        <f>'A) Base RI'!A92</f>
        <v>5537</v>
      </c>
      <c r="B90" s="34" t="str">
        <f>'A) Base RI'!B92</f>
        <v>Villars-le-Terroir</v>
      </c>
      <c r="C90" s="101">
        <f>'A) Base RI'!AN92</f>
        <v>1150</v>
      </c>
      <c r="D90" s="117">
        <f>'D) Ecrêtage'!N90</f>
        <v>29.372879690291839</v>
      </c>
      <c r="E90" s="36">
        <f t="shared" si="7"/>
        <v>15.419913114331543</v>
      </c>
      <c r="F90" s="298">
        <f t="shared" si="8"/>
        <v>349515.46060599596</v>
      </c>
      <c r="G90" s="35">
        <f>+'A) Base RI'!AM92</f>
        <v>73</v>
      </c>
      <c r="H90" s="299">
        <f t="shared" si="9"/>
        <v>1.0735272842257895</v>
      </c>
      <c r="I90" s="59">
        <f t="shared" si="10"/>
        <v>375214.38321928075</v>
      </c>
    </row>
    <row r="91" spans="1:9" x14ac:dyDescent="0.25">
      <c r="A91" s="51">
        <f>'A) Base RI'!A93</f>
        <v>5539</v>
      </c>
      <c r="B91" s="34" t="str">
        <f>'A) Base RI'!B93</f>
        <v>Vuarrens</v>
      </c>
      <c r="C91" s="101">
        <f>'A) Base RI'!AN93</f>
        <v>1003</v>
      </c>
      <c r="D91" s="117">
        <f>'D) Ecrêtage'!N91</f>
        <v>26.881349651046861</v>
      </c>
      <c r="E91" s="36">
        <f t="shared" si="7"/>
        <v>17.911443153576521</v>
      </c>
      <c r="F91" s="298">
        <f t="shared" si="8"/>
        <v>363794.8440315043</v>
      </c>
      <c r="G91" s="35">
        <f>+'A) Base RI'!AM93</f>
        <v>75</v>
      </c>
      <c r="H91" s="299">
        <f t="shared" si="9"/>
        <v>1.1029389906429343</v>
      </c>
      <c r="I91" s="59">
        <f t="shared" si="10"/>
        <v>401243.51807721105</v>
      </c>
    </row>
    <row r="92" spans="1:9" x14ac:dyDescent="0.25">
      <c r="A92" s="51">
        <f>'A) Base RI'!A94</f>
        <v>5540</v>
      </c>
      <c r="B92" s="34" t="str">
        <f>'A) Base RI'!B94</f>
        <v>Montilliez</v>
      </c>
      <c r="C92" s="101">
        <f>'A) Base RI'!AN94</f>
        <v>1731</v>
      </c>
      <c r="D92" s="117">
        <f>'D) Ecrêtage'!N92</f>
        <v>33.237472832451168</v>
      </c>
      <c r="E92" s="36">
        <f t="shared" si="7"/>
        <v>11.555319972172214</v>
      </c>
      <c r="F92" s="298">
        <f t="shared" si="8"/>
        <v>399645.1322591654</v>
      </c>
      <c r="G92" s="35">
        <f>+'A) Base RI'!AM94</f>
        <v>74</v>
      </c>
      <c r="H92" s="299">
        <f t="shared" si="9"/>
        <v>1.0882331374343619</v>
      </c>
      <c r="I92" s="59">
        <f t="shared" si="10"/>
        <v>434907.07613876206</v>
      </c>
    </row>
    <row r="93" spans="1:9" x14ac:dyDescent="0.25">
      <c r="A93" s="51">
        <f>'A) Base RI'!A95</f>
        <v>5541</v>
      </c>
      <c r="B93" s="34" t="str">
        <f>'A) Base RI'!B95</f>
        <v>Goumoëns</v>
      </c>
      <c r="C93" s="101">
        <f>'A) Base RI'!AN95</f>
        <v>1110</v>
      </c>
      <c r="D93" s="117">
        <f>'D) Ecrêtage'!N93</f>
        <v>35.10557037557038</v>
      </c>
      <c r="E93" s="36">
        <f t="shared" si="7"/>
        <v>9.6872224290530013</v>
      </c>
      <c r="F93" s="298">
        <f t="shared" si="8"/>
        <v>223551.06327301322</v>
      </c>
      <c r="G93" s="35">
        <f>+'A) Base RI'!AM95</f>
        <v>77</v>
      </c>
      <c r="H93" s="299">
        <f t="shared" si="9"/>
        <v>1.1323506970600794</v>
      </c>
      <c r="I93" s="59">
        <f t="shared" si="10"/>
        <v>253138.20232571845</v>
      </c>
    </row>
    <row r="94" spans="1:9" x14ac:dyDescent="0.25">
      <c r="A94" s="51">
        <f>'A) Base RI'!A96</f>
        <v>5551</v>
      </c>
      <c r="B94" s="34" t="str">
        <f>'A) Base RI'!B96</f>
        <v>Bonvillars</v>
      </c>
      <c r="C94" s="101">
        <f>'A) Base RI'!AN96</f>
        <v>495</v>
      </c>
      <c r="D94" s="117">
        <f>'D) Ecrêtage'!N94</f>
        <v>38.221588613406801</v>
      </c>
      <c r="E94" s="36">
        <f t="shared" si="7"/>
        <v>6.5712041912165802</v>
      </c>
      <c r="F94" s="298">
        <f t="shared" si="8"/>
        <v>48303.279208585278</v>
      </c>
      <c r="G94" s="35">
        <f>+'A) Base RI'!AM96</f>
        <v>55</v>
      </c>
      <c r="H94" s="299">
        <f t="shared" si="9"/>
        <v>0.80882192647148521</v>
      </c>
      <c r="I94" s="59">
        <f t="shared" si="10"/>
        <v>39068.751344377983</v>
      </c>
    </row>
    <row r="95" spans="1:9" x14ac:dyDescent="0.25">
      <c r="A95" s="51">
        <f>'A) Base RI'!A97</f>
        <v>5552</v>
      </c>
      <c r="B95" s="34" t="str">
        <f>'A) Base RI'!B97</f>
        <v>Bullet</v>
      </c>
      <c r="C95" s="101">
        <f>'A) Base RI'!AN97</f>
        <v>644</v>
      </c>
      <c r="D95" s="117">
        <f>'D) Ecrêtage'!N95</f>
        <v>27.890112466725821</v>
      </c>
      <c r="E95" s="36">
        <f t="shared" si="7"/>
        <v>16.902680337897561</v>
      </c>
      <c r="F95" s="298">
        <f t="shared" si="8"/>
        <v>205732.66400075398</v>
      </c>
      <c r="G95" s="35">
        <f>+'A) Base RI'!AM97</f>
        <v>70</v>
      </c>
      <c r="H95" s="299">
        <f t="shared" si="9"/>
        <v>1.0294097246000722</v>
      </c>
      <c r="I95" s="59">
        <f t="shared" si="10"/>
        <v>211783.20499025536</v>
      </c>
    </row>
    <row r="96" spans="1:9" x14ac:dyDescent="0.25">
      <c r="A96" s="51">
        <f>'A) Base RI'!A98</f>
        <v>5553</v>
      </c>
      <c r="B96" s="34" t="str">
        <f>'A) Base RI'!B98</f>
        <v>Champagne</v>
      </c>
      <c r="C96" s="101">
        <f>'A) Base RI'!AN98</f>
        <v>1027</v>
      </c>
      <c r="D96" s="117">
        <f>'D) Ecrêtage'!N96</f>
        <v>33.596406860909298</v>
      </c>
      <c r="E96" s="36">
        <f t="shared" si="7"/>
        <v>11.196385943714084</v>
      </c>
      <c r="F96" s="298">
        <f t="shared" si="8"/>
        <v>201801.9807916111</v>
      </c>
      <c r="G96" s="35">
        <f>+'A) Base RI'!AM98</f>
        <v>65</v>
      </c>
      <c r="H96" s="299">
        <f t="shared" si="9"/>
        <v>0.95588045855720982</v>
      </c>
      <c r="I96" s="59">
        <f t="shared" si="10"/>
        <v>192898.56993683847</v>
      </c>
    </row>
    <row r="97" spans="1:9" x14ac:dyDescent="0.25">
      <c r="A97" s="51">
        <f>'A) Base RI'!A99</f>
        <v>5554</v>
      </c>
      <c r="B97" s="34" t="str">
        <f>'A) Base RI'!B99</f>
        <v>Concise</v>
      </c>
      <c r="C97" s="101">
        <f>'A) Base RI'!AN99</f>
        <v>969</v>
      </c>
      <c r="D97" s="117">
        <f>'D) Ecrêtage'!N97</f>
        <v>32.721860474716209</v>
      </c>
      <c r="E97" s="36">
        <f t="shared" si="7"/>
        <v>12.070932329907173</v>
      </c>
      <c r="F97" s="298">
        <f t="shared" si="8"/>
        <v>236858.85191052104</v>
      </c>
      <c r="G97" s="35">
        <f>+'A) Base RI'!AM99</f>
        <v>75</v>
      </c>
      <c r="H97" s="299">
        <f t="shared" si="9"/>
        <v>1.1029389906429343</v>
      </c>
      <c r="I97" s="59">
        <f t="shared" si="10"/>
        <v>261240.86305103434</v>
      </c>
    </row>
    <row r="98" spans="1:9" x14ac:dyDescent="0.25">
      <c r="A98" s="51">
        <f>'A) Base RI'!A100</f>
        <v>5555</v>
      </c>
      <c r="B98" s="34" t="str">
        <f>'A) Base RI'!B100</f>
        <v>Corcelles-près-Concise</v>
      </c>
      <c r="C98" s="101">
        <f>'A) Base RI'!AN100</f>
        <v>377</v>
      </c>
      <c r="D98" s="117">
        <f>'D) Ecrêtage'!N98</f>
        <v>36.200243209922661</v>
      </c>
      <c r="E98" s="36">
        <f t="shared" si="7"/>
        <v>8.5925495947007207</v>
      </c>
      <c r="F98" s="298">
        <f t="shared" si="8"/>
        <v>62099.12925036563</v>
      </c>
      <c r="G98" s="35">
        <f>+'A) Base RI'!AM100</f>
        <v>71</v>
      </c>
      <c r="H98" s="299">
        <f t="shared" si="9"/>
        <v>1.0441155778086446</v>
      </c>
      <c r="I98" s="59">
        <f t="shared" si="10"/>
        <v>64838.668218659215</v>
      </c>
    </row>
    <row r="99" spans="1:9" x14ac:dyDescent="0.25">
      <c r="A99" s="51">
        <f>'A) Base RI'!A101</f>
        <v>5556</v>
      </c>
      <c r="B99" s="34" t="str">
        <f>'A) Base RI'!B101</f>
        <v>Fiez</v>
      </c>
      <c r="C99" s="101">
        <f>'A) Base RI'!AN101</f>
        <v>425</v>
      </c>
      <c r="D99" s="117">
        <f>'D) Ecrêtage'!N99</f>
        <v>30.382164251207733</v>
      </c>
      <c r="E99" s="36">
        <f t="shared" si="7"/>
        <v>14.410628553415648</v>
      </c>
      <c r="F99" s="298">
        <f t="shared" si="8"/>
        <v>114099.75422880676</v>
      </c>
      <c r="G99" s="35">
        <f>+'A) Base RI'!AM101</f>
        <v>69</v>
      </c>
      <c r="H99" s="299">
        <f t="shared" si="9"/>
        <v>1.0147038713914995</v>
      </c>
      <c r="I99" s="59">
        <f t="shared" si="10"/>
        <v>115777.46234078884</v>
      </c>
    </row>
    <row r="100" spans="1:9" x14ac:dyDescent="0.25">
      <c r="A100" s="51">
        <f>'A) Base RI'!A102</f>
        <v>5557</v>
      </c>
      <c r="B100" s="34" t="str">
        <f>'A) Base RI'!B102</f>
        <v>Fontaines-sur-Grandson</v>
      </c>
      <c r="C100" s="101">
        <f>'A) Base RI'!AN102</f>
        <v>210</v>
      </c>
      <c r="D100" s="117">
        <f>'D) Ecrêtage'!N100</f>
        <v>21.296077294685997</v>
      </c>
      <c r="E100" s="36">
        <f t="shared" si="7"/>
        <v>23.496715509937385</v>
      </c>
      <c r="F100" s="298">
        <f t="shared" si="8"/>
        <v>91926.200089528036</v>
      </c>
      <c r="G100" s="35">
        <f>+'A) Base RI'!AM102</f>
        <v>69</v>
      </c>
      <c r="H100" s="299">
        <f t="shared" si="9"/>
        <v>1.0147038713914995</v>
      </c>
      <c r="I100" s="59">
        <f t="shared" si="10"/>
        <v>93277.871113153713</v>
      </c>
    </row>
    <row r="101" spans="1:9" x14ac:dyDescent="0.25">
      <c r="A101" s="51">
        <f>'A) Base RI'!A103</f>
        <v>5559</v>
      </c>
      <c r="B101" s="34" t="str">
        <f>'A) Base RI'!B103</f>
        <v>Giez</v>
      </c>
      <c r="C101" s="101">
        <f>'A) Base RI'!AN103</f>
        <v>421</v>
      </c>
      <c r="D101" s="117">
        <f>'D) Ecrêtage'!N101</f>
        <v>34.182434679334925</v>
      </c>
      <c r="E101" s="36">
        <f t="shared" si="7"/>
        <v>10.610358125288457</v>
      </c>
      <c r="F101" s="298">
        <f t="shared" si="8"/>
        <v>79601.240934701564</v>
      </c>
      <c r="G101" s="35">
        <f>+'A) Base RI'!AM103</f>
        <v>66</v>
      </c>
      <c r="H101" s="299">
        <f t="shared" si="9"/>
        <v>0.97058631176578225</v>
      </c>
      <c r="I101" s="59">
        <f t="shared" si="10"/>
        <v>77259.874850791399</v>
      </c>
    </row>
    <row r="102" spans="1:9" x14ac:dyDescent="0.25">
      <c r="A102" s="51">
        <f>'A) Base RI'!A104</f>
        <v>5560</v>
      </c>
      <c r="B102" s="34" t="str">
        <f>'A) Base RI'!B104</f>
        <v>Grandevent</v>
      </c>
      <c r="C102" s="101">
        <f>'A) Base RI'!AN104</f>
        <v>229</v>
      </c>
      <c r="D102" s="117">
        <f>'D) Ecrêtage'!N102</f>
        <v>27.372097996403802</v>
      </c>
      <c r="E102" s="36">
        <f t="shared" si="7"/>
        <v>17.420694808219579</v>
      </c>
      <c r="F102" s="298">
        <f t="shared" si="8"/>
        <v>73244.266079470719</v>
      </c>
      <c r="G102" s="35">
        <f>+'A) Base RI'!AM104</f>
        <v>68</v>
      </c>
      <c r="H102" s="299">
        <f t="shared" si="9"/>
        <v>0.99999801818292722</v>
      </c>
      <c r="I102" s="59">
        <f t="shared" si="10"/>
        <v>73244.120922733724</v>
      </c>
    </row>
    <row r="103" spans="1:9" x14ac:dyDescent="0.25">
      <c r="A103" s="51">
        <f>'A) Base RI'!A105</f>
        <v>5561</v>
      </c>
      <c r="B103" s="34" t="str">
        <f>'A) Base RI'!B105</f>
        <v>Grandson</v>
      </c>
      <c r="C103" s="101">
        <f>'A) Base RI'!AN105</f>
        <v>3284</v>
      </c>
      <c r="D103" s="117">
        <f>'D) Ecrêtage'!N103</f>
        <v>35.612401322176915</v>
      </c>
      <c r="E103" s="36">
        <f t="shared" si="7"/>
        <v>9.180391482446467</v>
      </c>
      <c r="F103" s="298">
        <f t="shared" si="8"/>
        <v>561664.79685623874</v>
      </c>
      <c r="G103" s="35">
        <f>+'A) Base RI'!AM105</f>
        <v>69</v>
      </c>
      <c r="H103" s="299">
        <f t="shared" si="9"/>
        <v>1.0147038713914995</v>
      </c>
      <c r="I103" s="59">
        <f t="shared" si="10"/>
        <v>569923.4437943456</v>
      </c>
    </row>
    <row r="104" spans="1:9" x14ac:dyDescent="0.25">
      <c r="A104" s="51">
        <f>'A) Base RI'!A106</f>
        <v>5562</v>
      </c>
      <c r="B104" s="34" t="str">
        <f>'A) Base RI'!B106</f>
        <v>Mauborget</v>
      </c>
      <c r="C104" s="101">
        <f>'A) Base RI'!AN106</f>
        <v>119</v>
      </c>
      <c r="D104" s="117">
        <f>'D) Ecrêtage'!N104</f>
        <v>49.704123049219689</v>
      </c>
      <c r="E104" s="36">
        <f t="shared" si="7"/>
        <v>0</v>
      </c>
      <c r="F104" s="298">
        <f t="shared" si="8"/>
        <v>0</v>
      </c>
      <c r="G104" s="35">
        <f>+'A) Base RI'!AM106</f>
        <v>70</v>
      </c>
      <c r="H104" s="299">
        <f t="shared" si="9"/>
        <v>1.0294097246000722</v>
      </c>
      <c r="I104" s="59">
        <f t="shared" si="10"/>
        <v>0</v>
      </c>
    </row>
    <row r="105" spans="1:9" x14ac:dyDescent="0.25">
      <c r="A105" s="51">
        <f>'A) Base RI'!A107</f>
        <v>5563</v>
      </c>
      <c r="B105" s="34" t="str">
        <f>'A) Base RI'!B107</f>
        <v>Mutrux</v>
      </c>
      <c r="C105" s="101">
        <f>'A) Base RI'!AN107</f>
        <v>163</v>
      </c>
      <c r="D105" s="117">
        <f>'D) Ecrêtage'!N105</f>
        <v>19.098378336133795</v>
      </c>
      <c r="E105" s="36">
        <f t="shared" si="7"/>
        <v>25.694414468489587</v>
      </c>
      <c r="F105" s="298">
        <f t="shared" si="8"/>
        <v>88768.677689520788</v>
      </c>
      <c r="G105" s="35">
        <f>+'A) Base RI'!AM107</f>
        <v>78.5</v>
      </c>
      <c r="H105" s="299">
        <f t="shared" si="9"/>
        <v>1.154409476872938</v>
      </c>
      <c r="I105" s="59">
        <f t="shared" si="10"/>
        <v>102475.40277426214</v>
      </c>
    </row>
    <row r="106" spans="1:9" x14ac:dyDescent="0.25">
      <c r="A106" s="51">
        <f>'A) Base RI'!A108</f>
        <v>5564</v>
      </c>
      <c r="B106" s="34" t="str">
        <f>'A) Base RI'!B108</f>
        <v>Novalles</v>
      </c>
      <c r="C106" s="101">
        <f>'A) Base RI'!AN108</f>
        <v>101</v>
      </c>
      <c r="D106" s="117">
        <f>'D) Ecrêtage'!N106</f>
        <v>26.007843603439291</v>
      </c>
      <c r="E106" s="36">
        <f t="shared" si="7"/>
        <v>18.784949201184091</v>
      </c>
      <c r="F106" s="298">
        <f t="shared" si="8"/>
        <v>38932.182918438055</v>
      </c>
      <c r="G106" s="35">
        <f>+'A) Base RI'!AM108</f>
        <v>76</v>
      </c>
      <c r="H106" s="299">
        <f t="shared" si="9"/>
        <v>1.1176448438515068</v>
      </c>
      <c r="I106" s="59">
        <f t="shared" si="10"/>
        <v>43512.353498675999</v>
      </c>
    </row>
    <row r="107" spans="1:9" x14ac:dyDescent="0.25">
      <c r="A107" s="51">
        <f>'A) Base RI'!A109</f>
        <v>5565</v>
      </c>
      <c r="B107" s="34" t="str">
        <f>'A) Base RI'!B109</f>
        <v>Onnens</v>
      </c>
      <c r="C107" s="101">
        <f>'A) Base RI'!AN109</f>
        <v>477</v>
      </c>
      <c r="D107" s="117">
        <f>'D) Ecrêtage'!N107</f>
        <v>39.867007579422669</v>
      </c>
      <c r="E107" s="36">
        <f t="shared" si="7"/>
        <v>4.9257852252007126</v>
      </c>
      <c r="F107" s="298">
        <f t="shared" si="8"/>
        <v>41235.472144983993</v>
      </c>
      <c r="G107" s="35">
        <f>+'A) Base RI'!AM109</f>
        <v>65</v>
      </c>
      <c r="H107" s="299">
        <f t="shared" si="9"/>
        <v>0.95588045855720982</v>
      </c>
      <c r="I107" s="59">
        <f t="shared" si="10"/>
        <v>39416.18202277035</v>
      </c>
    </row>
    <row r="108" spans="1:9" x14ac:dyDescent="0.25">
      <c r="A108" s="51">
        <f>'A) Base RI'!A110</f>
        <v>5566</v>
      </c>
      <c r="B108" s="34" t="str">
        <f>'A) Base RI'!B110</f>
        <v>Provence</v>
      </c>
      <c r="C108" s="101">
        <f>'A) Base RI'!AN110</f>
        <v>388</v>
      </c>
      <c r="D108" s="117">
        <f>'D) Ecrêtage'!N108</f>
        <v>20.475759938059483</v>
      </c>
      <c r="E108" s="36">
        <f t="shared" si="7"/>
        <v>24.317032866563899</v>
      </c>
      <c r="F108" s="298">
        <f t="shared" si="8"/>
        <v>206343.64141119999</v>
      </c>
      <c r="G108" s="35">
        <f>+'A) Base RI'!AM110</f>
        <v>81</v>
      </c>
      <c r="H108" s="299">
        <f t="shared" si="9"/>
        <v>1.1911741098943691</v>
      </c>
      <c r="I108" s="59">
        <f t="shared" si="10"/>
        <v>245791.20339034902</v>
      </c>
    </row>
    <row r="109" spans="1:9" x14ac:dyDescent="0.25">
      <c r="A109" s="51">
        <f>'A) Base RI'!A111</f>
        <v>5568</v>
      </c>
      <c r="B109" s="34" t="str">
        <f>'A) Base RI'!B111</f>
        <v>Sainte-Croix</v>
      </c>
      <c r="C109" s="101">
        <f>'A) Base RI'!AN111</f>
        <v>4919</v>
      </c>
      <c r="D109" s="117">
        <f>'D) Ecrêtage'!N109</f>
        <v>20.489766444980102</v>
      </c>
      <c r="E109" s="36">
        <f t="shared" si="7"/>
        <v>24.30302635964328</v>
      </c>
      <c r="F109" s="298">
        <f t="shared" si="8"/>
        <v>2259430.4879323123</v>
      </c>
      <c r="G109" s="35">
        <f>+'A) Base RI'!AM111</f>
        <v>70</v>
      </c>
      <c r="H109" s="299">
        <f t="shared" si="9"/>
        <v>1.0294097246000722</v>
      </c>
      <c r="I109" s="59">
        <f t="shared" si="10"/>
        <v>2325879.7163354084</v>
      </c>
    </row>
    <row r="110" spans="1:9" x14ac:dyDescent="0.25">
      <c r="A110" s="51">
        <f>'A) Base RI'!A112</f>
        <v>5571</v>
      </c>
      <c r="B110" s="34" t="str">
        <f>'A) Base RI'!B112</f>
        <v>Tévenon</v>
      </c>
      <c r="C110" s="101">
        <f>'A) Base RI'!AN112</f>
        <v>843</v>
      </c>
      <c r="D110" s="117">
        <f>'D) Ecrêtage'!N110</f>
        <v>25.332985342628248</v>
      </c>
      <c r="E110" s="36">
        <f t="shared" si="7"/>
        <v>19.459807461995133</v>
      </c>
      <c r="F110" s="298">
        <f t="shared" si="8"/>
        <v>323335.01467900403</v>
      </c>
      <c r="G110" s="35">
        <f>+'A) Base RI'!AM112</f>
        <v>73</v>
      </c>
      <c r="H110" s="299">
        <f t="shared" si="9"/>
        <v>1.0735272842257895</v>
      </c>
      <c r="I110" s="59">
        <f t="shared" si="10"/>
        <v>347108.96020345698</v>
      </c>
    </row>
    <row r="111" spans="1:9" x14ac:dyDescent="0.25">
      <c r="A111" s="51">
        <f>'A) Base RI'!A113</f>
        <v>5581</v>
      </c>
      <c r="B111" s="34" t="str">
        <f>'A) Base RI'!B113</f>
        <v>Belmont-sur-Lausanne</v>
      </c>
      <c r="C111" s="101">
        <f>'A) Base RI'!AN113</f>
        <v>3662</v>
      </c>
      <c r="D111" s="117">
        <f>'D) Ecrêtage'!N111</f>
        <v>52.648393049623671</v>
      </c>
      <c r="E111" s="36">
        <f t="shared" si="7"/>
        <v>0</v>
      </c>
      <c r="F111" s="298">
        <f t="shared" si="8"/>
        <v>0</v>
      </c>
      <c r="G111" s="35">
        <f>+'A) Base RI'!AM113</f>
        <v>69.5</v>
      </c>
      <c r="H111" s="299">
        <f t="shared" si="9"/>
        <v>1.022056797995786</v>
      </c>
      <c r="I111" s="59">
        <f t="shared" si="10"/>
        <v>0</v>
      </c>
    </row>
    <row r="112" spans="1:9" x14ac:dyDescent="0.25">
      <c r="A112" s="51">
        <f>'A) Base RI'!A114</f>
        <v>5582</v>
      </c>
      <c r="B112" s="34" t="str">
        <f>'A) Base RI'!B114</f>
        <v>Cheseaux-sur-Lausanne</v>
      </c>
      <c r="C112" s="101">
        <f>'A) Base RI'!AN114</f>
        <v>4357</v>
      </c>
      <c r="D112" s="117">
        <f>'D) Ecrêtage'!N112</f>
        <v>41.575814064538591</v>
      </c>
      <c r="E112" s="36">
        <f t="shared" si="7"/>
        <v>3.2169787400847909</v>
      </c>
      <c r="F112" s="298">
        <f t="shared" si="8"/>
        <v>281939.41069360188</v>
      </c>
      <c r="G112" s="35">
        <f>+'A) Base RI'!AM114</f>
        <v>74.5</v>
      </c>
      <c r="H112" s="299">
        <f t="shared" si="9"/>
        <v>1.0955860640386481</v>
      </c>
      <c r="I112" s="59">
        <f t="shared" si="10"/>
        <v>308888.88925917924</v>
      </c>
    </row>
    <row r="113" spans="1:9" x14ac:dyDescent="0.25">
      <c r="A113" s="51">
        <f>'A) Base RI'!A115</f>
        <v>5583</v>
      </c>
      <c r="B113" s="34" t="str">
        <f>'A) Base RI'!B115</f>
        <v>Crissier</v>
      </c>
      <c r="C113" s="101">
        <f>'A) Base RI'!AN115</f>
        <v>8008</v>
      </c>
      <c r="D113" s="117">
        <f>'D) Ecrêtage'!N113</f>
        <v>39.435427265042648</v>
      </c>
      <c r="E113" s="36">
        <f t="shared" si="7"/>
        <v>5.3573655395807336</v>
      </c>
      <c r="F113" s="298">
        <f t="shared" si="8"/>
        <v>752926.29587889207</v>
      </c>
      <c r="G113" s="35">
        <f>+'A) Base RI'!AM115</f>
        <v>65</v>
      </c>
      <c r="H113" s="299">
        <f t="shared" si="9"/>
        <v>0.95588045855720982</v>
      </c>
      <c r="I113" s="59">
        <f t="shared" si="10"/>
        <v>719707.53296449676</v>
      </c>
    </row>
    <row r="114" spans="1:9" x14ac:dyDescent="0.25">
      <c r="A114" s="51">
        <f>'A) Base RI'!A116</f>
        <v>5584</v>
      </c>
      <c r="B114" s="34" t="str">
        <f>'A) Base RI'!B116</f>
        <v>Epalinges</v>
      </c>
      <c r="C114" s="101">
        <f>'A) Base RI'!AN116</f>
        <v>9335</v>
      </c>
      <c r="D114" s="117">
        <f>'D) Ecrêtage'!N114</f>
        <v>45.464192384476796</v>
      </c>
      <c r="E114" s="36">
        <f t="shared" si="7"/>
        <v>0</v>
      </c>
      <c r="F114" s="298">
        <f t="shared" si="8"/>
        <v>0</v>
      </c>
      <c r="G114" s="35">
        <f>+'A) Base RI'!AM116</f>
        <v>66</v>
      </c>
      <c r="H114" s="299">
        <f t="shared" si="9"/>
        <v>0.97058631176578225</v>
      </c>
      <c r="I114" s="59">
        <f t="shared" si="10"/>
        <v>0</v>
      </c>
    </row>
    <row r="115" spans="1:9" x14ac:dyDescent="0.25">
      <c r="A115" s="51">
        <f>'A) Base RI'!A117</f>
        <v>5585</v>
      </c>
      <c r="B115" s="34" t="str">
        <f>'A) Base RI'!B117</f>
        <v>Jouxtens-Mézery</v>
      </c>
      <c r="C115" s="101">
        <f>'A) Base RI'!AN117</f>
        <v>1469</v>
      </c>
      <c r="D115" s="117">
        <f>'D) Ecrêtage'!N115</f>
        <v>97.853056974383719</v>
      </c>
      <c r="E115" s="36">
        <f t="shared" si="7"/>
        <v>0</v>
      </c>
      <c r="F115" s="298">
        <f t="shared" si="8"/>
        <v>0</v>
      </c>
      <c r="G115" s="35">
        <f>+'A) Base RI'!AM117</f>
        <v>53</v>
      </c>
      <c r="H115" s="299">
        <f t="shared" si="9"/>
        <v>0.77941022005434035</v>
      </c>
      <c r="I115" s="59">
        <f t="shared" si="10"/>
        <v>0</v>
      </c>
    </row>
    <row r="116" spans="1:9" x14ac:dyDescent="0.25">
      <c r="A116" s="51">
        <f>'A) Base RI'!A118</f>
        <v>5586</v>
      </c>
      <c r="B116" s="34" t="str">
        <f>'A) Base RI'!B118</f>
        <v>Lausanne</v>
      </c>
      <c r="C116" s="101">
        <f>'A) Base RI'!AN118</f>
        <v>139624</v>
      </c>
      <c r="D116" s="117">
        <f>'D) Ecrêtage'!N116</f>
        <v>44.607689998527697</v>
      </c>
      <c r="E116" s="36">
        <f t="shared" si="7"/>
        <v>0.18510280609568497</v>
      </c>
      <c r="F116" s="298">
        <f t="shared" si="8"/>
        <v>551269.46024982259</v>
      </c>
      <c r="G116" s="35">
        <f>+'A) Base RI'!AM118</f>
        <v>79</v>
      </c>
      <c r="H116" s="299">
        <f t="shared" si="9"/>
        <v>1.1617624034772243</v>
      </c>
      <c r="I116" s="59">
        <f t="shared" si="10"/>
        <v>640444.13310342608</v>
      </c>
    </row>
    <row r="117" spans="1:9" x14ac:dyDescent="0.25">
      <c r="A117" s="51">
        <f>'A) Base RI'!A119</f>
        <v>5587</v>
      </c>
      <c r="B117" s="34" t="str">
        <f>'A) Base RI'!B119</f>
        <v>Le Mont-sur-Lausanne</v>
      </c>
      <c r="C117" s="101">
        <f>'A) Base RI'!AN119</f>
        <v>8093</v>
      </c>
      <c r="D117" s="117">
        <f>'D) Ecrêtage'!N117</f>
        <v>51.797786523332917</v>
      </c>
      <c r="E117" s="36">
        <f t="shared" si="7"/>
        <v>0</v>
      </c>
      <c r="F117" s="298">
        <f t="shared" si="8"/>
        <v>0</v>
      </c>
      <c r="G117" s="35">
        <f>+'A) Base RI'!AM119</f>
        <v>75</v>
      </c>
      <c r="H117" s="299">
        <f t="shared" si="9"/>
        <v>1.1029389906429343</v>
      </c>
      <c r="I117" s="59">
        <f t="shared" si="10"/>
        <v>0</v>
      </c>
    </row>
    <row r="118" spans="1:9" x14ac:dyDescent="0.25">
      <c r="A118" s="51">
        <f>'A) Base RI'!A120</f>
        <v>5588</v>
      </c>
      <c r="B118" s="34" t="str">
        <f>'A) Base RI'!B120</f>
        <v>Paudex</v>
      </c>
      <c r="C118" s="101">
        <f>'A) Base RI'!AN120</f>
        <v>1480</v>
      </c>
      <c r="D118" s="117">
        <f>'D) Ecrêtage'!N118</f>
        <v>85.929519673459353</v>
      </c>
      <c r="E118" s="36">
        <f t="shared" si="7"/>
        <v>0</v>
      </c>
      <c r="F118" s="298">
        <f t="shared" si="8"/>
        <v>0</v>
      </c>
      <c r="G118" s="35">
        <f>+'A) Base RI'!AM120</f>
        <v>61.5</v>
      </c>
      <c r="H118" s="299">
        <f t="shared" si="9"/>
        <v>0.90440997232720621</v>
      </c>
      <c r="I118" s="59">
        <f t="shared" si="10"/>
        <v>0</v>
      </c>
    </row>
    <row r="119" spans="1:9" x14ac:dyDescent="0.25">
      <c r="A119" s="51">
        <f>'A) Base RI'!A121</f>
        <v>5589</v>
      </c>
      <c r="B119" s="34" t="str">
        <f>'A) Base RI'!B121</f>
        <v>Prilly</v>
      </c>
      <c r="C119" s="101">
        <f>'A) Base RI'!AN121</f>
        <v>12105</v>
      </c>
      <c r="D119" s="117">
        <f>'D) Ecrêtage'!N119</f>
        <v>35.777523764565721</v>
      </c>
      <c r="E119" s="36">
        <f t="shared" si="7"/>
        <v>9.0152690400576603</v>
      </c>
      <c r="F119" s="298">
        <f t="shared" si="8"/>
        <v>2165681.5106798257</v>
      </c>
      <c r="G119" s="35">
        <f>+'A) Base RI'!AM121</f>
        <v>73.5</v>
      </c>
      <c r="H119" s="299">
        <f t="shared" si="9"/>
        <v>1.0808802108300757</v>
      </c>
      <c r="I119" s="59">
        <f t="shared" si="10"/>
        <v>2340842.287854407</v>
      </c>
    </row>
    <row r="120" spans="1:9" x14ac:dyDescent="0.25">
      <c r="A120" s="51">
        <f>'A) Base RI'!A122</f>
        <v>5590</v>
      </c>
      <c r="B120" s="34" t="str">
        <f>'A) Base RI'!B122</f>
        <v>Pully</v>
      </c>
      <c r="C120" s="101">
        <f>'A) Base RI'!AN122</f>
        <v>18194</v>
      </c>
      <c r="D120" s="117">
        <f>'D) Ecrêtage'!N120</f>
        <v>72.866878586004063</v>
      </c>
      <c r="E120" s="36">
        <f t="shared" si="7"/>
        <v>0</v>
      </c>
      <c r="F120" s="298">
        <f t="shared" si="8"/>
        <v>0</v>
      </c>
      <c r="G120" s="35">
        <f>+'A) Base RI'!AM122</f>
        <v>61</v>
      </c>
      <c r="H120" s="299">
        <f t="shared" si="9"/>
        <v>0.89705704572292</v>
      </c>
      <c r="I120" s="59">
        <f t="shared" si="10"/>
        <v>0</v>
      </c>
    </row>
    <row r="121" spans="1:9" x14ac:dyDescent="0.25">
      <c r="A121" s="51">
        <f>'A) Base RI'!A123</f>
        <v>5591</v>
      </c>
      <c r="B121" s="34" t="str">
        <f>'A) Base RI'!B123</f>
        <v>Renens</v>
      </c>
      <c r="C121" s="101">
        <f>'A) Base RI'!AN123</f>
        <v>21114</v>
      </c>
      <c r="D121" s="117">
        <f>'D) Ecrêtage'!N121</f>
        <v>25.934267671067317</v>
      </c>
      <c r="E121" s="36">
        <f t="shared" si="7"/>
        <v>18.858525133556064</v>
      </c>
      <c r="F121" s="298">
        <f t="shared" si="8"/>
        <v>8439401.7785035893</v>
      </c>
      <c r="G121" s="35">
        <f>+'A) Base RI'!AM123</f>
        <v>78.5</v>
      </c>
      <c r="H121" s="299">
        <f t="shared" si="9"/>
        <v>1.154409476872938</v>
      </c>
      <c r="I121" s="59">
        <f t="shared" si="10"/>
        <v>9742525.3922428712</v>
      </c>
    </row>
    <row r="122" spans="1:9" x14ac:dyDescent="0.25">
      <c r="A122" s="51">
        <f>'A) Base RI'!A124</f>
        <v>5592</v>
      </c>
      <c r="B122" s="34" t="str">
        <f>'A) Base RI'!B124</f>
        <v>Romanel-sur-Lausanne</v>
      </c>
      <c r="C122" s="101">
        <f>'A) Base RI'!AN124</f>
        <v>3300</v>
      </c>
      <c r="D122" s="117">
        <f>'D) Ecrêtage'!N122</f>
        <v>35.099966450216449</v>
      </c>
      <c r="E122" s="36">
        <f t="shared" si="7"/>
        <v>9.6928263544069324</v>
      </c>
      <c r="F122" s="298">
        <f t="shared" si="8"/>
        <v>604541.57972436037</v>
      </c>
      <c r="G122" s="35">
        <f>+'A) Base RI'!AM124</f>
        <v>70</v>
      </c>
      <c r="H122" s="299">
        <f t="shared" si="9"/>
        <v>1.0294097246000722</v>
      </c>
      <c r="I122" s="59">
        <f t="shared" si="10"/>
        <v>622320.98109334637</v>
      </c>
    </row>
    <row r="123" spans="1:9" x14ac:dyDescent="0.25">
      <c r="A123" s="51">
        <f>'A) Base RI'!A125</f>
        <v>5601</v>
      </c>
      <c r="B123" s="34" t="str">
        <f>'A) Base RI'!B125</f>
        <v>Chexbres</v>
      </c>
      <c r="C123" s="101">
        <f>'A) Base RI'!AN125</f>
        <v>2250</v>
      </c>
      <c r="D123" s="117">
        <f>'D) Ecrêtage'!N123</f>
        <v>52.226058055555555</v>
      </c>
      <c r="E123" s="36">
        <f t="shared" si="7"/>
        <v>0</v>
      </c>
      <c r="F123" s="298">
        <f t="shared" si="8"/>
        <v>0</v>
      </c>
      <c r="G123" s="35">
        <f>+'A) Base RI'!AM125</f>
        <v>64</v>
      </c>
      <c r="H123" s="299">
        <f t="shared" si="9"/>
        <v>0.94117460534863739</v>
      </c>
      <c r="I123" s="59">
        <f t="shared" si="10"/>
        <v>0</v>
      </c>
    </row>
    <row r="124" spans="1:9" x14ac:dyDescent="0.25">
      <c r="A124" s="51">
        <f>'A) Base RI'!A126</f>
        <v>5604</v>
      </c>
      <c r="B124" s="34" t="str">
        <f>'A) Base RI'!B126</f>
        <v>Forel (Lavaux)</v>
      </c>
      <c r="C124" s="101">
        <f>'A) Base RI'!AN126</f>
        <v>2084</v>
      </c>
      <c r="D124" s="117">
        <f>'D) Ecrêtage'!N124</f>
        <v>34.372137786496552</v>
      </c>
      <c r="E124" s="36">
        <f t="shared" si="7"/>
        <v>10.42065501812683</v>
      </c>
      <c r="F124" s="298">
        <f t="shared" si="8"/>
        <v>398717.60326077312</v>
      </c>
      <c r="G124" s="35">
        <f>+'A) Base RI'!AM126</f>
        <v>68</v>
      </c>
      <c r="H124" s="299">
        <f t="shared" si="9"/>
        <v>0.99999801818292722</v>
      </c>
      <c r="I124" s="59">
        <f t="shared" si="10"/>
        <v>398716.81307541975</v>
      </c>
    </row>
    <row r="125" spans="1:9" x14ac:dyDescent="0.25">
      <c r="A125" s="51">
        <f>'A) Base RI'!A127</f>
        <v>5606</v>
      </c>
      <c r="B125" s="34" t="str">
        <f>'A) Base RI'!B127</f>
        <v>Lutry</v>
      </c>
      <c r="C125" s="101">
        <f>'A) Base RI'!AN127</f>
        <v>10001</v>
      </c>
      <c r="D125" s="117">
        <f>'D) Ecrêtage'!N125</f>
        <v>75.863984901941009</v>
      </c>
      <c r="E125" s="36">
        <f t="shared" si="7"/>
        <v>0</v>
      </c>
      <c r="F125" s="298">
        <f t="shared" si="8"/>
        <v>0</v>
      </c>
      <c r="G125" s="35">
        <f>+'A) Base RI'!AM127</f>
        <v>55.5</v>
      </c>
      <c r="H125" s="299">
        <f t="shared" si="9"/>
        <v>0.81617485307577142</v>
      </c>
      <c r="I125" s="59">
        <f t="shared" si="10"/>
        <v>0</v>
      </c>
    </row>
    <row r="126" spans="1:9" x14ac:dyDescent="0.25">
      <c r="A126" s="51">
        <f>'A) Base RI'!A128</f>
        <v>5607</v>
      </c>
      <c r="B126" s="34" t="str">
        <f>'A) Base RI'!B128</f>
        <v>Puidoux</v>
      </c>
      <c r="C126" s="101">
        <f>'A) Base RI'!AN128</f>
        <v>2904</v>
      </c>
      <c r="D126" s="117">
        <f>'D) Ecrêtage'!N126</f>
        <v>37.37090327327482</v>
      </c>
      <c r="E126" s="36">
        <f t="shared" si="7"/>
        <v>7.4218895313485618</v>
      </c>
      <c r="F126" s="298">
        <f t="shared" si="8"/>
        <v>407354.86006178462</v>
      </c>
      <c r="G126" s="35">
        <f>+'A) Base RI'!AM128</f>
        <v>70</v>
      </c>
      <c r="H126" s="299">
        <f t="shared" si="9"/>
        <v>1.0294097246000722</v>
      </c>
      <c r="I126" s="59">
        <f t="shared" si="10"/>
        <v>419335.05431070266</v>
      </c>
    </row>
    <row r="127" spans="1:9" x14ac:dyDescent="0.25">
      <c r="A127" s="51">
        <f>'A) Base RI'!A129</f>
        <v>5609</v>
      </c>
      <c r="B127" s="34" t="str">
        <f>'A) Base RI'!B129</f>
        <v>Rivaz</v>
      </c>
      <c r="C127" s="101">
        <f>'A) Base RI'!AN129</f>
        <v>351</v>
      </c>
      <c r="D127" s="117">
        <f>'D) Ecrêtage'!N127</f>
        <v>44.389456446149367</v>
      </c>
      <c r="E127" s="36">
        <f t="shared" si="7"/>
        <v>0.40333635847401439</v>
      </c>
      <c r="F127" s="298">
        <f t="shared" si="8"/>
        <v>2427.2358549789792</v>
      </c>
      <c r="G127" s="35">
        <f>+'A) Base RI'!AM129</f>
        <v>63.5</v>
      </c>
      <c r="H127" s="299">
        <f t="shared" si="9"/>
        <v>0.93382167874435107</v>
      </c>
      <c r="I127" s="59">
        <f t="shared" si="10"/>
        <v>2266.6054608049508</v>
      </c>
    </row>
    <row r="128" spans="1:9" x14ac:dyDescent="0.25">
      <c r="A128" s="51">
        <f>'A) Base RI'!A130</f>
        <v>5610</v>
      </c>
      <c r="B128" s="34" t="str">
        <f>'A) Base RI'!B130</f>
        <v>St-Saphorin (Lavaux)</v>
      </c>
      <c r="C128" s="101">
        <f>'A) Base RI'!AN130</f>
        <v>389</v>
      </c>
      <c r="D128" s="117">
        <f>'D) Ecrêtage'!N128</f>
        <v>56.465277874416948</v>
      </c>
      <c r="E128" s="36">
        <f t="shared" si="7"/>
        <v>0</v>
      </c>
      <c r="F128" s="298">
        <f t="shared" si="8"/>
        <v>0</v>
      </c>
      <c r="G128" s="35">
        <f>+'A) Base RI'!AM130</f>
        <v>67</v>
      </c>
      <c r="H128" s="299">
        <f t="shared" si="9"/>
        <v>0.98529216497435468</v>
      </c>
      <c r="I128" s="59">
        <f t="shared" si="10"/>
        <v>0</v>
      </c>
    </row>
    <row r="129" spans="1:9" x14ac:dyDescent="0.25">
      <c r="A129" s="51">
        <f>'A) Base RI'!A131</f>
        <v>5611</v>
      </c>
      <c r="B129" s="34" t="str">
        <f>'A) Base RI'!B131</f>
        <v>Savigny</v>
      </c>
      <c r="C129" s="101">
        <f>'A) Base RI'!AN131</f>
        <v>3352</v>
      </c>
      <c r="D129" s="117">
        <f>'D) Ecrêtage'!N129</f>
        <v>40.128560921160343</v>
      </c>
      <c r="E129" s="36">
        <f t="shared" si="7"/>
        <v>4.6642318834630387</v>
      </c>
      <c r="F129" s="298">
        <f t="shared" si="8"/>
        <v>291270.83324284782</v>
      </c>
      <c r="G129" s="35">
        <f>+'A) Base RI'!AM131</f>
        <v>69</v>
      </c>
      <c r="H129" s="299">
        <f t="shared" si="9"/>
        <v>1.0147038713914995</v>
      </c>
      <c r="I129" s="59">
        <f t="shared" si="10"/>
        <v>295553.64211494557</v>
      </c>
    </row>
    <row r="130" spans="1:9" x14ac:dyDescent="0.25">
      <c r="A130" s="51">
        <f>'A) Base RI'!A132</f>
        <v>5613</v>
      </c>
      <c r="B130" s="34" t="str">
        <f>'A) Base RI'!B132</f>
        <v>Bourg-en-Lavaux</v>
      </c>
      <c r="C130" s="101">
        <f>'A) Base RI'!AN132</f>
        <v>5288</v>
      </c>
      <c r="D130" s="117">
        <f>'D) Ecrêtage'!N130</f>
        <v>60.897624160468048</v>
      </c>
      <c r="E130" s="36">
        <f t="shared" si="7"/>
        <v>0</v>
      </c>
      <c r="F130" s="298">
        <f t="shared" si="8"/>
        <v>0</v>
      </c>
      <c r="G130" s="35">
        <f>+'A) Base RI'!AM132</f>
        <v>61</v>
      </c>
      <c r="H130" s="299">
        <f t="shared" si="9"/>
        <v>0.89705704572292</v>
      </c>
      <c r="I130" s="59">
        <f t="shared" si="10"/>
        <v>0</v>
      </c>
    </row>
    <row r="131" spans="1:9" x14ac:dyDescent="0.25">
      <c r="A131" s="51">
        <f>'A) Base RI'!A133</f>
        <v>5621</v>
      </c>
      <c r="B131" s="34" t="str">
        <f>'A) Base RI'!B133</f>
        <v>Aclens</v>
      </c>
      <c r="C131" s="101">
        <f>'A) Base RI'!AN133</f>
        <v>545</v>
      </c>
      <c r="D131" s="117">
        <f>'D) Ecrêtage'!N131</f>
        <v>59.537761979543454</v>
      </c>
      <c r="E131" s="36">
        <f t="shared" si="7"/>
        <v>0</v>
      </c>
      <c r="F131" s="298">
        <f t="shared" si="8"/>
        <v>0</v>
      </c>
      <c r="G131" s="35">
        <f>+'A) Base RI'!AM133</f>
        <v>62</v>
      </c>
      <c r="H131" s="299">
        <f t="shared" si="9"/>
        <v>0.91176289893149243</v>
      </c>
      <c r="I131" s="59">
        <f t="shared" si="10"/>
        <v>0</v>
      </c>
    </row>
    <row r="132" spans="1:9" x14ac:dyDescent="0.25">
      <c r="A132" s="51">
        <f>'A) Base RI'!A134</f>
        <v>5622</v>
      </c>
      <c r="B132" s="34" t="str">
        <f>'A) Base RI'!B134</f>
        <v>Bremblens</v>
      </c>
      <c r="C132" s="101">
        <f>'A) Base RI'!AN134</f>
        <v>547</v>
      </c>
      <c r="D132" s="117">
        <f>'D) Ecrêtage'!N132</f>
        <v>56.75147112881951</v>
      </c>
      <c r="E132" s="36">
        <f t="shared" si="7"/>
        <v>0</v>
      </c>
      <c r="F132" s="298">
        <f t="shared" si="8"/>
        <v>0</v>
      </c>
      <c r="G132" s="35">
        <f>+'A) Base RI'!AM134</f>
        <v>66</v>
      </c>
      <c r="H132" s="299">
        <f t="shared" si="9"/>
        <v>0.97058631176578225</v>
      </c>
      <c r="I132" s="59">
        <f t="shared" si="10"/>
        <v>0</v>
      </c>
    </row>
    <row r="133" spans="1:9" x14ac:dyDescent="0.25">
      <c r="A133" s="51">
        <f>'A) Base RI'!A135</f>
        <v>5623</v>
      </c>
      <c r="B133" s="34" t="str">
        <f>'A) Base RI'!B135</f>
        <v>Buchillon</v>
      </c>
      <c r="C133" s="101">
        <f>'A) Base RI'!AN135</f>
        <v>638</v>
      </c>
      <c r="D133" s="117">
        <f>'D) Ecrêtage'!N133</f>
        <v>97.509605872851751</v>
      </c>
      <c r="E133" s="36">
        <f t="shared" si="7"/>
        <v>0</v>
      </c>
      <c r="F133" s="298">
        <f t="shared" si="8"/>
        <v>0</v>
      </c>
      <c r="G133" s="35">
        <f>+'A) Base RI'!AM135</f>
        <v>53</v>
      </c>
      <c r="H133" s="299">
        <f t="shared" si="9"/>
        <v>0.77941022005434035</v>
      </c>
      <c r="I133" s="59">
        <f t="shared" si="10"/>
        <v>0</v>
      </c>
    </row>
    <row r="134" spans="1:9" x14ac:dyDescent="0.25">
      <c r="A134" s="51">
        <f>'A) Base RI'!A136</f>
        <v>5624</v>
      </c>
      <c r="B134" s="34" t="str">
        <f>'A) Base RI'!B136</f>
        <v>Bussigny</v>
      </c>
      <c r="C134" s="101">
        <f>'A) Base RI'!AN136</f>
        <v>8677</v>
      </c>
      <c r="D134" s="117">
        <f>'D) Ecrêtage'!N134</f>
        <v>38.8033604040344</v>
      </c>
      <c r="E134" s="36">
        <f t="shared" ref="E134:E197" si="11">IF($D$314-D134&lt;0,0,$D$314-D134)</f>
        <v>5.9894324005889814</v>
      </c>
      <c r="F134" s="298">
        <f t="shared" ref="F134:F197" si="12">(C134*E134*G134)*$E$4</f>
        <v>869982.9046941034</v>
      </c>
      <c r="G134" s="35">
        <f>+'A) Base RI'!AM136</f>
        <v>62</v>
      </c>
      <c r="H134" s="299">
        <f t="shared" ref="H134:H197" si="13">G134/$G$314</f>
        <v>0.91176289893149243</v>
      </c>
      <c r="I134" s="59">
        <f t="shared" ref="I134:I197" si="14">F134*H134</f>
        <v>793218.13520473603</v>
      </c>
    </row>
    <row r="135" spans="1:9" x14ac:dyDescent="0.25">
      <c r="A135" s="51">
        <f>'A) Base RI'!A137</f>
        <v>5625</v>
      </c>
      <c r="B135" s="34" t="str">
        <f>'A) Base RI'!B137</f>
        <v>Bussy-Chardonney</v>
      </c>
      <c r="C135" s="101">
        <f>'A) Base RI'!AN137</f>
        <v>371</v>
      </c>
      <c r="D135" s="117">
        <f>'D) Ecrêtage'!N135</f>
        <v>37.176174349759258</v>
      </c>
      <c r="E135" s="36">
        <f t="shared" si="11"/>
        <v>7.616618454864124</v>
      </c>
      <c r="F135" s="298">
        <f t="shared" si="12"/>
        <v>59510.620308651669</v>
      </c>
      <c r="G135" s="35">
        <f>+'A) Base RI'!AM137</f>
        <v>78</v>
      </c>
      <c r="H135" s="299">
        <f t="shared" si="13"/>
        <v>1.1470565502686518</v>
      </c>
      <c r="I135" s="59">
        <f t="shared" si="14"/>
        <v>68262.046835589557</v>
      </c>
    </row>
    <row r="136" spans="1:9" x14ac:dyDescent="0.25">
      <c r="A136" s="51">
        <f>'A) Base RI'!A138</f>
        <v>5627</v>
      </c>
      <c r="B136" s="34" t="str">
        <f>'A) Base RI'!B138</f>
        <v>Chavannes-près-Renens</v>
      </c>
      <c r="C136" s="101">
        <f>'A) Base RI'!AN138</f>
        <v>7653</v>
      </c>
      <c r="D136" s="117">
        <f>'D) Ecrêtage'!N136</f>
        <v>22.89219398255889</v>
      </c>
      <c r="E136" s="36">
        <f t="shared" si="11"/>
        <v>21.900598822064492</v>
      </c>
      <c r="F136" s="298">
        <f t="shared" si="12"/>
        <v>3575020.6818095869</v>
      </c>
      <c r="G136" s="35">
        <f>+'A) Base RI'!AM138</f>
        <v>79</v>
      </c>
      <c r="H136" s="299">
        <f t="shared" si="13"/>
        <v>1.1617624034772243</v>
      </c>
      <c r="I136" s="59">
        <f t="shared" si="14"/>
        <v>4153324.6197798909</v>
      </c>
    </row>
    <row r="137" spans="1:9" x14ac:dyDescent="0.25">
      <c r="A137" s="51">
        <f>'A) Base RI'!A139</f>
        <v>5628</v>
      </c>
      <c r="B137" s="34" t="str">
        <f>'A) Base RI'!B139</f>
        <v>Chigny</v>
      </c>
      <c r="C137" s="101">
        <f>'A) Base RI'!AN139</f>
        <v>338</v>
      </c>
      <c r="D137" s="117">
        <f>'D) Ecrêtage'!N137</f>
        <v>57.176012241121107</v>
      </c>
      <c r="E137" s="36">
        <f t="shared" si="11"/>
        <v>0</v>
      </c>
      <c r="F137" s="298">
        <f t="shared" si="12"/>
        <v>0</v>
      </c>
      <c r="G137" s="35">
        <f>+'A) Base RI'!AM139</f>
        <v>62</v>
      </c>
      <c r="H137" s="299">
        <f t="shared" si="13"/>
        <v>0.91176289893149243</v>
      </c>
      <c r="I137" s="59">
        <f t="shared" si="14"/>
        <v>0</v>
      </c>
    </row>
    <row r="138" spans="1:9" x14ac:dyDescent="0.25">
      <c r="A138" s="51">
        <f>'A) Base RI'!A140</f>
        <v>5629</v>
      </c>
      <c r="B138" s="34" t="str">
        <f>'A) Base RI'!B140</f>
        <v>Clarmont</v>
      </c>
      <c r="C138" s="101">
        <f>'A) Base RI'!AN140</f>
        <v>189</v>
      </c>
      <c r="D138" s="117">
        <f>'D) Ecrêtage'!N138</f>
        <v>39.745282539682542</v>
      </c>
      <c r="E138" s="36">
        <f t="shared" si="11"/>
        <v>5.0475102649408399</v>
      </c>
      <c r="F138" s="298">
        <f t="shared" si="12"/>
        <v>19318.083661494831</v>
      </c>
      <c r="G138" s="35">
        <f>+'A) Base RI'!AM140</f>
        <v>75</v>
      </c>
      <c r="H138" s="299">
        <f t="shared" si="13"/>
        <v>1.1029389906429343</v>
      </c>
      <c r="I138" s="59">
        <f t="shared" si="14"/>
        <v>21306.66769476487</v>
      </c>
    </row>
    <row r="139" spans="1:9" x14ac:dyDescent="0.25">
      <c r="A139" s="51">
        <f>'A) Base RI'!A141</f>
        <v>5631</v>
      </c>
      <c r="B139" s="34" t="str">
        <f>'A) Base RI'!B141</f>
        <v>Denens</v>
      </c>
      <c r="C139" s="101">
        <f>'A) Base RI'!AN141</f>
        <v>774</v>
      </c>
      <c r="D139" s="117">
        <f>'D) Ecrêtage'!N139</f>
        <v>57.959102765412226</v>
      </c>
      <c r="E139" s="36">
        <f t="shared" si="11"/>
        <v>0</v>
      </c>
      <c r="F139" s="298">
        <f t="shared" si="12"/>
        <v>0</v>
      </c>
      <c r="G139" s="35">
        <f>+'A) Base RI'!AM141</f>
        <v>70</v>
      </c>
      <c r="H139" s="299">
        <f t="shared" si="13"/>
        <v>1.0294097246000722</v>
      </c>
      <c r="I139" s="59">
        <f t="shared" si="14"/>
        <v>0</v>
      </c>
    </row>
    <row r="140" spans="1:9" x14ac:dyDescent="0.25">
      <c r="A140" s="51">
        <f>'A) Base RI'!A142</f>
        <v>5632</v>
      </c>
      <c r="B140" s="34" t="str">
        <f>'A) Base RI'!B142</f>
        <v>Denges</v>
      </c>
      <c r="C140" s="101">
        <f>'A) Base RI'!AN142</f>
        <v>1614</v>
      </c>
      <c r="D140" s="117">
        <f>'D) Ecrêtage'!N140</f>
        <v>42.066289223328141</v>
      </c>
      <c r="E140" s="36">
        <f t="shared" si="11"/>
        <v>2.7265035812952405</v>
      </c>
      <c r="F140" s="298">
        <f t="shared" si="12"/>
        <v>73665.655300724087</v>
      </c>
      <c r="G140" s="35">
        <f>+'A) Base RI'!AM142</f>
        <v>62</v>
      </c>
      <c r="H140" s="299">
        <f t="shared" si="13"/>
        <v>0.91176289893149243</v>
      </c>
      <c r="I140" s="59">
        <f t="shared" si="14"/>
        <v>67165.61142867626</v>
      </c>
    </row>
    <row r="141" spans="1:9" x14ac:dyDescent="0.25">
      <c r="A141" s="51">
        <f>'A) Base RI'!A143</f>
        <v>5633</v>
      </c>
      <c r="B141" s="34" t="str">
        <f>'A) Base RI'!B143</f>
        <v>Echandens</v>
      </c>
      <c r="C141" s="101">
        <f>'A) Base RI'!AN143</f>
        <v>2757</v>
      </c>
      <c r="D141" s="117">
        <f>'D) Ecrêtage'!N141</f>
        <v>47.838184152947925</v>
      </c>
      <c r="E141" s="36">
        <f t="shared" si="11"/>
        <v>0</v>
      </c>
      <c r="F141" s="298">
        <f t="shared" si="12"/>
        <v>0</v>
      </c>
      <c r="G141" s="35">
        <f>+'A) Base RI'!AM143</f>
        <v>62</v>
      </c>
      <c r="H141" s="299">
        <f t="shared" si="13"/>
        <v>0.91176289893149243</v>
      </c>
      <c r="I141" s="59">
        <f t="shared" si="14"/>
        <v>0</v>
      </c>
    </row>
    <row r="142" spans="1:9" x14ac:dyDescent="0.25">
      <c r="A142" s="51">
        <f>'A) Base RI'!A144</f>
        <v>5634</v>
      </c>
      <c r="B142" s="34" t="str">
        <f>'A) Base RI'!B144</f>
        <v>Echichens</v>
      </c>
      <c r="C142" s="101">
        <f>'A) Base RI'!AN144</f>
        <v>2712</v>
      </c>
      <c r="D142" s="117">
        <f>'D) Ecrêtage'!N142</f>
        <v>46.890788597518643</v>
      </c>
      <c r="E142" s="36">
        <f t="shared" si="11"/>
        <v>0</v>
      </c>
      <c r="F142" s="298">
        <f t="shared" si="12"/>
        <v>0</v>
      </c>
      <c r="G142" s="35">
        <f>+'A) Base RI'!AM144</f>
        <v>68</v>
      </c>
      <c r="H142" s="299">
        <f t="shared" si="13"/>
        <v>0.99999801818292722</v>
      </c>
      <c r="I142" s="59">
        <f t="shared" si="14"/>
        <v>0</v>
      </c>
    </row>
    <row r="143" spans="1:9" x14ac:dyDescent="0.25">
      <c r="A143" s="51">
        <f>'A) Base RI'!A145</f>
        <v>5635</v>
      </c>
      <c r="B143" s="34" t="str">
        <f>'A) Base RI'!B145</f>
        <v>Ecublens</v>
      </c>
      <c r="C143" s="101">
        <f>'A) Base RI'!AN145</f>
        <v>12560</v>
      </c>
      <c r="D143" s="117">
        <f>'D) Ecrêtage'!N143</f>
        <v>36.142833780535938</v>
      </c>
      <c r="E143" s="36">
        <f t="shared" si="11"/>
        <v>8.649959024087444</v>
      </c>
      <c r="F143" s="298">
        <f t="shared" si="12"/>
        <v>1818691.9446340911</v>
      </c>
      <c r="G143" s="35">
        <f>+'A) Base RI'!AM145</f>
        <v>62</v>
      </c>
      <c r="H143" s="299">
        <f t="shared" si="13"/>
        <v>0.91176289893149243</v>
      </c>
      <c r="I143" s="59">
        <f t="shared" si="14"/>
        <v>1658215.8397029322</v>
      </c>
    </row>
    <row r="144" spans="1:9" x14ac:dyDescent="0.25">
      <c r="A144" s="51">
        <f>'A) Base RI'!A146</f>
        <v>5636</v>
      </c>
      <c r="B144" s="34" t="str">
        <f>'A) Base RI'!B146</f>
        <v>Etoy</v>
      </c>
      <c r="C144" s="101">
        <f>'A) Base RI'!AN146</f>
        <v>2908</v>
      </c>
      <c r="D144" s="117">
        <f>'D) Ecrêtage'!N144</f>
        <v>54.09333049586219</v>
      </c>
      <c r="E144" s="36">
        <f t="shared" si="11"/>
        <v>0</v>
      </c>
      <c r="F144" s="298">
        <f t="shared" si="12"/>
        <v>0</v>
      </c>
      <c r="G144" s="35">
        <f>+'A) Base RI'!AM146</f>
        <v>61</v>
      </c>
      <c r="H144" s="299">
        <f t="shared" si="13"/>
        <v>0.89705704572292</v>
      </c>
      <c r="I144" s="59">
        <f t="shared" si="14"/>
        <v>0</v>
      </c>
    </row>
    <row r="145" spans="1:9" x14ac:dyDescent="0.25">
      <c r="A145" s="51">
        <f>'A) Base RI'!A147</f>
        <v>5637</v>
      </c>
      <c r="B145" s="34" t="str">
        <f>'A) Base RI'!B147</f>
        <v>Lavigny</v>
      </c>
      <c r="C145" s="101">
        <f>'A) Base RI'!AN147</f>
        <v>1007</v>
      </c>
      <c r="D145" s="117">
        <f>'D) Ecrêtage'!N145</f>
        <v>36.007509491723482</v>
      </c>
      <c r="E145" s="36">
        <f t="shared" si="11"/>
        <v>8.7852833128998995</v>
      </c>
      <c r="F145" s="298">
        <f t="shared" si="12"/>
        <v>177952.98565585437</v>
      </c>
      <c r="G145" s="35">
        <f>+'A) Base RI'!AM147</f>
        <v>74.5</v>
      </c>
      <c r="H145" s="299">
        <f t="shared" si="13"/>
        <v>1.0955860640386481</v>
      </c>
      <c r="I145" s="59">
        <f t="shared" si="14"/>
        <v>194962.81113862348</v>
      </c>
    </row>
    <row r="146" spans="1:9" x14ac:dyDescent="0.25">
      <c r="A146" s="51">
        <f>'A) Base RI'!A148</f>
        <v>5638</v>
      </c>
      <c r="B146" s="34" t="str">
        <f>'A) Base RI'!B148</f>
        <v>Lonay</v>
      </c>
      <c r="C146" s="101">
        <f>'A) Base RI'!AN148</f>
        <v>2492</v>
      </c>
      <c r="D146" s="117">
        <f>'D) Ecrêtage'!N146</f>
        <v>60.321681132683807</v>
      </c>
      <c r="E146" s="36">
        <f t="shared" si="11"/>
        <v>0</v>
      </c>
      <c r="F146" s="298">
        <f t="shared" si="12"/>
        <v>0</v>
      </c>
      <c r="G146" s="35">
        <f>+'A) Base RI'!AM148</f>
        <v>55</v>
      </c>
      <c r="H146" s="299">
        <f t="shared" si="13"/>
        <v>0.80882192647148521</v>
      </c>
      <c r="I146" s="59">
        <f t="shared" si="14"/>
        <v>0</v>
      </c>
    </row>
    <row r="147" spans="1:9" x14ac:dyDescent="0.25">
      <c r="A147" s="51">
        <f>'A) Base RI'!A149</f>
        <v>5639</v>
      </c>
      <c r="B147" s="34" t="str">
        <f>'A) Base RI'!B149</f>
        <v>Lully</v>
      </c>
      <c r="C147" s="101">
        <f>'A) Base RI'!AN149</f>
        <v>795</v>
      </c>
      <c r="D147" s="117">
        <f>'D) Ecrêtage'!N147</f>
        <v>62.861718161551408</v>
      </c>
      <c r="E147" s="36">
        <f t="shared" si="11"/>
        <v>0</v>
      </c>
      <c r="F147" s="298">
        <f t="shared" si="12"/>
        <v>0</v>
      </c>
      <c r="G147" s="35">
        <f>+'A) Base RI'!AM149</f>
        <v>61</v>
      </c>
      <c r="H147" s="299">
        <f t="shared" si="13"/>
        <v>0.89705704572292</v>
      </c>
      <c r="I147" s="59">
        <f t="shared" si="14"/>
        <v>0</v>
      </c>
    </row>
    <row r="148" spans="1:9" x14ac:dyDescent="0.25">
      <c r="A148" s="51">
        <f>'A) Base RI'!A150</f>
        <v>5640</v>
      </c>
      <c r="B148" s="34" t="str">
        <f>'A) Base RI'!B150</f>
        <v>Lussy-sur-Morges</v>
      </c>
      <c r="C148" s="101">
        <f>'A) Base RI'!AN150</f>
        <v>667</v>
      </c>
      <c r="D148" s="117">
        <f>'D) Ecrêtage'!N148</f>
        <v>75.939590868597421</v>
      </c>
      <c r="E148" s="36">
        <f t="shared" si="11"/>
        <v>0</v>
      </c>
      <c r="F148" s="298">
        <f t="shared" si="12"/>
        <v>0</v>
      </c>
      <c r="G148" s="35">
        <f>+'A) Base RI'!AM150</f>
        <v>66</v>
      </c>
      <c r="H148" s="299">
        <f t="shared" si="13"/>
        <v>0.97058631176578225</v>
      </c>
      <c r="I148" s="59">
        <f t="shared" si="14"/>
        <v>0</v>
      </c>
    </row>
    <row r="149" spans="1:9" x14ac:dyDescent="0.25">
      <c r="A149" s="51">
        <f>'A) Base RI'!A151</f>
        <v>5642</v>
      </c>
      <c r="B149" s="34" t="str">
        <f>'A) Base RI'!B151</f>
        <v>Morges</v>
      </c>
      <c r="C149" s="101">
        <f>'A) Base RI'!AN151</f>
        <v>15839</v>
      </c>
      <c r="D149" s="117">
        <f>'D) Ecrêtage'!N149</f>
        <v>49.118537657440761</v>
      </c>
      <c r="E149" s="36">
        <f t="shared" si="11"/>
        <v>0</v>
      </c>
      <c r="F149" s="298">
        <f t="shared" si="12"/>
        <v>0</v>
      </c>
      <c r="G149" s="35">
        <f>+'A) Base RI'!AM151</f>
        <v>68.5</v>
      </c>
      <c r="H149" s="299">
        <f t="shared" si="13"/>
        <v>1.0073509447872133</v>
      </c>
      <c r="I149" s="59">
        <f t="shared" si="14"/>
        <v>0</v>
      </c>
    </row>
    <row r="150" spans="1:9" x14ac:dyDescent="0.25">
      <c r="A150" s="51">
        <f>'A) Base RI'!A152</f>
        <v>5643</v>
      </c>
      <c r="B150" s="34" t="str">
        <f>'A) Base RI'!B152</f>
        <v>Préverenges</v>
      </c>
      <c r="C150" s="101">
        <f>'A) Base RI'!AN152</f>
        <v>5291</v>
      </c>
      <c r="D150" s="117">
        <f>'D) Ecrêtage'!N150</f>
        <v>50.035172374078613</v>
      </c>
      <c r="E150" s="36">
        <f t="shared" si="11"/>
        <v>0</v>
      </c>
      <c r="F150" s="298">
        <f t="shared" si="12"/>
        <v>0</v>
      </c>
      <c r="G150" s="35">
        <f>+'A) Base RI'!AM152</f>
        <v>64</v>
      </c>
      <c r="H150" s="299">
        <f t="shared" si="13"/>
        <v>0.94117460534863739</v>
      </c>
      <c r="I150" s="59">
        <f t="shared" si="14"/>
        <v>0</v>
      </c>
    </row>
    <row r="151" spans="1:9" x14ac:dyDescent="0.25">
      <c r="A151" s="51">
        <f>'A) Base RI'!A153</f>
        <v>5644</v>
      </c>
      <c r="B151" s="34" t="str">
        <f>'A) Base RI'!B153</f>
        <v>Reverolle</v>
      </c>
      <c r="C151" s="101">
        <f>'A) Base RI'!AN153</f>
        <v>382</v>
      </c>
      <c r="D151" s="117">
        <f>'D) Ecrêtage'!N151</f>
        <v>39.626812138330116</v>
      </c>
      <c r="E151" s="36">
        <f t="shared" si="11"/>
        <v>5.1659806662932652</v>
      </c>
      <c r="F151" s="298">
        <f t="shared" si="12"/>
        <v>40494.262690033043</v>
      </c>
      <c r="G151" s="35">
        <f>+'A) Base RI'!AM153</f>
        <v>76</v>
      </c>
      <c r="H151" s="299">
        <f t="shared" si="13"/>
        <v>1.1176448438515068</v>
      </c>
      <c r="I151" s="59">
        <f t="shared" si="14"/>
        <v>45258.203901083878</v>
      </c>
    </row>
    <row r="152" spans="1:9" x14ac:dyDescent="0.25">
      <c r="A152" s="51">
        <f>'A) Base RI'!A154</f>
        <v>5645</v>
      </c>
      <c r="B152" s="34" t="str">
        <f>'A) Base RI'!B154</f>
        <v>Romanel-sur-Morges</v>
      </c>
      <c r="C152" s="101">
        <f>'A) Base RI'!AN154</f>
        <v>470</v>
      </c>
      <c r="D152" s="117">
        <f>'D) Ecrêtage'!N152</f>
        <v>56.894604570014998</v>
      </c>
      <c r="E152" s="36">
        <f t="shared" si="11"/>
        <v>0</v>
      </c>
      <c r="F152" s="298">
        <f t="shared" si="12"/>
        <v>0</v>
      </c>
      <c r="G152" s="35">
        <f>+'A) Base RI'!AM154</f>
        <v>56</v>
      </c>
      <c r="H152" s="299">
        <f t="shared" si="13"/>
        <v>0.82352777968005764</v>
      </c>
      <c r="I152" s="59">
        <f t="shared" si="14"/>
        <v>0</v>
      </c>
    </row>
    <row r="153" spans="1:9" x14ac:dyDescent="0.25">
      <c r="A153" s="51">
        <f>'A) Base RI'!A155</f>
        <v>5646</v>
      </c>
      <c r="B153" s="34" t="str">
        <f>'A) Base RI'!B155</f>
        <v>Saint-Prex</v>
      </c>
      <c r="C153" s="101">
        <f>'A) Base RI'!AN155</f>
        <v>5695</v>
      </c>
      <c r="D153" s="117">
        <f>'D) Ecrêtage'!N153</f>
        <v>64.935599378092732</v>
      </c>
      <c r="E153" s="36">
        <f t="shared" si="11"/>
        <v>0</v>
      </c>
      <c r="F153" s="298">
        <f t="shared" si="12"/>
        <v>0</v>
      </c>
      <c r="G153" s="35">
        <f>+'A) Base RI'!AM155</f>
        <v>55</v>
      </c>
      <c r="H153" s="299">
        <f t="shared" si="13"/>
        <v>0.80882192647148521</v>
      </c>
      <c r="I153" s="59">
        <f t="shared" si="14"/>
        <v>0</v>
      </c>
    </row>
    <row r="154" spans="1:9" x14ac:dyDescent="0.25">
      <c r="A154" s="51">
        <f>'A) Base RI'!A156</f>
        <v>5648</v>
      </c>
      <c r="B154" s="34" t="str">
        <f>'A) Base RI'!B156</f>
        <v>Saint-Sulpice</v>
      </c>
      <c r="C154" s="101">
        <f>'A) Base RI'!AN156</f>
        <v>4524</v>
      </c>
      <c r="D154" s="117">
        <f>'D) Ecrêtage'!N154</f>
        <v>73.873818447365736</v>
      </c>
      <c r="E154" s="36">
        <f t="shared" si="11"/>
        <v>0</v>
      </c>
      <c r="F154" s="298">
        <f t="shared" si="12"/>
        <v>0</v>
      </c>
      <c r="G154" s="35">
        <f>+'A) Base RI'!AM156</f>
        <v>55</v>
      </c>
      <c r="H154" s="299">
        <f t="shared" si="13"/>
        <v>0.80882192647148521</v>
      </c>
      <c r="I154" s="59">
        <f t="shared" si="14"/>
        <v>0</v>
      </c>
    </row>
    <row r="155" spans="1:9" x14ac:dyDescent="0.25">
      <c r="A155" s="51">
        <f>'A) Base RI'!A157</f>
        <v>5649</v>
      </c>
      <c r="B155" s="34" t="str">
        <f>'A) Base RI'!B157</f>
        <v>Tolochenaz</v>
      </c>
      <c r="C155" s="101">
        <f>'A) Base RI'!AN157</f>
        <v>1883</v>
      </c>
      <c r="D155" s="117">
        <f>'D) Ecrêtage'!N155</f>
        <v>104.00899550135371</v>
      </c>
      <c r="E155" s="36">
        <f t="shared" si="11"/>
        <v>0</v>
      </c>
      <c r="F155" s="298">
        <f t="shared" si="12"/>
        <v>0</v>
      </c>
      <c r="G155" s="35">
        <f>+'A) Base RI'!AM157</f>
        <v>65</v>
      </c>
      <c r="H155" s="299">
        <f t="shared" si="13"/>
        <v>0.95588045855720982</v>
      </c>
      <c r="I155" s="59">
        <f t="shared" si="14"/>
        <v>0</v>
      </c>
    </row>
    <row r="156" spans="1:9" x14ac:dyDescent="0.25">
      <c r="A156" s="51">
        <f>'A) Base RI'!A158</f>
        <v>5650</v>
      </c>
      <c r="B156" s="34" t="str">
        <f>'A) Base RI'!B158</f>
        <v>Vaux-sur-Morges</v>
      </c>
      <c r="C156" s="101">
        <f>'A) Base RI'!AN158</f>
        <v>199</v>
      </c>
      <c r="D156" s="117">
        <f>'D) Ecrêtage'!N156</f>
        <v>519.72187774334338</v>
      </c>
      <c r="E156" s="36">
        <f t="shared" si="11"/>
        <v>0</v>
      </c>
      <c r="F156" s="298">
        <f t="shared" si="12"/>
        <v>0</v>
      </c>
      <c r="G156" s="35">
        <f>+'A) Base RI'!AM158</f>
        <v>56</v>
      </c>
      <c r="H156" s="299">
        <f t="shared" si="13"/>
        <v>0.82352777968005764</v>
      </c>
      <c r="I156" s="59">
        <f t="shared" si="14"/>
        <v>0</v>
      </c>
    </row>
    <row r="157" spans="1:9" x14ac:dyDescent="0.25">
      <c r="A157" s="51">
        <f>'A) Base RI'!A159</f>
        <v>5651</v>
      </c>
      <c r="B157" s="34" t="str">
        <f>'A) Base RI'!B159</f>
        <v>Villars-Sainte-Croix</v>
      </c>
      <c r="C157" s="101">
        <f>'A) Base RI'!AN159</f>
        <v>935</v>
      </c>
      <c r="D157" s="117">
        <f>'D) Ecrêtage'!N157</f>
        <v>56.548039274221978</v>
      </c>
      <c r="E157" s="36">
        <f t="shared" si="11"/>
        <v>0</v>
      </c>
      <c r="F157" s="298">
        <f t="shared" si="12"/>
        <v>0</v>
      </c>
      <c r="G157" s="35">
        <f>+'A) Base RI'!AM159</f>
        <v>59</v>
      </c>
      <c r="H157" s="299">
        <f t="shared" si="13"/>
        <v>0.86764533930577503</v>
      </c>
      <c r="I157" s="59">
        <f t="shared" si="14"/>
        <v>0</v>
      </c>
    </row>
    <row r="158" spans="1:9" x14ac:dyDescent="0.25">
      <c r="A158" s="51">
        <f>'A) Base RI'!A160</f>
        <v>5652</v>
      </c>
      <c r="B158" s="34" t="str">
        <f>'A) Base RI'!B160</f>
        <v>Villars-sous-Yens</v>
      </c>
      <c r="C158" s="101">
        <f>'A) Base RI'!AN160</f>
        <v>614</v>
      </c>
      <c r="D158" s="117">
        <f>'D) Ecrêtage'!N158</f>
        <v>42.169926888679349</v>
      </c>
      <c r="E158" s="36">
        <f t="shared" si="11"/>
        <v>2.6228659159440326</v>
      </c>
      <c r="F158" s="298">
        <f t="shared" si="12"/>
        <v>33046.222077435334</v>
      </c>
      <c r="G158" s="35">
        <f>+'A) Base RI'!AM160</f>
        <v>76</v>
      </c>
      <c r="H158" s="299">
        <f t="shared" si="13"/>
        <v>1.1176448438515068</v>
      </c>
      <c r="I158" s="59">
        <f t="shared" si="14"/>
        <v>36933.93971361743</v>
      </c>
    </row>
    <row r="159" spans="1:9" x14ac:dyDescent="0.25">
      <c r="A159" s="51">
        <f>'A) Base RI'!A161</f>
        <v>5653</v>
      </c>
      <c r="B159" s="34" t="str">
        <f>'A) Base RI'!B161</f>
        <v>Vufflens-le-Château</v>
      </c>
      <c r="C159" s="101">
        <f>'A) Base RI'!AN161</f>
        <v>884</v>
      </c>
      <c r="D159" s="117">
        <f>'D) Ecrêtage'!N159</f>
        <v>63.369329719376026</v>
      </c>
      <c r="E159" s="36">
        <f t="shared" si="11"/>
        <v>0</v>
      </c>
      <c r="F159" s="298">
        <f t="shared" si="12"/>
        <v>0</v>
      </c>
      <c r="G159" s="35">
        <f>+'A) Base RI'!AM161</f>
        <v>55</v>
      </c>
      <c r="H159" s="299">
        <f t="shared" si="13"/>
        <v>0.80882192647148521</v>
      </c>
      <c r="I159" s="59">
        <f t="shared" si="14"/>
        <v>0</v>
      </c>
    </row>
    <row r="160" spans="1:9" x14ac:dyDescent="0.25">
      <c r="A160" s="51">
        <f>'A) Base RI'!A162</f>
        <v>5654</v>
      </c>
      <c r="B160" s="34" t="str">
        <f>'A) Base RI'!B162</f>
        <v>Vullierens</v>
      </c>
      <c r="C160" s="101">
        <f>'A) Base RI'!AN162</f>
        <v>499</v>
      </c>
      <c r="D160" s="117">
        <f>'D) Ecrêtage'!N160</f>
        <v>37.458451640122348</v>
      </c>
      <c r="E160" s="36">
        <f t="shared" si="11"/>
        <v>7.3343411645010335</v>
      </c>
      <c r="F160" s="298">
        <f t="shared" si="12"/>
        <v>75099.839667085049</v>
      </c>
      <c r="G160" s="35">
        <f>+'A) Base RI'!AM162</f>
        <v>76</v>
      </c>
      <c r="H160" s="299">
        <f t="shared" si="13"/>
        <v>1.1176448438515068</v>
      </c>
      <c r="I160" s="59">
        <f t="shared" si="14"/>
        <v>83934.948577992458</v>
      </c>
    </row>
    <row r="161" spans="1:9" x14ac:dyDescent="0.25">
      <c r="A161" s="51">
        <f>'A) Base RI'!A163</f>
        <v>5655</v>
      </c>
      <c r="B161" s="34" t="str">
        <f>'A) Base RI'!B163</f>
        <v>Yens</v>
      </c>
      <c r="C161" s="101">
        <f>'A) Base RI'!AN163</f>
        <v>1395</v>
      </c>
      <c r="D161" s="117">
        <f>'D) Ecrêtage'!N161</f>
        <v>51.844152207001521</v>
      </c>
      <c r="E161" s="36">
        <f t="shared" si="11"/>
        <v>0</v>
      </c>
      <c r="F161" s="298">
        <f t="shared" si="12"/>
        <v>0</v>
      </c>
      <c r="G161" s="35">
        <f>+'A) Base RI'!AM163</f>
        <v>73</v>
      </c>
      <c r="H161" s="299">
        <f t="shared" si="13"/>
        <v>1.0735272842257895</v>
      </c>
      <c r="I161" s="59">
        <f t="shared" si="14"/>
        <v>0</v>
      </c>
    </row>
    <row r="162" spans="1:9" x14ac:dyDescent="0.25">
      <c r="A162" s="51">
        <f>'A) Base RI'!A164</f>
        <v>5661</v>
      </c>
      <c r="B162" s="34" t="str">
        <f>'A) Base RI'!B164</f>
        <v>Boulens</v>
      </c>
      <c r="C162" s="101">
        <f>'A) Base RI'!AN164</f>
        <v>377</v>
      </c>
      <c r="D162" s="117">
        <f>'D) Ecrêtage'!N162</f>
        <v>24.029968774132893</v>
      </c>
      <c r="E162" s="36">
        <f t="shared" si="11"/>
        <v>20.762824030490489</v>
      </c>
      <c r="F162" s="298">
        <f t="shared" si="12"/>
        <v>166962.38078702654</v>
      </c>
      <c r="G162" s="35">
        <f>+'A) Base RI'!AM164</f>
        <v>79</v>
      </c>
      <c r="H162" s="299">
        <f t="shared" si="13"/>
        <v>1.1617624034772243</v>
      </c>
      <c r="I162" s="59">
        <f t="shared" si="14"/>
        <v>193970.61679341548</v>
      </c>
    </row>
    <row r="163" spans="1:9" x14ac:dyDescent="0.25">
      <c r="A163" s="51">
        <f>'A) Base RI'!A165</f>
        <v>5663</v>
      </c>
      <c r="B163" s="34" t="str">
        <f>'A) Base RI'!B165</f>
        <v>Bussy-sur-Moudon</v>
      </c>
      <c r="C163" s="101">
        <f>'A) Base RI'!AN165</f>
        <v>209</v>
      </c>
      <c r="D163" s="117">
        <f>'D) Ecrêtage'!N163</f>
        <v>27.175318779904302</v>
      </c>
      <c r="E163" s="36">
        <f t="shared" si="11"/>
        <v>17.61747402471908</v>
      </c>
      <c r="F163" s="298">
        <f t="shared" si="12"/>
        <v>79532.324737191811</v>
      </c>
      <c r="G163" s="35">
        <f>+'A) Base RI'!AM165</f>
        <v>80</v>
      </c>
      <c r="H163" s="299">
        <f t="shared" si="13"/>
        <v>1.1764682566857967</v>
      </c>
      <c r="I163" s="59">
        <f t="shared" si="14"/>
        <v>93567.255433732716</v>
      </c>
    </row>
    <row r="164" spans="1:9" x14ac:dyDescent="0.25">
      <c r="A164" s="51">
        <f>'A) Base RI'!A166</f>
        <v>5665</v>
      </c>
      <c r="B164" s="34" t="str">
        <f>'A) Base RI'!B166</f>
        <v>Chavannes-sur-Moudon</v>
      </c>
      <c r="C164" s="101">
        <f>'A) Base RI'!AN166</f>
        <v>220</v>
      </c>
      <c r="D164" s="117">
        <f>'D) Ecrêtage'!N164</f>
        <v>22.917714819427147</v>
      </c>
      <c r="E164" s="36">
        <f t="shared" si="11"/>
        <v>21.875077985196235</v>
      </c>
      <c r="F164" s="298">
        <f t="shared" si="12"/>
        <v>94854.713159407926</v>
      </c>
      <c r="G164" s="35">
        <f>+'A) Base RI'!AM166</f>
        <v>73</v>
      </c>
      <c r="H164" s="299">
        <f t="shared" si="13"/>
        <v>1.0735272842257895</v>
      </c>
      <c r="I164" s="59">
        <f t="shared" si="14"/>
        <v>101829.12261403544</v>
      </c>
    </row>
    <row r="165" spans="1:9" x14ac:dyDescent="0.25">
      <c r="A165" s="51">
        <f>'A) Base RI'!A167</f>
        <v>5669</v>
      </c>
      <c r="B165" s="34" t="str">
        <f>'A) Base RI'!B167</f>
        <v>Curtilles</v>
      </c>
      <c r="C165" s="101">
        <f>'A) Base RI'!AN167</f>
        <v>318</v>
      </c>
      <c r="D165" s="117">
        <f>'D) Ecrêtage'!N165</f>
        <v>28.309948846960165</v>
      </c>
      <c r="E165" s="36">
        <f t="shared" si="11"/>
        <v>16.482843957663217</v>
      </c>
      <c r="F165" s="298">
        <f t="shared" si="12"/>
        <v>106141.2736653723</v>
      </c>
      <c r="G165" s="35">
        <f>+'A) Base RI'!AM167</f>
        <v>75</v>
      </c>
      <c r="H165" s="299">
        <f t="shared" si="13"/>
        <v>1.1029389906429343</v>
      </c>
      <c r="I165" s="59">
        <f t="shared" si="14"/>
        <v>117067.34924204119</v>
      </c>
    </row>
    <row r="166" spans="1:9" x14ac:dyDescent="0.25">
      <c r="A166" s="51">
        <f>'A) Base RI'!A168</f>
        <v>5671</v>
      </c>
      <c r="B166" s="34" t="str">
        <f>'A) Base RI'!B168</f>
        <v>Dompierre</v>
      </c>
      <c r="C166" s="101">
        <f>'A) Base RI'!AN168</f>
        <v>259</v>
      </c>
      <c r="D166" s="117">
        <f>'D) Ecrêtage'!N166</f>
        <v>24.614924227799232</v>
      </c>
      <c r="E166" s="36">
        <f t="shared" si="11"/>
        <v>20.177868576824149</v>
      </c>
      <c r="F166" s="298">
        <f t="shared" si="12"/>
        <v>112883.06796618502</v>
      </c>
      <c r="G166" s="35">
        <f>+'A) Base RI'!AM168</f>
        <v>80</v>
      </c>
      <c r="H166" s="299">
        <f t="shared" si="13"/>
        <v>1.1764682566857967</v>
      </c>
      <c r="I166" s="59">
        <f t="shared" si="14"/>
        <v>132803.34617952199</v>
      </c>
    </row>
    <row r="167" spans="1:9" x14ac:dyDescent="0.25">
      <c r="A167" s="51">
        <f>'A) Base RI'!A169</f>
        <v>5673</v>
      </c>
      <c r="B167" s="34" t="str">
        <f>'A) Base RI'!B169</f>
        <v>Hermenches</v>
      </c>
      <c r="C167" s="101">
        <f>'A) Base RI'!AN169</f>
        <v>379</v>
      </c>
      <c r="D167" s="117">
        <f>'D) Ecrêtage'!N167</f>
        <v>23.456998534154209</v>
      </c>
      <c r="E167" s="36">
        <f t="shared" si="11"/>
        <v>21.335794270469172</v>
      </c>
      <c r="F167" s="298">
        <f t="shared" si="12"/>
        <v>163746.88707728329</v>
      </c>
      <c r="G167" s="35">
        <f>+'A) Base RI'!AM169</f>
        <v>75</v>
      </c>
      <c r="H167" s="299">
        <f t="shared" si="13"/>
        <v>1.1029389906429343</v>
      </c>
      <c r="I167" s="59">
        <f t="shared" si="14"/>
        <v>180602.82635394137</v>
      </c>
    </row>
    <row r="168" spans="1:9" x14ac:dyDescent="0.25">
      <c r="A168" s="51">
        <f>'A) Base RI'!A170</f>
        <v>5674</v>
      </c>
      <c r="B168" s="34" t="str">
        <f>'A) Base RI'!B170</f>
        <v>Lovatens</v>
      </c>
      <c r="C168" s="101">
        <f>'A) Base RI'!AN170</f>
        <v>141</v>
      </c>
      <c r="D168" s="117">
        <f>'D) Ecrêtage'!N168</f>
        <v>25.713695508274231</v>
      </c>
      <c r="E168" s="36">
        <f t="shared" si="11"/>
        <v>19.079097296349151</v>
      </c>
      <c r="F168" s="298">
        <f t="shared" si="12"/>
        <v>54475.592555400915</v>
      </c>
      <c r="G168" s="35">
        <f>+'A) Base RI'!AM170</f>
        <v>75</v>
      </c>
      <c r="H168" s="299">
        <f t="shared" si="13"/>
        <v>1.1029389906429343</v>
      </c>
      <c r="I168" s="59">
        <f t="shared" si="14"/>
        <v>60083.255067729631</v>
      </c>
    </row>
    <row r="169" spans="1:9" x14ac:dyDescent="0.25">
      <c r="A169" s="51">
        <f>'A) Base RI'!A171</f>
        <v>5675</v>
      </c>
      <c r="B169" s="34" t="str">
        <f>'A) Base RI'!B171</f>
        <v>Lucens</v>
      </c>
      <c r="C169" s="101">
        <f>'A) Base RI'!AN171</f>
        <v>4157</v>
      </c>
      <c r="D169" s="117">
        <f>'D) Ecrêtage'!N169</f>
        <v>20.769813991601005</v>
      </c>
      <c r="E169" s="36">
        <f t="shared" si="11"/>
        <v>24.022978813022377</v>
      </c>
      <c r="F169" s="298">
        <f t="shared" si="12"/>
        <v>1779567.9785365805</v>
      </c>
      <c r="G169" s="35">
        <f>+'A) Base RI'!AM171</f>
        <v>66</v>
      </c>
      <c r="H169" s="299">
        <f t="shared" si="13"/>
        <v>0.97058631176578225</v>
      </c>
      <c r="I169" s="59">
        <f t="shared" si="14"/>
        <v>1727224.3208243083</v>
      </c>
    </row>
    <row r="170" spans="1:9" x14ac:dyDescent="0.25">
      <c r="A170" s="51">
        <f>'A) Base RI'!A172</f>
        <v>5678</v>
      </c>
      <c r="B170" s="34" t="str">
        <f>'A) Base RI'!B172</f>
        <v>Moudon</v>
      </c>
      <c r="C170" s="101">
        <f>'A) Base RI'!AN172</f>
        <v>6185</v>
      </c>
      <c r="D170" s="117">
        <f>'D) Ecrêtage'!N170</f>
        <v>19.383514028563731</v>
      </c>
      <c r="E170" s="36">
        <f t="shared" si="11"/>
        <v>25.409278776059651</v>
      </c>
      <c r="F170" s="298">
        <f t="shared" si="12"/>
        <v>3182416.881906061</v>
      </c>
      <c r="G170" s="35">
        <f>+'A) Base RI'!AM172</f>
        <v>75</v>
      </c>
      <c r="H170" s="299">
        <f t="shared" si="13"/>
        <v>1.1029389906429343</v>
      </c>
      <c r="I170" s="59">
        <f t="shared" si="14"/>
        <v>3510011.6635345053</v>
      </c>
    </row>
    <row r="171" spans="1:9" x14ac:dyDescent="0.25">
      <c r="A171" s="51">
        <f>'A) Base RI'!A173</f>
        <v>5680</v>
      </c>
      <c r="B171" s="34" t="str">
        <f>'A) Base RI'!B173</f>
        <v>Ogens</v>
      </c>
      <c r="C171" s="101">
        <f>'A) Base RI'!AN173</f>
        <v>304</v>
      </c>
      <c r="D171" s="117">
        <f>'D) Ecrêtage'!N171</f>
        <v>24.476160734367969</v>
      </c>
      <c r="E171" s="36">
        <f t="shared" si="11"/>
        <v>20.316632070255412</v>
      </c>
      <c r="F171" s="298">
        <f t="shared" si="12"/>
        <v>130071.95450547202</v>
      </c>
      <c r="G171" s="35">
        <f>+'A) Base RI'!AM173</f>
        <v>78</v>
      </c>
      <c r="H171" s="299">
        <f t="shared" si="13"/>
        <v>1.1470565502686518</v>
      </c>
      <c r="I171" s="59">
        <f t="shared" si="14"/>
        <v>149199.88742174776</v>
      </c>
    </row>
    <row r="172" spans="1:9" x14ac:dyDescent="0.25">
      <c r="A172" s="51">
        <f>'A) Base RI'!A174</f>
        <v>5683</v>
      </c>
      <c r="B172" s="34" t="str">
        <f>'A) Base RI'!B174</f>
        <v>Prévonloup</v>
      </c>
      <c r="C172" s="101">
        <f>'A) Base RI'!AN174</f>
        <v>160</v>
      </c>
      <c r="D172" s="117">
        <f>'D) Ecrêtage'!N172</f>
        <v>24.350288006756756</v>
      </c>
      <c r="E172" s="36">
        <f t="shared" si="11"/>
        <v>20.442504797866626</v>
      </c>
      <c r="F172" s="298">
        <f t="shared" si="12"/>
        <v>65350.599337820036</v>
      </c>
      <c r="G172" s="35">
        <f>+'A) Base RI'!AM174</f>
        <v>74</v>
      </c>
      <c r="H172" s="299">
        <f t="shared" si="13"/>
        <v>1.0882331374343619</v>
      </c>
      <c r="I172" s="59">
        <f t="shared" si="14"/>
        <v>71116.687750611833</v>
      </c>
    </row>
    <row r="173" spans="1:9" x14ac:dyDescent="0.25">
      <c r="A173" s="51">
        <f>'A) Base RI'!A175</f>
        <v>5684</v>
      </c>
      <c r="B173" s="34" t="str">
        <f>'A) Base RI'!B175</f>
        <v>Rossenges</v>
      </c>
      <c r="C173" s="101">
        <f>'A) Base RI'!AN175</f>
        <v>63</v>
      </c>
      <c r="D173" s="117">
        <f>'D) Ecrêtage'!N173</f>
        <v>46.602417989417987</v>
      </c>
      <c r="E173" s="36">
        <f t="shared" si="11"/>
        <v>0</v>
      </c>
      <c r="F173" s="298">
        <f t="shared" si="12"/>
        <v>0</v>
      </c>
      <c r="G173" s="35">
        <f>+'A) Base RI'!AM175</f>
        <v>60</v>
      </c>
      <c r="H173" s="299">
        <f t="shared" si="13"/>
        <v>0.88235119251434746</v>
      </c>
      <c r="I173" s="59">
        <f t="shared" si="14"/>
        <v>0</v>
      </c>
    </row>
    <row r="174" spans="1:9" x14ac:dyDescent="0.25">
      <c r="A174" s="51">
        <f>'A) Base RI'!A176</f>
        <v>5688</v>
      </c>
      <c r="B174" s="34" t="str">
        <f>'A) Base RI'!B176</f>
        <v>Syens</v>
      </c>
      <c r="C174" s="101">
        <f>'A) Base RI'!AN176</f>
        <v>150</v>
      </c>
      <c r="D174" s="117">
        <f>'D) Ecrêtage'!N174</f>
        <v>41.923611992945332</v>
      </c>
      <c r="E174" s="36">
        <f t="shared" si="11"/>
        <v>2.8691808116780493</v>
      </c>
      <c r="F174" s="298">
        <f t="shared" si="12"/>
        <v>8784.8578091958516</v>
      </c>
      <c r="G174" s="35">
        <f>+'A) Base RI'!AM176</f>
        <v>75.599999999999994</v>
      </c>
      <c r="H174" s="299">
        <f t="shared" si="13"/>
        <v>1.1117625025680777</v>
      </c>
      <c r="I174" s="59">
        <f t="shared" si="14"/>
        <v>9766.6755026563005</v>
      </c>
    </row>
    <row r="175" spans="1:9" x14ac:dyDescent="0.25">
      <c r="A175" s="51">
        <f>'A) Base RI'!A177</f>
        <v>5690</v>
      </c>
      <c r="B175" s="34" t="str">
        <f>'A) Base RI'!B177</f>
        <v>Villars-le-Comte</v>
      </c>
      <c r="C175" s="101">
        <f>'A) Base RI'!AN177</f>
        <v>142</v>
      </c>
      <c r="D175" s="117">
        <f>'D) Ecrêtage'!N175</f>
        <v>25.229458920187795</v>
      </c>
      <c r="E175" s="36">
        <f t="shared" si="11"/>
        <v>19.563333884435586</v>
      </c>
      <c r="F175" s="298">
        <f t="shared" si="12"/>
        <v>52504.075479048232</v>
      </c>
      <c r="G175" s="35">
        <f>+'A) Base RI'!AM177</f>
        <v>70</v>
      </c>
      <c r="H175" s="299">
        <f t="shared" si="13"/>
        <v>1.0294097246000722</v>
      </c>
      <c r="I175" s="59">
        <f t="shared" si="14"/>
        <v>54048.20587926844</v>
      </c>
    </row>
    <row r="176" spans="1:9" x14ac:dyDescent="0.25">
      <c r="A176" s="51">
        <f>'A) Base RI'!A178</f>
        <v>5692</v>
      </c>
      <c r="B176" s="34" t="str">
        <f>'A) Base RI'!B178</f>
        <v>Vucherens</v>
      </c>
      <c r="C176" s="101">
        <f>'A) Base RI'!AN178</f>
        <v>583</v>
      </c>
      <c r="D176" s="117">
        <f>'D) Ecrêtage'!N176</f>
        <v>29.739842586360375</v>
      </c>
      <c r="E176" s="36">
        <f t="shared" si="11"/>
        <v>15.052950218263007</v>
      </c>
      <c r="F176" s="298">
        <f t="shared" si="12"/>
        <v>187189.30661468566</v>
      </c>
      <c r="G176" s="35">
        <f>+'A) Base RI'!AM178</f>
        <v>79</v>
      </c>
      <c r="H176" s="299">
        <f t="shared" si="13"/>
        <v>1.1617624034772243</v>
      </c>
      <c r="I176" s="59">
        <f t="shared" si="14"/>
        <v>217469.49875791228</v>
      </c>
    </row>
    <row r="177" spans="1:9" x14ac:dyDescent="0.25">
      <c r="A177" s="51">
        <f>'A) Base RI'!A179</f>
        <v>5693</v>
      </c>
      <c r="B177" s="34" t="str">
        <f>'A) Base RI'!B179</f>
        <v>Montanaire</v>
      </c>
      <c r="C177" s="101">
        <f>'A) Base RI'!AN179</f>
        <v>2606</v>
      </c>
      <c r="D177" s="117">
        <f>'D) Ecrêtage'!N177</f>
        <v>27.254003954549333</v>
      </c>
      <c r="E177" s="36">
        <f t="shared" si="11"/>
        <v>17.538788850074049</v>
      </c>
      <c r="F177" s="298">
        <f t="shared" si="12"/>
        <v>888526.26796961541</v>
      </c>
      <c r="G177" s="35">
        <f>+'A) Base RI'!AM179</f>
        <v>72</v>
      </c>
      <c r="H177" s="299">
        <f t="shared" si="13"/>
        <v>1.058821431017217</v>
      </c>
      <c r="I177" s="59">
        <f t="shared" si="14"/>
        <v>940790.6545479754</v>
      </c>
    </row>
    <row r="178" spans="1:9" x14ac:dyDescent="0.25">
      <c r="A178" s="51">
        <f>'A) Base RI'!A180</f>
        <v>5701</v>
      </c>
      <c r="B178" s="34" t="str">
        <f>'A) Base RI'!B180</f>
        <v>Arnex-sur-Nyon</v>
      </c>
      <c r="C178" s="101">
        <f>'A) Base RI'!AN180</f>
        <v>224</v>
      </c>
      <c r="D178" s="117">
        <f>'D) Ecrêtage'!N178</f>
        <v>62.776519222506316</v>
      </c>
      <c r="E178" s="36">
        <f t="shared" si="11"/>
        <v>0</v>
      </c>
      <c r="F178" s="298">
        <f t="shared" si="12"/>
        <v>0</v>
      </c>
      <c r="G178" s="35">
        <f>+'A) Base RI'!AM180</f>
        <v>70</v>
      </c>
      <c r="H178" s="299">
        <f t="shared" si="13"/>
        <v>1.0294097246000722</v>
      </c>
      <c r="I178" s="59">
        <f t="shared" si="14"/>
        <v>0</v>
      </c>
    </row>
    <row r="179" spans="1:9" x14ac:dyDescent="0.25">
      <c r="A179" s="51">
        <f>'A) Base RI'!A181</f>
        <v>5702</v>
      </c>
      <c r="B179" s="34" t="str">
        <f>'A) Base RI'!B181</f>
        <v>Arzier-Le Muids</v>
      </c>
      <c r="C179" s="101">
        <f>'A) Base RI'!AN181</f>
        <v>2653</v>
      </c>
      <c r="D179" s="117">
        <f>'D) Ecrêtage'!N179</f>
        <v>58.109202251055535</v>
      </c>
      <c r="E179" s="36">
        <f t="shared" si="11"/>
        <v>0</v>
      </c>
      <c r="F179" s="298">
        <f t="shared" si="12"/>
        <v>0</v>
      </c>
      <c r="G179" s="35">
        <f>+'A) Base RI'!AM181</f>
        <v>64</v>
      </c>
      <c r="H179" s="299">
        <f t="shared" si="13"/>
        <v>0.94117460534863739</v>
      </c>
      <c r="I179" s="59">
        <f t="shared" si="14"/>
        <v>0</v>
      </c>
    </row>
    <row r="180" spans="1:9" x14ac:dyDescent="0.25">
      <c r="A180" s="51">
        <f>'A) Base RI'!A182</f>
        <v>5703</v>
      </c>
      <c r="B180" s="34" t="str">
        <f>'A) Base RI'!B182</f>
        <v>Bassins</v>
      </c>
      <c r="C180" s="101">
        <f>'A) Base RI'!AN182</f>
        <v>1356</v>
      </c>
      <c r="D180" s="117">
        <f>'D) Ecrêtage'!N180</f>
        <v>41.760923907472581</v>
      </c>
      <c r="E180" s="36">
        <f t="shared" si="11"/>
        <v>3.031868897150801</v>
      </c>
      <c r="F180" s="298">
        <f t="shared" si="12"/>
        <v>82142.060206238981</v>
      </c>
      <c r="G180" s="35">
        <f>+'A) Base RI'!AM182</f>
        <v>74</v>
      </c>
      <c r="H180" s="299">
        <f t="shared" si="13"/>
        <v>1.0882331374343619</v>
      </c>
      <c r="I180" s="59">
        <f t="shared" si="14"/>
        <v>89389.711893557687</v>
      </c>
    </row>
    <row r="181" spans="1:9" x14ac:dyDescent="0.25">
      <c r="A181" s="51">
        <f>'A) Base RI'!A183</f>
        <v>5704</v>
      </c>
      <c r="B181" s="34" t="str">
        <f>'A) Base RI'!B183</f>
        <v>Begnins</v>
      </c>
      <c r="C181" s="101">
        <f>'A) Base RI'!AN183</f>
        <v>1910</v>
      </c>
      <c r="D181" s="117">
        <f>'D) Ecrêtage'!N181</f>
        <v>64.443151754824754</v>
      </c>
      <c r="E181" s="36">
        <f t="shared" si="11"/>
        <v>0</v>
      </c>
      <c r="F181" s="298">
        <f t="shared" si="12"/>
        <v>0</v>
      </c>
      <c r="G181" s="35">
        <f>+'A) Base RI'!AM183</f>
        <v>67</v>
      </c>
      <c r="H181" s="299">
        <f t="shared" si="13"/>
        <v>0.98529216497435468</v>
      </c>
      <c r="I181" s="59">
        <f t="shared" si="14"/>
        <v>0</v>
      </c>
    </row>
    <row r="182" spans="1:9" x14ac:dyDescent="0.25">
      <c r="A182" s="51">
        <f>'A) Base RI'!A184</f>
        <v>5705</v>
      </c>
      <c r="B182" s="34" t="str">
        <f>'A) Base RI'!B184</f>
        <v>Bogis-Bossey</v>
      </c>
      <c r="C182" s="101">
        <f>'A) Base RI'!AN184</f>
        <v>893</v>
      </c>
      <c r="D182" s="117">
        <f>'D) Ecrêtage'!N182</f>
        <v>60.234643008594823</v>
      </c>
      <c r="E182" s="36">
        <f t="shared" si="11"/>
        <v>0</v>
      </c>
      <c r="F182" s="298">
        <f t="shared" si="12"/>
        <v>0</v>
      </c>
      <c r="G182" s="35">
        <f>+'A) Base RI'!AM184</f>
        <v>70</v>
      </c>
      <c r="H182" s="299">
        <f t="shared" si="13"/>
        <v>1.0294097246000722</v>
      </c>
      <c r="I182" s="59">
        <f t="shared" si="14"/>
        <v>0</v>
      </c>
    </row>
    <row r="183" spans="1:9" x14ac:dyDescent="0.25">
      <c r="A183" s="51">
        <f>'A) Base RI'!A185</f>
        <v>5706</v>
      </c>
      <c r="B183" s="34" t="str">
        <f>'A) Base RI'!B185</f>
        <v>Borex</v>
      </c>
      <c r="C183" s="101">
        <f>'A) Base RI'!AN185</f>
        <v>1126</v>
      </c>
      <c r="D183" s="117">
        <f>'D) Ecrêtage'!N183</f>
        <v>61.867343946708353</v>
      </c>
      <c r="E183" s="36">
        <f t="shared" si="11"/>
        <v>0</v>
      </c>
      <c r="F183" s="298">
        <f t="shared" si="12"/>
        <v>0</v>
      </c>
      <c r="G183" s="35">
        <f>+'A) Base RI'!AM185</f>
        <v>58</v>
      </c>
      <c r="H183" s="299">
        <f t="shared" si="13"/>
        <v>0.8529394860972026</v>
      </c>
      <c r="I183" s="59">
        <f t="shared" si="14"/>
        <v>0</v>
      </c>
    </row>
    <row r="184" spans="1:9" x14ac:dyDescent="0.25">
      <c r="A184" s="51">
        <f>'A) Base RI'!A186</f>
        <v>5707</v>
      </c>
      <c r="B184" s="34" t="str">
        <f>'A) Base RI'!B186</f>
        <v>Chavannes-de-Bogis</v>
      </c>
      <c r="C184" s="101">
        <f>'A) Base RI'!AN186</f>
        <v>1290</v>
      </c>
      <c r="D184" s="117">
        <f>'D) Ecrêtage'!N184</f>
        <v>63.512475824818729</v>
      </c>
      <c r="E184" s="36">
        <f t="shared" si="11"/>
        <v>0</v>
      </c>
      <c r="F184" s="298">
        <f t="shared" si="12"/>
        <v>0</v>
      </c>
      <c r="G184" s="35">
        <f>+'A) Base RI'!AM186</f>
        <v>59</v>
      </c>
      <c r="H184" s="299">
        <f t="shared" si="13"/>
        <v>0.86764533930577503</v>
      </c>
      <c r="I184" s="59">
        <f t="shared" si="14"/>
        <v>0</v>
      </c>
    </row>
    <row r="185" spans="1:9" x14ac:dyDescent="0.25">
      <c r="A185" s="51">
        <f>'A) Base RI'!A187</f>
        <v>5708</v>
      </c>
      <c r="B185" s="34" t="str">
        <f>'A) Base RI'!B187</f>
        <v>Chavannes-des-Bois</v>
      </c>
      <c r="C185" s="101">
        <f>'A) Base RI'!AN187</f>
        <v>942</v>
      </c>
      <c r="D185" s="117">
        <f>'D) Ecrêtage'!N185</f>
        <v>59.60280220168972</v>
      </c>
      <c r="E185" s="36">
        <f t="shared" si="11"/>
        <v>0</v>
      </c>
      <c r="F185" s="298">
        <f t="shared" si="12"/>
        <v>0</v>
      </c>
      <c r="G185" s="35">
        <f>+'A) Base RI'!AM187</f>
        <v>59</v>
      </c>
      <c r="H185" s="299">
        <f t="shared" si="13"/>
        <v>0.86764533930577503</v>
      </c>
      <c r="I185" s="59">
        <f t="shared" si="14"/>
        <v>0</v>
      </c>
    </row>
    <row r="186" spans="1:9" x14ac:dyDescent="0.25">
      <c r="A186" s="51">
        <f>'A) Base RI'!A188</f>
        <v>5709</v>
      </c>
      <c r="B186" s="34" t="str">
        <f>'A) Base RI'!B188</f>
        <v>Chéserex</v>
      </c>
      <c r="C186" s="101">
        <f>'A) Base RI'!AN188</f>
        <v>1219</v>
      </c>
      <c r="D186" s="117">
        <f>'D) Ecrêtage'!N186</f>
        <v>58.270036901649419</v>
      </c>
      <c r="E186" s="36">
        <f t="shared" si="11"/>
        <v>0</v>
      </c>
      <c r="F186" s="298">
        <f t="shared" si="12"/>
        <v>0</v>
      </c>
      <c r="G186" s="35">
        <f>+'A) Base RI'!AM188</f>
        <v>57</v>
      </c>
      <c r="H186" s="299">
        <f t="shared" si="13"/>
        <v>0.83823363288863018</v>
      </c>
      <c r="I186" s="59">
        <f t="shared" si="14"/>
        <v>0</v>
      </c>
    </row>
    <row r="187" spans="1:9" x14ac:dyDescent="0.25">
      <c r="A187" s="51">
        <f>'A) Base RI'!A189</f>
        <v>5710</v>
      </c>
      <c r="B187" s="34" t="str">
        <f>'A) Base RI'!B189</f>
        <v>Coinsins</v>
      </c>
      <c r="C187" s="101">
        <f>'A) Base RI'!AN189</f>
        <v>484</v>
      </c>
      <c r="D187" s="117">
        <f>'D) Ecrêtage'!N187</f>
        <v>129.3290897887691</v>
      </c>
      <c r="E187" s="36">
        <f t="shared" si="11"/>
        <v>0</v>
      </c>
      <c r="F187" s="298">
        <f t="shared" si="12"/>
        <v>0</v>
      </c>
      <c r="G187" s="35">
        <f>+'A) Base RI'!AM189</f>
        <v>51</v>
      </c>
      <c r="H187" s="299">
        <f t="shared" si="13"/>
        <v>0.74999851363719539</v>
      </c>
      <c r="I187" s="59">
        <f t="shared" si="14"/>
        <v>0</v>
      </c>
    </row>
    <row r="188" spans="1:9" x14ac:dyDescent="0.25">
      <c r="A188" s="51">
        <f>'A) Base RI'!A190</f>
        <v>5711</v>
      </c>
      <c r="B188" s="34" t="str">
        <f>'A) Base RI'!B190</f>
        <v>Commugny</v>
      </c>
      <c r="C188" s="101">
        <f>'A) Base RI'!AN190</f>
        <v>2858</v>
      </c>
      <c r="D188" s="117">
        <f>'D) Ecrêtage'!N188</f>
        <v>79.602335959458543</v>
      </c>
      <c r="E188" s="36">
        <f t="shared" si="11"/>
        <v>0</v>
      </c>
      <c r="F188" s="298">
        <f t="shared" si="12"/>
        <v>0</v>
      </c>
      <c r="G188" s="35">
        <f>+'A) Base RI'!AM190</f>
        <v>57</v>
      </c>
      <c r="H188" s="299">
        <f t="shared" si="13"/>
        <v>0.83823363288863018</v>
      </c>
      <c r="I188" s="59">
        <f t="shared" si="14"/>
        <v>0</v>
      </c>
    </row>
    <row r="189" spans="1:9" x14ac:dyDescent="0.25">
      <c r="A189" s="51">
        <f>'A) Base RI'!A191</f>
        <v>5712</v>
      </c>
      <c r="B189" s="34" t="str">
        <f>'A) Base RI'!B191</f>
        <v>Coppet</v>
      </c>
      <c r="C189" s="101">
        <f>'A) Base RI'!AN191</f>
        <v>3123</v>
      </c>
      <c r="D189" s="117">
        <f>'D) Ecrêtage'!N189</f>
        <v>89.865851484026592</v>
      </c>
      <c r="E189" s="36">
        <f t="shared" si="11"/>
        <v>0</v>
      </c>
      <c r="F189" s="298">
        <f t="shared" si="12"/>
        <v>0</v>
      </c>
      <c r="G189" s="35">
        <f>+'A) Base RI'!AM191</f>
        <v>53</v>
      </c>
      <c r="H189" s="299">
        <f t="shared" si="13"/>
        <v>0.77941022005434035</v>
      </c>
      <c r="I189" s="59">
        <f t="shared" si="14"/>
        <v>0</v>
      </c>
    </row>
    <row r="190" spans="1:9" x14ac:dyDescent="0.25">
      <c r="A190" s="51">
        <f>'A) Base RI'!A192</f>
        <v>5713</v>
      </c>
      <c r="B190" s="34" t="str">
        <f>'A) Base RI'!B192</f>
        <v>Crans-près-Céligny</v>
      </c>
      <c r="C190" s="101">
        <f>'A) Base RI'!AN192</f>
        <v>2177</v>
      </c>
      <c r="D190" s="117">
        <f>'D) Ecrêtage'!N190</f>
        <v>93.423289389036199</v>
      </c>
      <c r="E190" s="36">
        <f t="shared" si="11"/>
        <v>0</v>
      </c>
      <c r="F190" s="298">
        <f t="shared" si="12"/>
        <v>0</v>
      </c>
      <c r="G190" s="35">
        <f>+'A) Base RI'!AM192</f>
        <v>53</v>
      </c>
      <c r="H190" s="299">
        <f t="shared" si="13"/>
        <v>0.77941022005434035</v>
      </c>
      <c r="I190" s="59">
        <f t="shared" si="14"/>
        <v>0</v>
      </c>
    </row>
    <row r="191" spans="1:9" x14ac:dyDescent="0.25">
      <c r="A191" s="51">
        <f>'A) Base RI'!A193</f>
        <v>5714</v>
      </c>
      <c r="B191" s="34" t="str">
        <f>'A) Base RI'!B193</f>
        <v>Crassier</v>
      </c>
      <c r="C191" s="101">
        <f>'A) Base RI'!AN193</f>
        <v>1161</v>
      </c>
      <c r="D191" s="117">
        <f>'D) Ecrêtage'!N191</f>
        <v>67.217495317377868</v>
      </c>
      <c r="E191" s="36">
        <f t="shared" si="11"/>
        <v>0</v>
      </c>
      <c r="F191" s="298">
        <f t="shared" si="12"/>
        <v>0</v>
      </c>
      <c r="G191" s="35">
        <f>+'A) Base RI'!AM193</f>
        <v>64</v>
      </c>
      <c r="H191" s="299">
        <f t="shared" si="13"/>
        <v>0.94117460534863739</v>
      </c>
      <c r="I191" s="59">
        <f t="shared" si="14"/>
        <v>0</v>
      </c>
    </row>
    <row r="192" spans="1:9" x14ac:dyDescent="0.25">
      <c r="A192" s="51">
        <f>'A) Base RI'!A194</f>
        <v>5715</v>
      </c>
      <c r="B192" s="34" t="str">
        <f>'A) Base RI'!B194</f>
        <v>Duillier</v>
      </c>
      <c r="C192" s="101">
        <f>'A) Base RI'!AN194</f>
        <v>1078</v>
      </c>
      <c r="D192" s="117">
        <f>'D) Ecrêtage'!N192</f>
        <v>55.087859391690564</v>
      </c>
      <c r="E192" s="36">
        <f t="shared" si="11"/>
        <v>0</v>
      </c>
      <c r="F192" s="298">
        <f t="shared" si="12"/>
        <v>0</v>
      </c>
      <c r="G192" s="35">
        <f>+'A) Base RI'!AM194</f>
        <v>66</v>
      </c>
      <c r="H192" s="299">
        <f t="shared" si="13"/>
        <v>0.97058631176578225</v>
      </c>
      <c r="I192" s="59">
        <f t="shared" si="14"/>
        <v>0</v>
      </c>
    </row>
    <row r="193" spans="1:9" x14ac:dyDescent="0.25">
      <c r="A193" s="51">
        <f>'A) Base RI'!A195</f>
        <v>5716</v>
      </c>
      <c r="B193" s="34" t="str">
        <f>'A) Base RI'!B195</f>
        <v>Eysins</v>
      </c>
      <c r="C193" s="101">
        <f>'A) Base RI'!AN195</f>
        <v>1603</v>
      </c>
      <c r="D193" s="117">
        <f>'D) Ecrêtage'!N193</f>
        <v>77.003002197062543</v>
      </c>
      <c r="E193" s="36">
        <f t="shared" si="11"/>
        <v>0</v>
      </c>
      <c r="F193" s="298">
        <f t="shared" si="12"/>
        <v>0</v>
      </c>
      <c r="G193" s="35">
        <f>+'A) Base RI'!AM195</f>
        <v>61</v>
      </c>
      <c r="H193" s="299">
        <f t="shared" si="13"/>
        <v>0.89705704572292</v>
      </c>
      <c r="I193" s="59">
        <f t="shared" si="14"/>
        <v>0</v>
      </c>
    </row>
    <row r="194" spans="1:9" x14ac:dyDescent="0.25">
      <c r="A194" s="51">
        <f>'A) Base RI'!A196</f>
        <v>5717</v>
      </c>
      <c r="B194" s="34" t="str">
        <f>'A) Base RI'!B196</f>
        <v>Founex</v>
      </c>
      <c r="C194" s="101">
        <f>'A) Base RI'!AN196</f>
        <v>3788</v>
      </c>
      <c r="D194" s="117">
        <f>'D) Ecrêtage'!N194</f>
        <v>80.826061013593673</v>
      </c>
      <c r="E194" s="36">
        <f t="shared" si="11"/>
        <v>0</v>
      </c>
      <c r="F194" s="298">
        <f t="shared" si="12"/>
        <v>0</v>
      </c>
      <c r="G194" s="35">
        <f>+'A) Base RI'!AM196</f>
        <v>57</v>
      </c>
      <c r="H194" s="299">
        <f t="shared" si="13"/>
        <v>0.83823363288863018</v>
      </c>
      <c r="I194" s="59">
        <f t="shared" si="14"/>
        <v>0</v>
      </c>
    </row>
    <row r="195" spans="1:9" x14ac:dyDescent="0.25">
      <c r="A195" s="51">
        <f>'A) Base RI'!A197</f>
        <v>5718</v>
      </c>
      <c r="B195" s="34" t="str">
        <f>'A) Base RI'!B197</f>
        <v>Genolier</v>
      </c>
      <c r="C195" s="101">
        <f>'A) Base RI'!AN197</f>
        <v>1945</v>
      </c>
      <c r="D195" s="117">
        <f>'D) Ecrêtage'!N195</f>
        <v>82.572338226115093</v>
      </c>
      <c r="E195" s="36">
        <f t="shared" si="11"/>
        <v>0</v>
      </c>
      <c r="F195" s="298">
        <f t="shared" si="12"/>
        <v>0</v>
      </c>
      <c r="G195" s="35">
        <f>+'A) Base RI'!AM197</f>
        <v>55</v>
      </c>
      <c r="H195" s="299">
        <f t="shared" si="13"/>
        <v>0.80882192647148521</v>
      </c>
      <c r="I195" s="59">
        <f t="shared" si="14"/>
        <v>0</v>
      </c>
    </row>
    <row r="196" spans="1:9" x14ac:dyDescent="0.25">
      <c r="A196" s="51">
        <f>'A) Base RI'!A198</f>
        <v>5719</v>
      </c>
      <c r="B196" s="34" t="str">
        <f>'A) Base RI'!B198</f>
        <v>Gingins</v>
      </c>
      <c r="C196" s="101">
        <f>'A) Base RI'!AN198</f>
        <v>1212</v>
      </c>
      <c r="D196" s="117">
        <f>'D) Ecrêtage'!N196</f>
        <v>92.521207322346967</v>
      </c>
      <c r="E196" s="36">
        <f t="shared" si="11"/>
        <v>0</v>
      </c>
      <c r="F196" s="298">
        <f t="shared" si="12"/>
        <v>0</v>
      </c>
      <c r="G196" s="35">
        <f>+'A) Base RI'!AM198</f>
        <v>57</v>
      </c>
      <c r="H196" s="299">
        <f t="shared" si="13"/>
        <v>0.83823363288863018</v>
      </c>
      <c r="I196" s="59">
        <f t="shared" si="14"/>
        <v>0</v>
      </c>
    </row>
    <row r="197" spans="1:9" x14ac:dyDescent="0.25">
      <c r="A197" s="51">
        <f>'A) Base RI'!A199</f>
        <v>5720</v>
      </c>
      <c r="B197" s="34" t="str">
        <f>'A) Base RI'!B199</f>
        <v>Givrins</v>
      </c>
      <c r="C197" s="101">
        <f>'A) Base RI'!AN199</f>
        <v>995</v>
      </c>
      <c r="D197" s="117">
        <f>'D) Ecrêtage'!N197</f>
        <v>68.564632007102446</v>
      </c>
      <c r="E197" s="36">
        <f t="shared" si="11"/>
        <v>0</v>
      </c>
      <c r="F197" s="298">
        <f t="shared" si="12"/>
        <v>0</v>
      </c>
      <c r="G197" s="35">
        <f>+'A) Base RI'!AM199</f>
        <v>61</v>
      </c>
      <c r="H197" s="299">
        <f t="shared" si="13"/>
        <v>0.89705704572292</v>
      </c>
      <c r="I197" s="59">
        <f t="shared" si="14"/>
        <v>0</v>
      </c>
    </row>
    <row r="198" spans="1:9" x14ac:dyDescent="0.25">
      <c r="A198" s="51">
        <f>'A) Base RI'!A200</f>
        <v>5721</v>
      </c>
      <c r="B198" s="34" t="str">
        <f>'A) Base RI'!B200</f>
        <v>Gland</v>
      </c>
      <c r="C198" s="101">
        <f>'A) Base RI'!AN200</f>
        <v>13081</v>
      </c>
      <c r="D198" s="117">
        <f>'D) Ecrêtage'!N198</f>
        <v>46.016962091583217</v>
      </c>
      <c r="E198" s="36">
        <f t="shared" ref="E198:E261" si="15">IF($D$314-D198&lt;0,0,$D$314-D198)</f>
        <v>0</v>
      </c>
      <c r="F198" s="298">
        <f t="shared" ref="F198:F261" si="16">(C198*E198*G198)*$E$4</f>
        <v>0</v>
      </c>
      <c r="G198" s="35">
        <f>+'A) Base RI'!AM200</f>
        <v>62.5</v>
      </c>
      <c r="H198" s="299">
        <f t="shared" ref="H198:H261" si="17">G198/$G$314</f>
        <v>0.91911582553577864</v>
      </c>
      <c r="I198" s="59">
        <f t="shared" ref="I198:I261" si="18">F198*H198</f>
        <v>0</v>
      </c>
    </row>
    <row r="199" spans="1:9" x14ac:dyDescent="0.25">
      <c r="A199" s="51">
        <f>'A) Base RI'!A201</f>
        <v>5722</v>
      </c>
      <c r="B199" s="34" t="str">
        <f>'A) Base RI'!B201</f>
        <v>Grens</v>
      </c>
      <c r="C199" s="101">
        <f>'A) Base RI'!AN201</f>
        <v>382</v>
      </c>
      <c r="D199" s="117">
        <f>'D) Ecrêtage'!N199</f>
        <v>63.740053679552588</v>
      </c>
      <c r="E199" s="36">
        <f t="shared" si="15"/>
        <v>0</v>
      </c>
      <c r="F199" s="298">
        <f t="shared" si="16"/>
        <v>0</v>
      </c>
      <c r="G199" s="35">
        <f>+'A) Base RI'!AM201</f>
        <v>62</v>
      </c>
      <c r="H199" s="299">
        <f t="shared" si="17"/>
        <v>0.91176289893149243</v>
      </c>
      <c r="I199" s="59">
        <f t="shared" si="18"/>
        <v>0</v>
      </c>
    </row>
    <row r="200" spans="1:9" x14ac:dyDescent="0.25">
      <c r="A200" s="51">
        <f>'A) Base RI'!A202</f>
        <v>5723</v>
      </c>
      <c r="B200" s="34" t="str">
        <f>'A) Base RI'!B202</f>
        <v>Mies</v>
      </c>
      <c r="C200" s="101">
        <f>'A) Base RI'!AN202</f>
        <v>2037</v>
      </c>
      <c r="D200" s="117">
        <f>'D) Ecrêtage'!N200</f>
        <v>157.22839334265561</v>
      </c>
      <c r="E200" s="36">
        <f t="shared" si="15"/>
        <v>0</v>
      </c>
      <c r="F200" s="298">
        <f t="shared" si="16"/>
        <v>0</v>
      </c>
      <c r="G200" s="35">
        <f>+'A) Base RI'!AM202</f>
        <v>49</v>
      </c>
      <c r="H200" s="299">
        <f t="shared" si="17"/>
        <v>0.72058680722005042</v>
      </c>
      <c r="I200" s="59">
        <f t="shared" si="18"/>
        <v>0</v>
      </c>
    </row>
    <row r="201" spans="1:9" x14ac:dyDescent="0.25">
      <c r="A201" s="51">
        <f>'A) Base RI'!A203</f>
        <v>5724</v>
      </c>
      <c r="B201" s="34" t="str">
        <f>'A) Base RI'!B203</f>
        <v>Nyon</v>
      </c>
      <c r="C201" s="101">
        <f>'A) Base RI'!AN203</f>
        <v>20551</v>
      </c>
      <c r="D201" s="117">
        <f>'D) Ecrêtage'!N201</f>
        <v>62.030480070439459</v>
      </c>
      <c r="E201" s="36">
        <f t="shared" si="15"/>
        <v>0</v>
      </c>
      <c r="F201" s="298">
        <f t="shared" si="16"/>
        <v>0</v>
      </c>
      <c r="G201" s="35">
        <f>+'A) Base RI'!AM203</f>
        <v>61</v>
      </c>
      <c r="H201" s="299">
        <f t="shared" si="17"/>
        <v>0.89705704572292</v>
      </c>
      <c r="I201" s="59">
        <f t="shared" si="18"/>
        <v>0</v>
      </c>
    </row>
    <row r="202" spans="1:9" x14ac:dyDescent="0.25">
      <c r="A202" s="51">
        <f>'A) Base RI'!A204</f>
        <v>5725</v>
      </c>
      <c r="B202" s="34" t="str">
        <f>'A) Base RI'!B204</f>
        <v>Prangins</v>
      </c>
      <c r="C202" s="101">
        <f>'A) Base RI'!AN204</f>
        <v>4069</v>
      </c>
      <c r="D202" s="117">
        <f>'D) Ecrêtage'!N202</f>
        <v>68.888335451095045</v>
      </c>
      <c r="E202" s="36">
        <f t="shared" si="15"/>
        <v>0</v>
      </c>
      <c r="F202" s="298">
        <f t="shared" si="16"/>
        <v>0</v>
      </c>
      <c r="G202" s="35">
        <f>+'A) Base RI'!AM204</f>
        <v>56</v>
      </c>
      <c r="H202" s="299">
        <f t="shared" si="17"/>
        <v>0.82352777968005764</v>
      </c>
      <c r="I202" s="59">
        <f t="shared" si="18"/>
        <v>0</v>
      </c>
    </row>
    <row r="203" spans="1:9" x14ac:dyDescent="0.25">
      <c r="A203" s="51">
        <f>'A) Base RI'!A205</f>
        <v>5726</v>
      </c>
      <c r="B203" s="34" t="str">
        <f>'A) Base RI'!B205</f>
        <v>La Rippe</v>
      </c>
      <c r="C203" s="101">
        <f>'A) Base RI'!AN205</f>
        <v>1164</v>
      </c>
      <c r="D203" s="117">
        <f>'D) Ecrêtage'!N203</f>
        <v>48.855647634152795</v>
      </c>
      <c r="E203" s="36">
        <f t="shared" si="15"/>
        <v>0</v>
      </c>
      <c r="F203" s="298">
        <f t="shared" si="16"/>
        <v>0</v>
      </c>
      <c r="G203" s="35">
        <f>+'A) Base RI'!AM205</f>
        <v>65</v>
      </c>
      <c r="H203" s="299">
        <f t="shared" si="17"/>
        <v>0.95588045855720982</v>
      </c>
      <c r="I203" s="59">
        <f t="shared" si="18"/>
        <v>0</v>
      </c>
    </row>
    <row r="204" spans="1:9" x14ac:dyDescent="0.25">
      <c r="A204" s="51">
        <f>'A) Base RI'!A206</f>
        <v>5727</v>
      </c>
      <c r="B204" s="34" t="str">
        <f>'A) Base RI'!B206</f>
        <v>Saint-Cergue</v>
      </c>
      <c r="C204" s="101">
        <f>'A) Base RI'!AN206</f>
        <v>2559</v>
      </c>
      <c r="D204" s="117">
        <f>'D) Ecrêtage'!N204</f>
        <v>39.268554852945236</v>
      </c>
      <c r="E204" s="36">
        <f t="shared" si="15"/>
        <v>5.5242379516781455</v>
      </c>
      <c r="F204" s="298">
        <f t="shared" si="16"/>
        <v>251912.87404489677</v>
      </c>
      <c r="G204" s="35">
        <f>+'A) Base RI'!AM206</f>
        <v>66</v>
      </c>
      <c r="H204" s="299">
        <f t="shared" si="17"/>
        <v>0.97058631176578225</v>
      </c>
      <c r="I204" s="59">
        <f t="shared" si="18"/>
        <v>244503.18730555443</v>
      </c>
    </row>
    <row r="205" spans="1:9" x14ac:dyDescent="0.25">
      <c r="A205" s="51">
        <f>'A) Base RI'!A207</f>
        <v>5728</v>
      </c>
      <c r="B205" s="34" t="str">
        <f>'A) Base RI'!B207</f>
        <v>Signy-Avenex</v>
      </c>
      <c r="C205" s="101">
        <f>'A) Base RI'!AN207</f>
        <v>567</v>
      </c>
      <c r="D205" s="117">
        <f>'D) Ecrêtage'!N205</f>
        <v>65.879236626072526</v>
      </c>
      <c r="E205" s="36">
        <f t="shared" si="15"/>
        <v>0</v>
      </c>
      <c r="F205" s="298">
        <f t="shared" si="16"/>
        <v>0</v>
      </c>
      <c r="G205" s="35">
        <f>+'A) Base RI'!AM207</f>
        <v>58</v>
      </c>
      <c r="H205" s="299">
        <f t="shared" si="17"/>
        <v>0.8529394860972026</v>
      </c>
      <c r="I205" s="59">
        <f t="shared" si="18"/>
        <v>0</v>
      </c>
    </row>
    <row r="206" spans="1:9" x14ac:dyDescent="0.25">
      <c r="A206" s="51">
        <f>'A) Base RI'!A208</f>
        <v>5729</v>
      </c>
      <c r="B206" s="34" t="str">
        <f>'A) Base RI'!B208</f>
        <v>Tannay</v>
      </c>
      <c r="C206" s="101">
        <f>'A) Base RI'!AN208</f>
        <v>1585</v>
      </c>
      <c r="D206" s="117">
        <f>'D) Ecrêtage'!N206</f>
        <v>94.051164891340989</v>
      </c>
      <c r="E206" s="36">
        <f t="shared" si="15"/>
        <v>0</v>
      </c>
      <c r="F206" s="298">
        <f t="shared" si="16"/>
        <v>0</v>
      </c>
      <c r="G206" s="35">
        <f>+'A) Base RI'!AM208</f>
        <v>61</v>
      </c>
      <c r="H206" s="299">
        <f t="shared" si="17"/>
        <v>0.89705704572292</v>
      </c>
      <c r="I206" s="59">
        <f t="shared" si="18"/>
        <v>0</v>
      </c>
    </row>
    <row r="207" spans="1:9" x14ac:dyDescent="0.25">
      <c r="A207" s="51">
        <f>'A) Base RI'!A209</f>
        <v>5730</v>
      </c>
      <c r="B207" s="34" t="str">
        <f>'A) Base RI'!B209</f>
        <v>Trélex</v>
      </c>
      <c r="C207" s="101">
        <f>'A) Base RI'!AN209</f>
        <v>1405</v>
      </c>
      <c r="D207" s="117">
        <f>'D) Ecrêtage'!N207</f>
        <v>70.000184038072163</v>
      </c>
      <c r="E207" s="36">
        <f t="shared" si="15"/>
        <v>0</v>
      </c>
      <c r="F207" s="298">
        <f t="shared" si="16"/>
        <v>0</v>
      </c>
      <c r="G207" s="35">
        <f>+'A) Base RI'!AM209</f>
        <v>57</v>
      </c>
      <c r="H207" s="299">
        <f t="shared" si="17"/>
        <v>0.83823363288863018</v>
      </c>
      <c r="I207" s="59">
        <f t="shared" si="18"/>
        <v>0</v>
      </c>
    </row>
    <row r="208" spans="1:9" x14ac:dyDescent="0.25">
      <c r="A208" s="51">
        <f>'A) Base RI'!A210</f>
        <v>5731</v>
      </c>
      <c r="B208" s="34" t="str">
        <f>'A) Base RI'!B210</f>
        <v>Le Vaud</v>
      </c>
      <c r="C208" s="101">
        <f>'A) Base RI'!AN210</f>
        <v>1283</v>
      </c>
      <c r="D208" s="117">
        <f>'D) Ecrêtage'!N208</f>
        <v>39.667445985970375</v>
      </c>
      <c r="E208" s="36">
        <f t="shared" si="15"/>
        <v>5.1253468186530071</v>
      </c>
      <c r="F208" s="298">
        <f t="shared" si="16"/>
        <v>133160.35435871911</v>
      </c>
      <c r="G208" s="35">
        <f>+'A) Base RI'!AM210</f>
        <v>75</v>
      </c>
      <c r="H208" s="299">
        <f t="shared" si="17"/>
        <v>1.1029389906429343</v>
      </c>
      <c r="I208" s="59">
        <f t="shared" si="18"/>
        <v>146867.74683006111</v>
      </c>
    </row>
    <row r="209" spans="1:9" x14ac:dyDescent="0.25">
      <c r="A209" s="51">
        <f>'A) Base RI'!A211</f>
        <v>5732</v>
      </c>
      <c r="B209" s="34" t="str">
        <f>'A) Base RI'!B211</f>
        <v>Vich</v>
      </c>
      <c r="C209" s="101">
        <f>'A) Base RI'!AN211</f>
        <v>1026</v>
      </c>
      <c r="D209" s="117">
        <f>'D) Ecrêtage'!N209</f>
        <v>60.316248352376668</v>
      </c>
      <c r="E209" s="36">
        <f t="shared" si="15"/>
        <v>0</v>
      </c>
      <c r="F209" s="298">
        <f t="shared" si="16"/>
        <v>0</v>
      </c>
      <c r="G209" s="35">
        <f>+'A) Base RI'!AM211</f>
        <v>68</v>
      </c>
      <c r="H209" s="299">
        <f t="shared" si="17"/>
        <v>0.99999801818292722</v>
      </c>
      <c r="I209" s="59">
        <f t="shared" si="18"/>
        <v>0</v>
      </c>
    </row>
    <row r="210" spans="1:9" x14ac:dyDescent="0.25">
      <c r="A210" s="51">
        <f>'A) Base RI'!A212</f>
        <v>5741</v>
      </c>
      <c r="B210" s="34" t="str">
        <f>'A) Base RI'!B212</f>
        <v>L'Abergement</v>
      </c>
      <c r="C210" s="101">
        <f>'A) Base RI'!AN212</f>
        <v>237</v>
      </c>
      <c r="D210" s="117">
        <f>'D) Ecrêtage'!N210</f>
        <v>28.062617249222964</v>
      </c>
      <c r="E210" s="36">
        <f t="shared" si="15"/>
        <v>16.730175555400418</v>
      </c>
      <c r="F210" s="298">
        <f t="shared" si="16"/>
        <v>86715.678636995901</v>
      </c>
      <c r="G210" s="35">
        <f>+'A) Base RI'!AM212</f>
        <v>81</v>
      </c>
      <c r="H210" s="299">
        <f t="shared" si="17"/>
        <v>1.1911741098943691</v>
      </c>
      <c r="I210" s="59">
        <f t="shared" si="18"/>
        <v>103293.47131430975</v>
      </c>
    </row>
    <row r="211" spans="1:9" x14ac:dyDescent="0.25">
      <c r="A211" s="51">
        <f>'A) Base RI'!A213</f>
        <v>5742</v>
      </c>
      <c r="B211" s="34" t="str">
        <f>'A) Base RI'!B213</f>
        <v>Agiez</v>
      </c>
      <c r="C211" s="101">
        <f>'A) Base RI'!AN213</f>
        <v>314</v>
      </c>
      <c r="D211" s="117">
        <f>'D) Ecrêtage'!N211</f>
        <v>30.077514247401947</v>
      </c>
      <c r="E211" s="36">
        <f t="shared" si="15"/>
        <v>14.715278557221435</v>
      </c>
      <c r="F211" s="298">
        <f t="shared" si="16"/>
        <v>94814.660022173732</v>
      </c>
      <c r="G211" s="35">
        <f>+'A) Base RI'!AM213</f>
        <v>76</v>
      </c>
      <c r="H211" s="299">
        <f t="shared" si="17"/>
        <v>1.1176448438515068</v>
      </c>
      <c r="I211" s="59">
        <f t="shared" si="18"/>
        <v>105969.11589531606</v>
      </c>
    </row>
    <row r="212" spans="1:9" x14ac:dyDescent="0.25">
      <c r="A212" s="51">
        <f>'A) Base RI'!A214</f>
        <v>5743</v>
      </c>
      <c r="B212" s="34" t="str">
        <f>'A) Base RI'!B214</f>
        <v>Arnex-sur-Orbe</v>
      </c>
      <c r="C212" s="101">
        <f>'A) Base RI'!AN214</f>
        <v>642</v>
      </c>
      <c r="D212" s="117">
        <f>'D) Ecrêtage'!N212</f>
        <v>27.521688750906844</v>
      </c>
      <c r="E212" s="36">
        <f t="shared" si="15"/>
        <v>17.271104053716538</v>
      </c>
      <c r="F212" s="298">
        <f t="shared" si="16"/>
        <v>218545.4418969994</v>
      </c>
      <c r="G212" s="35">
        <f>+'A) Base RI'!AM214</f>
        <v>73</v>
      </c>
      <c r="H212" s="299">
        <f t="shared" si="17"/>
        <v>1.0735272842257895</v>
      </c>
      <c r="I212" s="59">
        <f t="shared" si="18"/>
        <v>234614.49471961084</v>
      </c>
    </row>
    <row r="213" spans="1:9" x14ac:dyDescent="0.25">
      <c r="A213" s="51">
        <f>'A) Base RI'!A215</f>
        <v>5744</v>
      </c>
      <c r="B213" s="34" t="str">
        <f>'A) Base RI'!B215</f>
        <v>Ballaigues</v>
      </c>
      <c r="C213" s="101">
        <f>'A) Base RI'!AN215</f>
        <v>1095</v>
      </c>
      <c r="D213" s="117">
        <f>'D) Ecrêtage'!N213</f>
        <v>55.500243946312445</v>
      </c>
      <c r="E213" s="36">
        <f t="shared" si="15"/>
        <v>0</v>
      </c>
      <c r="F213" s="298">
        <f t="shared" si="16"/>
        <v>0</v>
      </c>
      <c r="G213" s="35">
        <f>+'A) Base RI'!AM215</f>
        <v>66</v>
      </c>
      <c r="H213" s="299">
        <f t="shared" si="17"/>
        <v>0.97058631176578225</v>
      </c>
      <c r="I213" s="59">
        <f t="shared" si="18"/>
        <v>0</v>
      </c>
    </row>
    <row r="214" spans="1:9" x14ac:dyDescent="0.25">
      <c r="A214" s="51">
        <f>'A) Base RI'!A216</f>
        <v>5745</v>
      </c>
      <c r="B214" s="34" t="str">
        <f>'A) Base RI'!B216</f>
        <v>Baulmes</v>
      </c>
      <c r="C214" s="101">
        <f>'A) Base RI'!AN216</f>
        <v>1053</v>
      </c>
      <c r="D214" s="117">
        <f>'D) Ecrêtage'!N214</f>
        <v>24.425235834124724</v>
      </c>
      <c r="E214" s="36">
        <f t="shared" si="15"/>
        <v>20.367556970498658</v>
      </c>
      <c r="F214" s="298">
        <f t="shared" si="16"/>
        <v>451674.60953803296</v>
      </c>
      <c r="G214" s="35">
        <f>+'A) Base RI'!AM216</f>
        <v>78</v>
      </c>
      <c r="H214" s="299">
        <f t="shared" si="17"/>
        <v>1.1470565502686518</v>
      </c>
      <c r="I214" s="59">
        <f t="shared" si="18"/>
        <v>518096.31946063641</v>
      </c>
    </row>
    <row r="215" spans="1:9" x14ac:dyDescent="0.25">
      <c r="A215" s="51">
        <f>'A) Base RI'!A217</f>
        <v>5746</v>
      </c>
      <c r="B215" s="34" t="str">
        <f>'A) Base RI'!B217</f>
        <v>Bavois</v>
      </c>
      <c r="C215" s="101">
        <f>'A) Base RI'!AN217</f>
        <v>928</v>
      </c>
      <c r="D215" s="117">
        <f>'D) Ecrêtage'!N215</f>
        <v>28.102032947567317</v>
      </c>
      <c r="E215" s="36">
        <f t="shared" si="15"/>
        <v>16.690759857056065</v>
      </c>
      <c r="F215" s="298">
        <f t="shared" si="16"/>
        <v>305288.6856542296</v>
      </c>
      <c r="G215" s="35">
        <f>+'A) Base RI'!AM217</f>
        <v>73</v>
      </c>
      <c r="H215" s="299">
        <f t="shared" si="17"/>
        <v>1.0735272842257895</v>
      </c>
      <c r="I215" s="59">
        <f t="shared" si="18"/>
        <v>327735.73361524584</v>
      </c>
    </row>
    <row r="216" spans="1:9" x14ac:dyDescent="0.25">
      <c r="A216" s="51">
        <f>'A) Base RI'!A218</f>
        <v>5747</v>
      </c>
      <c r="B216" s="34" t="str">
        <f>'A) Base RI'!B218</f>
        <v>Bofflens</v>
      </c>
      <c r="C216" s="101">
        <f>'A) Base RI'!AN218</f>
        <v>191</v>
      </c>
      <c r="D216" s="117">
        <f>'D) Ecrêtage'!N216</f>
        <v>28.310783063965395</v>
      </c>
      <c r="E216" s="36">
        <f t="shared" si="15"/>
        <v>16.482009740657986</v>
      </c>
      <c r="F216" s="298">
        <f t="shared" si="16"/>
        <v>58648.429720475528</v>
      </c>
      <c r="G216" s="35">
        <f>+'A) Base RI'!AM218</f>
        <v>69</v>
      </c>
      <c r="H216" s="299">
        <f t="shared" si="17"/>
        <v>1.0147038713914995</v>
      </c>
      <c r="I216" s="59">
        <f t="shared" si="18"/>
        <v>59510.788688398796</v>
      </c>
    </row>
    <row r="217" spans="1:9" x14ac:dyDescent="0.25">
      <c r="A217" s="51">
        <f>'A) Base RI'!A219</f>
        <v>5748</v>
      </c>
      <c r="B217" s="34" t="str">
        <f>'A) Base RI'!B219</f>
        <v>Bretonnières</v>
      </c>
      <c r="C217" s="101">
        <f>'A) Base RI'!AN219</f>
        <v>262</v>
      </c>
      <c r="D217" s="117">
        <f>'D) Ecrêtage'!N217</f>
        <v>29.340185715295448</v>
      </c>
      <c r="E217" s="36">
        <f t="shared" si="15"/>
        <v>15.452607089327934</v>
      </c>
      <c r="F217" s="298">
        <f t="shared" si="16"/>
        <v>78704.454635932183</v>
      </c>
      <c r="G217" s="35">
        <f>+'A) Base RI'!AM219</f>
        <v>72</v>
      </c>
      <c r="H217" s="299">
        <f t="shared" si="17"/>
        <v>1.058821431017217</v>
      </c>
      <c r="I217" s="59">
        <f t="shared" si="18"/>
        <v>83333.963285047357</v>
      </c>
    </row>
    <row r="218" spans="1:9" x14ac:dyDescent="0.25">
      <c r="A218" s="51">
        <f>'A) Base RI'!A220</f>
        <v>5749</v>
      </c>
      <c r="B218" s="34" t="str">
        <f>'A) Base RI'!B220</f>
        <v>Chavornay</v>
      </c>
      <c r="C218" s="101">
        <f>'A) Base RI'!AN220</f>
        <v>4908</v>
      </c>
      <c r="D218" s="117">
        <f>'D) Ecrêtage'!N218</f>
        <v>27.844706884451693</v>
      </c>
      <c r="E218" s="36">
        <f t="shared" si="15"/>
        <v>16.948085920171689</v>
      </c>
      <c r="F218" s="298">
        <f t="shared" si="16"/>
        <v>1617042.6387341798</v>
      </c>
      <c r="G218" s="35">
        <f>+'A) Base RI'!AM220</f>
        <v>72</v>
      </c>
      <c r="H218" s="299">
        <f t="shared" si="17"/>
        <v>1.058821431017217</v>
      </c>
      <c r="I218" s="59">
        <f t="shared" si="18"/>
        <v>1712159.400760381</v>
      </c>
    </row>
    <row r="219" spans="1:9" x14ac:dyDescent="0.25">
      <c r="A219" s="51">
        <f>'A) Base RI'!A221</f>
        <v>5750</v>
      </c>
      <c r="B219" s="34" t="str">
        <f>'A) Base RI'!B221</f>
        <v>Les Clées</v>
      </c>
      <c r="C219" s="101">
        <f>'A) Base RI'!AN221</f>
        <v>181</v>
      </c>
      <c r="D219" s="117">
        <f>'D) Ecrêtage'!N219</f>
        <v>27.914401012891346</v>
      </c>
      <c r="E219" s="36">
        <f t="shared" si="15"/>
        <v>16.878391791732035</v>
      </c>
      <c r="F219" s="298">
        <f t="shared" si="16"/>
        <v>65987.760548955572</v>
      </c>
      <c r="G219" s="35">
        <f>+'A) Base RI'!AM221</f>
        <v>80</v>
      </c>
      <c r="H219" s="299">
        <f t="shared" si="17"/>
        <v>1.1764682566857967</v>
      </c>
      <c r="I219" s="59">
        <f t="shared" si="18"/>
        <v>77632.505615629547</v>
      </c>
    </row>
    <row r="220" spans="1:9" x14ac:dyDescent="0.25">
      <c r="A220" s="51">
        <f>'A) Base RI'!A222</f>
        <v>5752</v>
      </c>
      <c r="B220" s="34" t="str">
        <f>'A) Base RI'!B222</f>
        <v>Croy</v>
      </c>
      <c r="C220" s="101">
        <f>'A) Base RI'!AN222</f>
        <v>379</v>
      </c>
      <c r="D220" s="117">
        <f>'D) Ecrêtage'!N220</f>
        <v>29.521099978606578</v>
      </c>
      <c r="E220" s="36">
        <f t="shared" si="15"/>
        <v>15.271692826016803</v>
      </c>
      <c r="F220" s="298">
        <f t="shared" si="16"/>
        <v>115643.67218958617</v>
      </c>
      <c r="G220" s="35">
        <f>+'A) Base RI'!AM222</f>
        <v>74</v>
      </c>
      <c r="H220" s="299">
        <f t="shared" si="17"/>
        <v>1.0882331374343619</v>
      </c>
      <c r="I220" s="59">
        <f t="shared" si="18"/>
        <v>125847.27621130423</v>
      </c>
    </row>
    <row r="221" spans="1:9" x14ac:dyDescent="0.25">
      <c r="A221" s="51">
        <f>'A) Base RI'!A223</f>
        <v>5754</v>
      </c>
      <c r="B221" s="34" t="str">
        <f>'A) Base RI'!B223</f>
        <v>Juriens</v>
      </c>
      <c r="C221" s="101">
        <f>'A) Base RI'!AN223</f>
        <v>309</v>
      </c>
      <c r="D221" s="117">
        <f>'D) Ecrêtage'!N221</f>
        <v>26.332815533980586</v>
      </c>
      <c r="E221" s="36">
        <f t="shared" si="15"/>
        <v>18.459977270642796</v>
      </c>
      <c r="F221" s="298">
        <f t="shared" si="16"/>
        <v>121669.15639148855</v>
      </c>
      <c r="G221" s="35">
        <f>+'A) Base RI'!AM223</f>
        <v>79</v>
      </c>
      <c r="H221" s="299">
        <f t="shared" si="17"/>
        <v>1.1617624034772243</v>
      </c>
      <c r="I221" s="59">
        <f t="shared" si="18"/>
        <v>141350.65155842202</v>
      </c>
    </row>
    <row r="222" spans="1:9" x14ac:dyDescent="0.25">
      <c r="A222" s="51">
        <f>'A) Base RI'!A224</f>
        <v>5755</v>
      </c>
      <c r="B222" s="34" t="str">
        <f>'A) Base RI'!B224</f>
        <v>Lignerolle</v>
      </c>
      <c r="C222" s="101">
        <f>'A) Base RI'!AN224</f>
        <v>417</v>
      </c>
      <c r="D222" s="117">
        <f>'D) Ecrêtage'!N222</f>
        <v>22.571951224734502</v>
      </c>
      <c r="E222" s="36">
        <f t="shared" si="15"/>
        <v>22.22084157988888</v>
      </c>
      <c r="F222" s="298">
        <f t="shared" si="16"/>
        <v>200147.56427837512</v>
      </c>
      <c r="G222" s="35">
        <f>+'A) Base RI'!AM224</f>
        <v>80</v>
      </c>
      <c r="H222" s="299">
        <f t="shared" si="17"/>
        <v>1.1764682566857967</v>
      </c>
      <c r="I222" s="59">
        <f t="shared" si="18"/>
        <v>235467.25602648841</v>
      </c>
    </row>
    <row r="223" spans="1:9" x14ac:dyDescent="0.25">
      <c r="A223" s="51">
        <f>'A) Base RI'!A225</f>
        <v>5756</v>
      </c>
      <c r="B223" s="34" t="str">
        <f>'A) Base RI'!B225</f>
        <v>Montcherand</v>
      </c>
      <c r="C223" s="101">
        <f>'A) Base RI'!AN225</f>
        <v>482</v>
      </c>
      <c r="D223" s="117">
        <f>'D) Ecrêtage'!N223</f>
        <v>38.841382549562006</v>
      </c>
      <c r="E223" s="36">
        <f t="shared" si="15"/>
        <v>5.9514102550613757</v>
      </c>
      <c r="F223" s="298">
        <f t="shared" si="16"/>
        <v>55765.190202745493</v>
      </c>
      <c r="G223" s="35">
        <f>+'A) Base RI'!AM225</f>
        <v>72</v>
      </c>
      <c r="H223" s="299">
        <f t="shared" si="17"/>
        <v>1.058821431017217</v>
      </c>
      <c r="I223" s="59">
        <f t="shared" si="18"/>
        <v>59045.378491418276</v>
      </c>
    </row>
    <row r="224" spans="1:9" x14ac:dyDescent="0.25">
      <c r="A224" s="51">
        <f>'A) Base RI'!A226</f>
        <v>5757</v>
      </c>
      <c r="B224" s="34" t="str">
        <f>'A) Base RI'!B226</f>
        <v>Orbe</v>
      </c>
      <c r="C224" s="101">
        <f>'A) Base RI'!AN226</f>
        <v>6985</v>
      </c>
      <c r="D224" s="117">
        <f>'D) Ecrêtage'!N224</f>
        <v>29.485031059134144</v>
      </c>
      <c r="E224" s="36">
        <f t="shared" si="15"/>
        <v>15.307761745489238</v>
      </c>
      <c r="F224" s="298">
        <f t="shared" si="16"/>
        <v>2222964.8413207177</v>
      </c>
      <c r="G224" s="35">
        <f>+'A) Base RI'!AM226</f>
        <v>77</v>
      </c>
      <c r="H224" s="299">
        <f t="shared" si="17"/>
        <v>1.1323506970600794</v>
      </c>
      <c r="I224" s="59">
        <f t="shared" si="18"/>
        <v>2517175.7876095637</v>
      </c>
    </row>
    <row r="225" spans="1:9" x14ac:dyDescent="0.25">
      <c r="A225" s="51">
        <f>'A) Base RI'!A227</f>
        <v>5758</v>
      </c>
      <c r="B225" s="34" t="str">
        <f>'A) Base RI'!B227</f>
        <v>La Praz</v>
      </c>
      <c r="C225" s="101">
        <f>'A) Base RI'!AN227</f>
        <v>160</v>
      </c>
      <c r="D225" s="117">
        <f>'D) Ecrêtage'!N225</f>
        <v>20.188539407630522</v>
      </c>
      <c r="E225" s="36">
        <f t="shared" si="15"/>
        <v>24.60425339699286</v>
      </c>
      <c r="F225" s="298">
        <f t="shared" si="16"/>
        <v>88221.010980257604</v>
      </c>
      <c r="G225" s="35">
        <f>+'A) Base RI'!AM227</f>
        <v>83</v>
      </c>
      <c r="H225" s="299">
        <f t="shared" si="17"/>
        <v>1.220585816311514</v>
      </c>
      <c r="I225" s="59">
        <f t="shared" si="18"/>
        <v>107681.31470316477</v>
      </c>
    </row>
    <row r="226" spans="1:9" x14ac:dyDescent="0.25">
      <c r="A226" s="51">
        <f>'A) Base RI'!A228</f>
        <v>5759</v>
      </c>
      <c r="B226" s="34" t="str">
        <f>'A) Base RI'!B228</f>
        <v>Premier</v>
      </c>
      <c r="C226" s="101">
        <f>'A) Base RI'!AN228</f>
        <v>210</v>
      </c>
      <c r="D226" s="117">
        <f>'D) Ecrêtage'!N226</f>
        <v>22.536717813051148</v>
      </c>
      <c r="E226" s="36">
        <f t="shared" si="15"/>
        <v>22.256074991572234</v>
      </c>
      <c r="F226" s="298">
        <f t="shared" si="16"/>
        <v>102215.47561379382</v>
      </c>
      <c r="G226" s="35">
        <f>+'A) Base RI'!AM228</f>
        <v>81</v>
      </c>
      <c r="H226" s="299">
        <f t="shared" si="17"/>
        <v>1.1911741098943691</v>
      </c>
      <c r="I226" s="59">
        <f t="shared" si="18"/>
        <v>121756.42818169045</v>
      </c>
    </row>
    <row r="227" spans="1:9" x14ac:dyDescent="0.25">
      <c r="A227" s="51">
        <f>'A) Base RI'!A229</f>
        <v>5760</v>
      </c>
      <c r="B227" s="34" t="str">
        <f>'A) Base RI'!B229</f>
        <v>Rances</v>
      </c>
      <c r="C227" s="101">
        <f>'A) Base RI'!AN229</f>
        <v>485</v>
      </c>
      <c r="D227" s="117">
        <f>'D) Ecrêtage'!N227</f>
        <v>21.585360824742263</v>
      </c>
      <c r="E227" s="36">
        <f t="shared" si="15"/>
        <v>23.207431979881118</v>
      </c>
      <c r="F227" s="298">
        <f t="shared" si="16"/>
        <v>237043.03098570378</v>
      </c>
      <c r="G227" s="35">
        <f>+'A) Base RI'!AM229</f>
        <v>78</v>
      </c>
      <c r="H227" s="299">
        <f t="shared" si="17"/>
        <v>1.1470565502686518</v>
      </c>
      <c r="I227" s="59">
        <f t="shared" si="18"/>
        <v>271901.76138768654</v>
      </c>
    </row>
    <row r="228" spans="1:9" x14ac:dyDescent="0.25">
      <c r="A228" s="51">
        <f>'A) Base RI'!A230</f>
        <v>5761</v>
      </c>
      <c r="B228" s="34" t="str">
        <f>'A) Base RI'!B230</f>
        <v>Romainmôtier-Envy</v>
      </c>
      <c r="C228" s="101">
        <f>'A) Base RI'!AN230</f>
        <v>551</v>
      </c>
      <c r="D228" s="117">
        <f>'D) Ecrêtage'!N228</f>
        <v>23.397456232011589</v>
      </c>
      <c r="E228" s="36">
        <f t="shared" si="15"/>
        <v>21.395336572611793</v>
      </c>
      <c r="F228" s="298">
        <f t="shared" si="16"/>
        <v>257821.72197450401</v>
      </c>
      <c r="G228" s="35">
        <f>+'A) Base RI'!AM230</f>
        <v>81</v>
      </c>
      <c r="H228" s="299">
        <f t="shared" si="17"/>
        <v>1.1911741098943691</v>
      </c>
      <c r="I228" s="59">
        <f t="shared" si="18"/>
        <v>307110.56018441333</v>
      </c>
    </row>
    <row r="229" spans="1:9" x14ac:dyDescent="0.25">
      <c r="A229" s="51">
        <f>'A) Base RI'!A231</f>
        <v>5762</v>
      </c>
      <c r="B229" s="34" t="str">
        <f>'A) Base RI'!B231</f>
        <v>Sergey</v>
      </c>
      <c r="C229" s="101">
        <f>'A) Base RI'!AN231</f>
        <v>137</v>
      </c>
      <c r="D229" s="117">
        <f>'D) Ecrêtage'!N229</f>
        <v>29.488030132884152</v>
      </c>
      <c r="E229" s="36">
        <f t="shared" si="15"/>
        <v>15.30476267173923</v>
      </c>
      <c r="F229" s="298">
        <f t="shared" si="16"/>
        <v>44157.607355755463</v>
      </c>
      <c r="G229" s="35">
        <f>+'A) Base RI'!AM231</f>
        <v>78</v>
      </c>
      <c r="H229" s="299">
        <f t="shared" si="17"/>
        <v>1.1470565502686518</v>
      </c>
      <c r="I229" s="59">
        <f t="shared" si="18"/>
        <v>50651.272761610504</v>
      </c>
    </row>
    <row r="230" spans="1:9" x14ac:dyDescent="0.25">
      <c r="A230" s="51">
        <f>'A) Base RI'!A232</f>
        <v>5763</v>
      </c>
      <c r="B230" s="34" t="str">
        <f>'A) Base RI'!B232</f>
        <v>Valeyres-sous-Rances</v>
      </c>
      <c r="C230" s="101">
        <f>'A) Base RI'!AN232</f>
        <v>631</v>
      </c>
      <c r="D230" s="117">
        <f>'D) Ecrêtage'!N230</f>
        <v>31.777427282701453</v>
      </c>
      <c r="E230" s="36">
        <f t="shared" si="15"/>
        <v>13.015365521921929</v>
      </c>
      <c r="F230" s="298">
        <f t="shared" si="16"/>
        <v>144132.80855803954</v>
      </c>
      <c r="G230" s="35">
        <f>+'A) Base RI'!AM232</f>
        <v>65</v>
      </c>
      <c r="H230" s="299">
        <f t="shared" si="17"/>
        <v>0.95588045855720982</v>
      </c>
      <c r="I230" s="59">
        <f t="shared" si="18"/>
        <v>137773.73513759737</v>
      </c>
    </row>
    <row r="231" spans="1:9" x14ac:dyDescent="0.25">
      <c r="A231" s="51">
        <f>'A) Base RI'!A233</f>
        <v>5764</v>
      </c>
      <c r="B231" s="34" t="str">
        <f>'A) Base RI'!B233</f>
        <v>Vallorbe</v>
      </c>
      <c r="C231" s="101">
        <f>'A) Base RI'!AN233</f>
        <v>3851</v>
      </c>
      <c r="D231" s="117">
        <f>'D) Ecrêtage'!N231</f>
        <v>21.64795335138</v>
      </c>
      <c r="E231" s="36">
        <f t="shared" si="15"/>
        <v>23.144839453243382</v>
      </c>
      <c r="F231" s="298">
        <f t="shared" si="16"/>
        <v>1756767.6094358177</v>
      </c>
      <c r="G231" s="35">
        <f>+'A) Base RI'!AM233</f>
        <v>73</v>
      </c>
      <c r="H231" s="299">
        <f t="shared" si="17"/>
        <v>1.0735272842257895</v>
      </c>
      <c r="I231" s="59">
        <f t="shared" si="18"/>
        <v>1885937.9607734657</v>
      </c>
    </row>
    <row r="232" spans="1:9" x14ac:dyDescent="0.25">
      <c r="A232" s="51">
        <f>'A) Base RI'!A234</f>
        <v>5765</v>
      </c>
      <c r="B232" s="34" t="str">
        <f>'A) Base RI'!B234</f>
        <v>Vaulion</v>
      </c>
      <c r="C232" s="101">
        <f>'A) Base RI'!AN234</f>
        <v>482</v>
      </c>
      <c r="D232" s="117">
        <f>'D) Ecrêtage'!N232</f>
        <v>19.891417704011062</v>
      </c>
      <c r="E232" s="36">
        <f t="shared" si="15"/>
        <v>24.90137510061232</v>
      </c>
      <c r="F232" s="298">
        <f t="shared" si="16"/>
        <v>262493.86140308873</v>
      </c>
      <c r="G232" s="35">
        <f>+'A) Base RI'!AM234</f>
        <v>81</v>
      </c>
      <c r="H232" s="299">
        <f t="shared" si="17"/>
        <v>1.1911741098943691</v>
      </c>
      <c r="I232" s="59">
        <f t="shared" si="18"/>
        <v>312675.89170956012</v>
      </c>
    </row>
    <row r="233" spans="1:9" x14ac:dyDescent="0.25">
      <c r="A233" s="51">
        <f>'A) Base RI'!A235</f>
        <v>5766</v>
      </c>
      <c r="B233" s="34" t="str">
        <f>'A) Base RI'!B235</f>
        <v>Vuiteboeuf</v>
      </c>
      <c r="C233" s="101">
        <f>'A) Base RI'!AN235</f>
        <v>574</v>
      </c>
      <c r="D233" s="117">
        <f>'D) Ecrêtage'!N233</f>
        <v>22.734403140413594</v>
      </c>
      <c r="E233" s="36">
        <f t="shared" si="15"/>
        <v>22.058389664209788</v>
      </c>
      <c r="F233" s="298">
        <f t="shared" si="16"/>
        <v>263232.91072226095</v>
      </c>
      <c r="G233" s="35">
        <f>+'A) Base RI'!AM235</f>
        <v>77</v>
      </c>
      <c r="H233" s="299">
        <f t="shared" si="17"/>
        <v>1.1323506970600794</v>
      </c>
      <c r="I233" s="59">
        <f t="shared" si="18"/>
        <v>298071.96994550584</v>
      </c>
    </row>
    <row r="234" spans="1:9" x14ac:dyDescent="0.25">
      <c r="A234" s="51">
        <f>'A) Base RI'!A236</f>
        <v>5785</v>
      </c>
      <c r="B234" s="34" t="str">
        <f>'A) Base RI'!B236</f>
        <v>Corcelles-le-Jorat</v>
      </c>
      <c r="C234" s="101">
        <f>'A) Base RI'!AN236</f>
        <v>460</v>
      </c>
      <c r="D234" s="117">
        <f>'D) Ecrêtage'!N234</f>
        <v>33.180968944099384</v>
      </c>
      <c r="E234" s="36">
        <f t="shared" si="15"/>
        <v>11.611823860523998</v>
      </c>
      <c r="F234" s="298">
        <f t="shared" si="16"/>
        <v>111048.5163077352</v>
      </c>
      <c r="G234" s="35">
        <f>+'A) Base RI'!AM236</f>
        <v>77</v>
      </c>
      <c r="H234" s="299">
        <f t="shared" si="17"/>
        <v>1.1323506970600794</v>
      </c>
      <c r="I234" s="59">
        <f t="shared" si="18"/>
        <v>125745.86484855156</v>
      </c>
    </row>
    <row r="235" spans="1:9" x14ac:dyDescent="0.25">
      <c r="A235" s="51">
        <f>'A) Base RI'!A237</f>
        <v>5788</v>
      </c>
      <c r="B235" s="34" t="str">
        <f>'A) Base RI'!B237</f>
        <v>Essertes</v>
      </c>
      <c r="C235" s="101">
        <f>'A) Base RI'!AN237</f>
        <v>346</v>
      </c>
      <c r="D235" s="117">
        <f>'D) Ecrêtage'!N235</f>
        <v>33.413675337186902</v>
      </c>
      <c r="E235" s="36">
        <f t="shared" si="15"/>
        <v>11.37911746743648</v>
      </c>
      <c r="F235" s="298">
        <f t="shared" si="16"/>
        <v>76538.675074169951</v>
      </c>
      <c r="G235" s="35">
        <f>+'A) Base RI'!AM237</f>
        <v>72</v>
      </c>
      <c r="H235" s="299">
        <f t="shared" si="17"/>
        <v>1.058821431017217</v>
      </c>
      <c r="I235" s="59">
        <f t="shared" si="18"/>
        <v>81040.789470194431</v>
      </c>
    </row>
    <row r="236" spans="1:9" x14ac:dyDescent="0.25">
      <c r="A236" s="51">
        <f>'A) Base RI'!A238</f>
        <v>5790</v>
      </c>
      <c r="B236" s="34" t="str">
        <f>'A) Base RI'!B238</f>
        <v>Maracon</v>
      </c>
      <c r="C236" s="101">
        <f>'A) Base RI'!AN238</f>
        <v>477</v>
      </c>
      <c r="D236" s="117">
        <f>'D) Ecrêtage'!N236</f>
        <v>25.38533956747214</v>
      </c>
      <c r="E236" s="36">
        <f t="shared" si="15"/>
        <v>19.407453237151241</v>
      </c>
      <c r="F236" s="298">
        <f t="shared" si="16"/>
        <v>189960.92858336587</v>
      </c>
      <c r="G236" s="35">
        <f>+'A) Base RI'!AM238</f>
        <v>76</v>
      </c>
      <c r="H236" s="299">
        <f t="shared" si="17"/>
        <v>1.1176448438515068</v>
      </c>
      <c r="I236" s="59">
        <f t="shared" si="18"/>
        <v>212308.85236444316</v>
      </c>
    </row>
    <row r="237" spans="1:9" x14ac:dyDescent="0.25">
      <c r="A237" s="51">
        <f>'A) Base RI'!A239</f>
        <v>5792</v>
      </c>
      <c r="B237" s="34" t="str">
        <f>'A) Base RI'!B239</f>
        <v>Montpreveyres</v>
      </c>
      <c r="C237" s="101">
        <f>'A) Base RI'!AN239</f>
        <v>648</v>
      </c>
      <c r="D237" s="117">
        <f>'D) Ecrêtage'!N237</f>
        <v>27.042209796376465</v>
      </c>
      <c r="E237" s="36">
        <f t="shared" si="15"/>
        <v>17.750583008246917</v>
      </c>
      <c r="F237" s="298">
        <f t="shared" si="16"/>
        <v>239134.43424046182</v>
      </c>
      <c r="G237" s="35">
        <f>+'A) Base RI'!AM239</f>
        <v>77</v>
      </c>
      <c r="H237" s="299">
        <f t="shared" si="17"/>
        <v>1.1323506970600794</v>
      </c>
      <c r="I237" s="59">
        <f t="shared" si="18"/>
        <v>270784.04330325464</v>
      </c>
    </row>
    <row r="238" spans="1:9" x14ac:dyDescent="0.25">
      <c r="A238" s="51">
        <f>'A) Base RI'!A240</f>
        <v>5798</v>
      </c>
      <c r="B238" s="34" t="str">
        <f>'A) Base RI'!B240</f>
        <v>Ropraz</v>
      </c>
      <c r="C238" s="101">
        <f>'A) Base RI'!AN240</f>
        <v>450</v>
      </c>
      <c r="D238" s="117">
        <f>'D) Ecrêtage'!N238</f>
        <v>31.323645878136208</v>
      </c>
      <c r="E238" s="36">
        <f t="shared" si="15"/>
        <v>13.469146926487173</v>
      </c>
      <c r="F238" s="298">
        <f t="shared" si="16"/>
        <v>126828.85474653485</v>
      </c>
      <c r="G238" s="35">
        <f>+'A) Base RI'!AM240</f>
        <v>77.5</v>
      </c>
      <c r="H238" s="299">
        <f t="shared" si="17"/>
        <v>1.1397036236643656</v>
      </c>
      <c r="I238" s="59">
        <f t="shared" si="18"/>
        <v>144547.30533982726</v>
      </c>
    </row>
    <row r="239" spans="1:9" x14ac:dyDescent="0.25">
      <c r="A239" s="51">
        <f>'A) Base RI'!A241</f>
        <v>5799</v>
      </c>
      <c r="B239" s="34" t="str">
        <f>'A) Base RI'!B241</f>
        <v>Servion</v>
      </c>
      <c r="C239" s="101">
        <f>'A) Base RI'!AN241</f>
        <v>1904</v>
      </c>
      <c r="D239" s="117">
        <f>'D) Ecrêtage'!N239</f>
        <v>34.528281040677136</v>
      </c>
      <c r="E239" s="36">
        <f t="shared" si="15"/>
        <v>10.264511763946246</v>
      </c>
      <c r="F239" s="298">
        <f t="shared" si="16"/>
        <v>364097.83432505454</v>
      </c>
      <c r="G239" s="35">
        <f>+'A) Base RI'!AM241</f>
        <v>69</v>
      </c>
      <c r="H239" s="299">
        <f t="shared" si="17"/>
        <v>1.0147038713914995</v>
      </c>
      <c r="I239" s="59">
        <f t="shared" si="18"/>
        <v>369451.48205489363</v>
      </c>
    </row>
    <row r="240" spans="1:9" x14ac:dyDescent="0.25">
      <c r="A240" s="51">
        <f>'A) Base RI'!A242</f>
        <v>5803</v>
      </c>
      <c r="B240" s="34" t="str">
        <f>'A) Base RI'!B242</f>
        <v>Vulliens</v>
      </c>
      <c r="C240" s="101">
        <f>'A) Base RI'!AN242</f>
        <v>515</v>
      </c>
      <c r="D240" s="117">
        <f>'D) Ecrêtage'!N240</f>
        <v>30.377403286034358</v>
      </c>
      <c r="E240" s="36">
        <f t="shared" si="15"/>
        <v>14.415389518589024</v>
      </c>
      <c r="F240" s="298">
        <f t="shared" si="16"/>
        <v>156347.87317966469</v>
      </c>
      <c r="G240" s="35">
        <f>+'A) Base RI'!AM242</f>
        <v>78</v>
      </c>
      <c r="H240" s="299">
        <f t="shared" si="17"/>
        <v>1.1470565502686518</v>
      </c>
      <c r="I240" s="59">
        <f t="shared" si="18"/>
        <v>179339.85205130687</v>
      </c>
    </row>
    <row r="241" spans="1:9" x14ac:dyDescent="0.25">
      <c r="A241" s="51">
        <f>'A) Base RI'!A243</f>
        <v>5804</v>
      </c>
      <c r="B241" s="34" t="str">
        <f>'A) Base RI'!B243</f>
        <v>Jorat-Menthue</v>
      </c>
      <c r="C241" s="101">
        <f>'A) Base RI'!AN243</f>
        <v>1532</v>
      </c>
      <c r="D241" s="117">
        <f>'D) Ecrêtage'!N241</f>
        <v>30.692529736002317</v>
      </c>
      <c r="E241" s="36">
        <f t="shared" si="15"/>
        <v>14.100263068621064</v>
      </c>
      <c r="F241" s="298">
        <f t="shared" si="16"/>
        <v>419935.16273071803</v>
      </c>
      <c r="G241" s="35">
        <f>+'A) Base RI'!AM243</f>
        <v>72</v>
      </c>
      <c r="H241" s="299">
        <f t="shared" si="17"/>
        <v>1.058821431017217</v>
      </c>
      <c r="I241" s="59">
        <f t="shared" si="18"/>
        <v>444636.34993698675</v>
      </c>
    </row>
    <row r="242" spans="1:9" x14ac:dyDescent="0.25">
      <c r="A242" s="51">
        <f>'A) Base RI'!A244</f>
        <v>5805</v>
      </c>
      <c r="B242" s="34" t="str">
        <f>'A) Base RI'!B244</f>
        <v>Oron</v>
      </c>
      <c r="C242" s="101">
        <f>'A) Base RI'!AN244</f>
        <v>5463</v>
      </c>
      <c r="D242" s="117">
        <f>'D) Ecrêtage'!N242</f>
        <v>27.166234780534609</v>
      </c>
      <c r="E242" s="36">
        <f t="shared" si="15"/>
        <v>17.626558024088773</v>
      </c>
      <c r="F242" s="298">
        <f t="shared" si="16"/>
        <v>1793955.1052266718</v>
      </c>
      <c r="G242" s="35">
        <f>+'A) Base RI'!AM244</f>
        <v>69</v>
      </c>
      <c r="H242" s="299">
        <f t="shared" si="17"/>
        <v>1.0147038713914995</v>
      </c>
      <c r="I242" s="59">
        <f t="shared" si="18"/>
        <v>1820333.1903760487</v>
      </c>
    </row>
    <row r="243" spans="1:9" x14ac:dyDescent="0.25">
      <c r="A243" s="51">
        <f>'A) Base RI'!A245</f>
        <v>5806</v>
      </c>
      <c r="B243" s="34" t="str">
        <f>'A) Base RI'!B245</f>
        <v>Jorat-Mézières</v>
      </c>
      <c r="C243" s="101">
        <f>'A) Base RI'!AN245</f>
        <v>2850</v>
      </c>
      <c r="D243" s="117">
        <f>'D) Ecrêtage'!N243</f>
        <v>30.261888688827323</v>
      </c>
      <c r="E243" s="36">
        <f t="shared" si="15"/>
        <v>14.530904115796059</v>
      </c>
      <c r="F243" s="298">
        <f t="shared" si="16"/>
        <v>849796.3344999851</v>
      </c>
      <c r="G243" s="35">
        <f>+'A) Base RI'!AM245</f>
        <v>76</v>
      </c>
      <c r="H243" s="299">
        <f t="shared" si="17"/>
        <v>1.1176448438515068</v>
      </c>
      <c r="I243" s="59">
        <f t="shared" si="18"/>
        <v>949770.49157781864</v>
      </c>
    </row>
    <row r="244" spans="1:9" x14ac:dyDescent="0.25">
      <c r="A244" s="51">
        <f>'A) Base RI'!A246</f>
        <v>5812</v>
      </c>
      <c r="B244" s="34" t="str">
        <f>'A) Base RI'!B246</f>
        <v>Champtauroz</v>
      </c>
      <c r="C244" s="101">
        <f>'A) Base RI'!AN246</f>
        <v>128</v>
      </c>
      <c r="D244" s="117">
        <f>'D) Ecrêtage'!N244</f>
        <v>18.858248275162335</v>
      </c>
      <c r="E244" s="36">
        <f t="shared" si="15"/>
        <v>25.934544529461046</v>
      </c>
      <c r="F244" s="298">
        <f t="shared" si="16"/>
        <v>69014.93513823938</v>
      </c>
      <c r="G244" s="35">
        <f>+'A) Base RI'!AM246</f>
        <v>77</v>
      </c>
      <c r="H244" s="299">
        <f t="shared" si="17"/>
        <v>1.1323506970600794</v>
      </c>
      <c r="I244" s="59">
        <f t="shared" si="18"/>
        <v>78149.109911341526</v>
      </c>
    </row>
    <row r="245" spans="1:9" x14ac:dyDescent="0.25">
      <c r="A245" s="51">
        <f>'A) Base RI'!A247</f>
        <v>5813</v>
      </c>
      <c r="B245" s="34" t="str">
        <f>'A) Base RI'!B247</f>
        <v>Chevroux</v>
      </c>
      <c r="C245" s="101">
        <f>'A) Base RI'!AN247</f>
        <v>470</v>
      </c>
      <c r="D245" s="117">
        <f>'D) Ecrêtage'!N245</f>
        <v>28.30520390070922</v>
      </c>
      <c r="E245" s="36">
        <f t="shared" si="15"/>
        <v>16.487588903914162</v>
      </c>
      <c r="F245" s="298">
        <f t="shared" si="16"/>
        <v>146459.25223346951</v>
      </c>
      <c r="G245" s="35">
        <f>+'A) Base RI'!AM247</f>
        <v>70</v>
      </c>
      <c r="H245" s="299">
        <f t="shared" si="17"/>
        <v>1.0294097246000722</v>
      </c>
      <c r="I245" s="59">
        <f t="shared" si="18"/>
        <v>150766.57850678836</v>
      </c>
    </row>
    <row r="246" spans="1:9" x14ac:dyDescent="0.25">
      <c r="A246" s="51">
        <f>'A) Base RI'!A248</f>
        <v>5816</v>
      </c>
      <c r="B246" s="34" t="str">
        <f>'A) Base RI'!B248</f>
        <v>Corcelles-près-Payerne</v>
      </c>
      <c r="C246" s="101">
        <f>'A) Base RI'!AN248</f>
        <v>2448</v>
      </c>
      <c r="D246" s="117">
        <f>'D) Ecrêtage'!N246</f>
        <v>23.674353310768755</v>
      </c>
      <c r="E246" s="36">
        <f t="shared" si="15"/>
        <v>21.118439493854627</v>
      </c>
      <c r="F246" s="298">
        <f t="shared" si="16"/>
        <v>1005007.9512857872</v>
      </c>
      <c r="G246" s="35">
        <f>+'A) Base RI'!AM248</f>
        <v>72</v>
      </c>
      <c r="H246" s="299">
        <f t="shared" si="17"/>
        <v>1.058821431017217</v>
      </c>
      <c r="I246" s="59">
        <f t="shared" si="18"/>
        <v>1064123.9571640987</v>
      </c>
    </row>
    <row r="247" spans="1:9" x14ac:dyDescent="0.25">
      <c r="A247" s="51">
        <f>'A) Base RI'!A249</f>
        <v>5817</v>
      </c>
      <c r="B247" s="34" t="str">
        <f>'A) Base RI'!B249</f>
        <v>Grandcour</v>
      </c>
      <c r="C247" s="101">
        <f>'A) Base RI'!AN249</f>
        <v>890</v>
      </c>
      <c r="D247" s="117">
        <f>'D) Ecrêtage'!N247</f>
        <v>24.998155890043105</v>
      </c>
      <c r="E247" s="36">
        <f t="shared" si="15"/>
        <v>19.794636914580277</v>
      </c>
      <c r="F247" s="298">
        <f t="shared" si="16"/>
        <v>378153.77442060446</v>
      </c>
      <c r="G247" s="35">
        <f>+'A) Base RI'!AM249</f>
        <v>79.5</v>
      </c>
      <c r="H247" s="299">
        <f t="shared" si="17"/>
        <v>1.1691153300815105</v>
      </c>
      <c r="I247" s="59">
        <f t="shared" si="18"/>
        <v>442105.37480331404</v>
      </c>
    </row>
    <row r="248" spans="1:9" x14ac:dyDescent="0.25">
      <c r="A248" s="51">
        <f>'A) Base RI'!A250</f>
        <v>5819</v>
      </c>
      <c r="B248" s="34" t="str">
        <f>'A) Base RI'!B250</f>
        <v>Henniez</v>
      </c>
      <c r="C248" s="101">
        <f>'A) Base RI'!AN250</f>
        <v>359</v>
      </c>
      <c r="D248" s="117">
        <f>'D) Ecrêtage'!N248</f>
        <v>41.431931290622096</v>
      </c>
      <c r="E248" s="36">
        <f t="shared" si="15"/>
        <v>3.3608615140012859</v>
      </c>
      <c r="F248" s="298">
        <f t="shared" si="16"/>
        <v>22478.013152097981</v>
      </c>
      <c r="G248" s="35">
        <f>+'A) Base RI'!AM250</f>
        <v>69</v>
      </c>
      <c r="H248" s="299">
        <f t="shared" si="17"/>
        <v>1.0147038713914995</v>
      </c>
      <c r="I248" s="59">
        <f t="shared" si="18"/>
        <v>22808.526966622863</v>
      </c>
    </row>
    <row r="249" spans="1:9" x14ac:dyDescent="0.25">
      <c r="A249" s="51">
        <f>'A) Base RI'!A251</f>
        <v>5821</v>
      </c>
      <c r="B249" s="34" t="str">
        <f>'A) Base RI'!B251</f>
        <v>Missy</v>
      </c>
      <c r="C249" s="101">
        <f>'A) Base RI'!AN251</f>
        <v>352</v>
      </c>
      <c r="D249" s="117">
        <f>'D) Ecrêtage'!N249</f>
        <v>21.70189591224748</v>
      </c>
      <c r="E249" s="36">
        <f t="shared" si="15"/>
        <v>23.090896892375902</v>
      </c>
      <c r="F249" s="298">
        <f t="shared" si="16"/>
        <v>158008.23652690122</v>
      </c>
      <c r="G249" s="35">
        <f>+'A) Base RI'!AM251</f>
        <v>72</v>
      </c>
      <c r="H249" s="299">
        <f t="shared" si="17"/>
        <v>1.058821431017217</v>
      </c>
      <c r="I249" s="59">
        <f t="shared" si="18"/>
        <v>167302.50711192045</v>
      </c>
    </row>
    <row r="250" spans="1:9" x14ac:dyDescent="0.25">
      <c r="A250" s="51">
        <f>'A) Base RI'!A252</f>
        <v>5822</v>
      </c>
      <c r="B250" s="34" t="str">
        <f>'A) Base RI'!B252</f>
        <v>Payerne</v>
      </c>
      <c r="C250" s="101">
        <f>'A) Base RI'!AN252</f>
        <v>9716</v>
      </c>
      <c r="D250" s="117">
        <f>'D) Ecrêtage'!N250</f>
        <v>25.35999261698916</v>
      </c>
      <c r="E250" s="36">
        <f t="shared" si="15"/>
        <v>19.432800187634221</v>
      </c>
      <c r="F250" s="298">
        <f t="shared" si="16"/>
        <v>3823384.0041168458</v>
      </c>
      <c r="G250" s="35">
        <f>+'A) Base RI'!AM252</f>
        <v>75</v>
      </c>
      <c r="H250" s="299">
        <f t="shared" si="17"/>
        <v>1.1029389906429343</v>
      </c>
      <c r="I250" s="59">
        <f t="shared" si="18"/>
        <v>4216959.2943409747</v>
      </c>
    </row>
    <row r="251" spans="1:9" x14ac:dyDescent="0.25">
      <c r="A251" s="51">
        <f>'A) Base RI'!A253</f>
        <v>5827</v>
      </c>
      <c r="B251" s="34" t="str">
        <f>'A) Base RI'!B253</f>
        <v>Trey</v>
      </c>
      <c r="C251" s="101">
        <f>'A) Base RI'!AN253</f>
        <v>268</v>
      </c>
      <c r="D251" s="117">
        <f>'D) Ecrêtage'!N251</f>
        <v>25.195027052238807</v>
      </c>
      <c r="E251" s="36">
        <f t="shared" si="15"/>
        <v>19.597765752384575</v>
      </c>
      <c r="F251" s="298">
        <f t="shared" si="16"/>
        <v>113447.54638740383</v>
      </c>
      <c r="G251" s="35">
        <f>+'A) Base RI'!AM253</f>
        <v>80</v>
      </c>
      <c r="H251" s="299">
        <f t="shared" si="17"/>
        <v>1.1764682566857967</v>
      </c>
      <c r="I251" s="59">
        <f t="shared" si="18"/>
        <v>133467.43712367004</v>
      </c>
    </row>
    <row r="252" spans="1:9" x14ac:dyDescent="0.25">
      <c r="A252" s="51">
        <f>'A) Base RI'!A254</f>
        <v>5828</v>
      </c>
      <c r="B252" s="34" t="str">
        <f>'A) Base RI'!B254</f>
        <v>Treytorrens (Payerne)</v>
      </c>
      <c r="C252" s="101">
        <f>'A) Base RI'!AN254</f>
        <v>122</v>
      </c>
      <c r="D252" s="117">
        <f>'D) Ecrêtage'!N252</f>
        <v>18.694337106427273</v>
      </c>
      <c r="E252" s="36">
        <f t="shared" si="15"/>
        <v>26.098455698196108</v>
      </c>
      <c r="F252" s="298">
        <f t="shared" si="16"/>
        <v>72213.382978680718</v>
      </c>
      <c r="G252" s="35">
        <f>+'A) Base RI'!AM254</f>
        <v>84</v>
      </c>
      <c r="H252" s="299">
        <f t="shared" si="17"/>
        <v>1.2352916695200864</v>
      </c>
      <c r="I252" s="59">
        <f t="shared" si="18"/>
        <v>89204.5904214279</v>
      </c>
    </row>
    <row r="253" spans="1:9" x14ac:dyDescent="0.25">
      <c r="A253" s="51">
        <f>'A) Base RI'!A255</f>
        <v>5830</v>
      </c>
      <c r="B253" s="34" t="str">
        <f>'A) Base RI'!B255</f>
        <v>Villarzel</v>
      </c>
      <c r="C253" s="101">
        <f>'A) Base RI'!AN255</f>
        <v>417</v>
      </c>
      <c r="D253" s="117">
        <f>'D) Ecrêtage'!N253</f>
        <v>25.234611601857754</v>
      </c>
      <c r="E253" s="36">
        <f t="shared" si="15"/>
        <v>19.558181202765628</v>
      </c>
      <c r="F253" s="298">
        <f t="shared" si="16"/>
        <v>173962.39410793118</v>
      </c>
      <c r="G253" s="35">
        <f>+'A) Base RI'!AM255</f>
        <v>79</v>
      </c>
      <c r="H253" s="299">
        <f t="shared" si="17"/>
        <v>1.1617624034772243</v>
      </c>
      <c r="I253" s="59">
        <f t="shared" si="18"/>
        <v>202102.96909348224</v>
      </c>
    </row>
    <row r="254" spans="1:9" x14ac:dyDescent="0.25">
      <c r="A254" s="51">
        <f>'A) Base RI'!A256</f>
        <v>5831</v>
      </c>
      <c r="B254" s="34" t="str">
        <f>'A) Base RI'!B256</f>
        <v>Valbroye</v>
      </c>
      <c r="C254" s="101">
        <f>'A) Base RI'!AN256</f>
        <v>3035</v>
      </c>
      <c r="D254" s="117">
        <f>'D) Ecrêtage'!N254</f>
        <v>27.288826657037763</v>
      </c>
      <c r="E254" s="36">
        <f t="shared" si="15"/>
        <v>17.503966147585619</v>
      </c>
      <c r="F254" s="298">
        <f t="shared" si="16"/>
        <v>1047084.6293536497</v>
      </c>
      <c r="G254" s="35">
        <f>+'A) Base RI'!AM256</f>
        <v>73</v>
      </c>
      <c r="H254" s="299">
        <f t="shared" si="17"/>
        <v>1.0735272842257895</v>
      </c>
      <c r="I254" s="59">
        <f t="shared" si="18"/>
        <v>1124073.9185045909</v>
      </c>
    </row>
    <row r="255" spans="1:9" x14ac:dyDescent="0.25">
      <c r="A255" s="51">
        <f>'A) Base RI'!A257</f>
        <v>5841</v>
      </c>
      <c r="B255" s="34" t="str">
        <f>'A) Base RI'!B257</f>
        <v>Château-d'Oex</v>
      </c>
      <c r="C255" s="101">
        <f>'A) Base RI'!AN257</f>
        <v>3433</v>
      </c>
      <c r="D255" s="117">
        <f>'D) Ecrêtage'!N255</f>
        <v>32.805045150014564</v>
      </c>
      <c r="E255" s="36">
        <f t="shared" si="15"/>
        <v>11.987747654608818</v>
      </c>
      <c r="F255" s="298">
        <f t="shared" si="16"/>
        <v>922259.74381827726</v>
      </c>
      <c r="G255" s="35">
        <f>+'A) Base RI'!AM257</f>
        <v>83</v>
      </c>
      <c r="H255" s="299">
        <f t="shared" si="17"/>
        <v>1.220585816311514</v>
      </c>
      <c r="I255" s="59">
        <f t="shared" si="18"/>
        <v>1125697.1622596798</v>
      </c>
    </row>
    <row r="256" spans="1:9" x14ac:dyDescent="0.25">
      <c r="A256" s="51">
        <f>'A) Base RI'!A258</f>
        <v>5842</v>
      </c>
      <c r="B256" s="34" t="str">
        <f>'A) Base RI'!B258</f>
        <v>Rossinière</v>
      </c>
      <c r="C256" s="101">
        <f>'A) Base RI'!AN258</f>
        <v>545</v>
      </c>
      <c r="D256" s="117">
        <f>'D) Ecrêtage'!N256</f>
        <v>22.994800845697892</v>
      </c>
      <c r="E256" s="36">
        <f t="shared" si="15"/>
        <v>21.79799195892549</v>
      </c>
      <c r="F256" s="298">
        <f t="shared" si="16"/>
        <v>259813.53585722676</v>
      </c>
      <c r="G256" s="35">
        <f>+'A) Base RI'!AM258</f>
        <v>81</v>
      </c>
      <c r="H256" s="299">
        <f t="shared" si="17"/>
        <v>1.1911741098943691</v>
      </c>
      <c r="I256" s="59">
        <f t="shared" si="18"/>
        <v>309483.15731324081</v>
      </c>
    </row>
    <row r="257" spans="1:9" x14ac:dyDescent="0.25">
      <c r="A257" s="51">
        <f>'A) Base RI'!A259</f>
        <v>5843</v>
      </c>
      <c r="B257" s="34" t="str">
        <f>'A) Base RI'!B259</f>
        <v>Rougemont</v>
      </c>
      <c r="C257" s="101">
        <f>'A) Base RI'!AN259</f>
        <v>882</v>
      </c>
      <c r="D257" s="117">
        <f>'D) Ecrêtage'!N257</f>
        <v>86.908805516445184</v>
      </c>
      <c r="E257" s="36">
        <f t="shared" si="15"/>
        <v>0</v>
      </c>
      <c r="F257" s="298">
        <f t="shared" si="16"/>
        <v>0</v>
      </c>
      <c r="G257" s="35">
        <f>+'A) Base RI'!AM259</f>
        <v>74</v>
      </c>
      <c r="H257" s="299">
        <f t="shared" si="17"/>
        <v>1.0882331374343619</v>
      </c>
      <c r="I257" s="59">
        <f t="shared" si="18"/>
        <v>0</v>
      </c>
    </row>
    <row r="258" spans="1:9" x14ac:dyDescent="0.25">
      <c r="A258" s="51">
        <f>'A) Base RI'!A260</f>
        <v>5851</v>
      </c>
      <c r="B258" s="34" t="str">
        <f>'A) Base RI'!B260</f>
        <v>Allaman</v>
      </c>
      <c r="C258" s="101">
        <f>'A) Base RI'!AN260</f>
        <v>442</v>
      </c>
      <c r="D258" s="117">
        <f>'D) Ecrêtage'!N258</f>
        <v>62.611360613565338</v>
      </c>
      <c r="E258" s="36">
        <f t="shared" si="15"/>
        <v>0</v>
      </c>
      <c r="F258" s="298">
        <f t="shared" si="16"/>
        <v>0</v>
      </c>
      <c r="G258" s="35">
        <f>+'A) Base RI'!AM260</f>
        <v>62</v>
      </c>
      <c r="H258" s="299">
        <f t="shared" si="17"/>
        <v>0.91176289893149243</v>
      </c>
      <c r="I258" s="59">
        <f t="shared" si="18"/>
        <v>0</v>
      </c>
    </row>
    <row r="259" spans="1:9" x14ac:dyDescent="0.25">
      <c r="A259" s="51">
        <f>'A) Base RI'!A261</f>
        <v>5852</v>
      </c>
      <c r="B259" s="34" t="str">
        <f>'A) Base RI'!B261</f>
        <v>Bursinel</v>
      </c>
      <c r="C259" s="101">
        <f>'A) Base RI'!AN261</f>
        <v>488</v>
      </c>
      <c r="D259" s="117">
        <f>'D) Ecrêtage'!N259</f>
        <v>73.212582864552758</v>
      </c>
      <c r="E259" s="36">
        <f t="shared" si="15"/>
        <v>0</v>
      </c>
      <c r="F259" s="298">
        <f t="shared" si="16"/>
        <v>0</v>
      </c>
      <c r="G259" s="35">
        <f>+'A) Base RI'!AM261</f>
        <v>65.5</v>
      </c>
      <c r="H259" s="299">
        <f t="shared" si="17"/>
        <v>0.96323338516149604</v>
      </c>
      <c r="I259" s="59">
        <f t="shared" si="18"/>
        <v>0</v>
      </c>
    </row>
    <row r="260" spans="1:9" x14ac:dyDescent="0.25">
      <c r="A260" s="51">
        <f>'A) Base RI'!A262</f>
        <v>5853</v>
      </c>
      <c r="B260" s="34" t="str">
        <f>'A) Base RI'!B262</f>
        <v>Bursins</v>
      </c>
      <c r="C260" s="101">
        <f>'A) Base RI'!AN262</f>
        <v>745</v>
      </c>
      <c r="D260" s="117">
        <f>'D) Ecrêtage'!N260</f>
        <v>48.496700822383964</v>
      </c>
      <c r="E260" s="36">
        <f t="shared" si="15"/>
        <v>0</v>
      </c>
      <c r="F260" s="298">
        <f t="shared" si="16"/>
        <v>0</v>
      </c>
      <c r="G260" s="35">
        <f>+'A) Base RI'!AM262</f>
        <v>71</v>
      </c>
      <c r="H260" s="299">
        <f t="shared" si="17"/>
        <v>1.0441155778086446</v>
      </c>
      <c r="I260" s="59">
        <f t="shared" si="18"/>
        <v>0</v>
      </c>
    </row>
    <row r="261" spans="1:9" x14ac:dyDescent="0.25">
      <c r="A261" s="51">
        <f>'A) Base RI'!A263</f>
        <v>5854</v>
      </c>
      <c r="B261" s="34" t="str">
        <f>'A) Base RI'!B263</f>
        <v>Burtigny</v>
      </c>
      <c r="C261" s="101">
        <f>'A) Base RI'!AN263</f>
        <v>361</v>
      </c>
      <c r="D261" s="117">
        <f>'D) Ecrêtage'!N261</f>
        <v>28.201784048938137</v>
      </c>
      <c r="E261" s="36">
        <f t="shared" si="15"/>
        <v>16.591008755685245</v>
      </c>
      <c r="F261" s="298">
        <f t="shared" si="16"/>
        <v>129370.04987333127</v>
      </c>
      <c r="G261" s="35">
        <f>+'A) Base RI'!AM263</f>
        <v>80</v>
      </c>
      <c r="H261" s="299">
        <f t="shared" si="17"/>
        <v>1.1764682566857967</v>
      </c>
      <c r="I261" s="59">
        <f t="shared" si="18"/>
        <v>152199.75704183261</v>
      </c>
    </row>
    <row r="262" spans="1:9" x14ac:dyDescent="0.25">
      <c r="A262" s="51">
        <f>'A) Base RI'!A264</f>
        <v>5855</v>
      </c>
      <c r="B262" s="34" t="str">
        <f>'A) Base RI'!B264</f>
        <v>Dully</v>
      </c>
      <c r="C262" s="101">
        <f>'A) Base RI'!AN264</f>
        <v>640</v>
      </c>
      <c r="D262" s="117">
        <f>'D) Ecrêtage'!N262</f>
        <v>101.46254006000788</v>
      </c>
      <c r="E262" s="36">
        <f t="shared" ref="E262:E313" si="19">IF($D$314-D262&lt;0,0,$D$314-D262)</f>
        <v>0</v>
      </c>
      <c r="F262" s="298">
        <f t="shared" ref="F262:F313" si="20">(C262*E262*G262)*$E$4</f>
        <v>0</v>
      </c>
      <c r="G262" s="35">
        <f>+'A) Base RI'!AM264</f>
        <v>49</v>
      </c>
      <c r="H262" s="299">
        <f t="shared" ref="H262:H313" si="21">G262/$G$314</f>
        <v>0.72058680722005042</v>
      </c>
      <c r="I262" s="59">
        <f t="shared" ref="I262:I313" si="22">F262*H262</f>
        <v>0</v>
      </c>
    </row>
    <row r="263" spans="1:9" x14ac:dyDescent="0.25">
      <c r="A263" s="51">
        <f>'A) Base RI'!A265</f>
        <v>5856</v>
      </c>
      <c r="B263" s="34" t="str">
        <f>'A) Base RI'!B265</f>
        <v>Essertines-sur-Rolle</v>
      </c>
      <c r="C263" s="101">
        <f>'A) Base RI'!AN265</f>
        <v>696</v>
      </c>
      <c r="D263" s="117">
        <f>'D) Ecrêtage'!N263</f>
        <v>49.361433726010318</v>
      </c>
      <c r="E263" s="36">
        <f t="shared" si="19"/>
        <v>0</v>
      </c>
      <c r="F263" s="298">
        <f t="shared" si="20"/>
        <v>0</v>
      </c>
      <c r="G263" s="35">
        <f>+'A) Base RI'!AM265</f>
        <v>68</v>
      </c>
      <c r="H263" s="299">
        <f t="shared" si="21"/>
        <v>0.99999801818292722</v>
      </c>
      <c r="I263" s="59">
        <f t="shared" si="22"/>
        <v>0</v>
      </c>
    </row>
    <row r="264" spans="1:9" x14ac:dyDescent="0.25">
      <c r="A264" s="51">
        <f>'A) Base RI'!A266</f>
        <v>5857</v>
      </c>
      <c r="B264" s="34" t="str">
        <f>'A) Base RI'!B266</f>
        <v>Gilly</v>
      </c>
      <c r="C264" s="101">
        <f>'A) Base RI'!AN266</f>
        <v>1294</v>
      </c>
      <c r="D264" s="117">
        <f>'D) Ecrêtage'!N264</f>
        <v>58.514472338170357</v>
      </c>
      <c r="E264" s="36">
        <f t="shared" si="19"/>
        <v>0</v>
      </c>
      <c r="F264" s="298">
        <f t="shared" si="20"/>
        <v>0</v>
      </c>
      <c r="G264" s="35">
        <f>+'A) Base RI'!AM266</f>
        <v>66</v>
      </c>
      <c r="H264" s="299">
        <f t="shared" si="21"/>
        <v>0.97058631176578225</v>
      </c>
      <c r="I264" s="59">
        <f t="shared" si="22"/>
        <v>0</v>
      </c>
    </row>
    <row r="265" spans="1:9" x14ac:dyDescent="0.25">
      <c r="A265" s="51">
        <f>'A) Base RI'!A267</f>
        <v>5858</v>
      </c>
      <c r="B265" s="34" t="str">
        <f>'A) Base RI'!B267</f>
        <v>Luins</v>
      </c>
      <c r="C265" s="101">
        <f>'A) Base RI'!AN267</f>
        <v>608</v>
      </c>
      <c r="D265" s="117">
        <f>'D) Ecrêtage'!N265</f>
        <v>56.126987204887847</v>
      </c>
      <c r="E265" s="36">
        <f t="shared" si="19"/>
        <v>0</v>
      </c>
      <c r="F265" s="298">
        <f t="shared" si="20"/>
        <v>0</v>
      </c>
      <c r="G265" s="35">
        <f>+'A) Base RI'!AM267</f>
        <v>60</v>
      </c>
      <c r="H265" s="299">
        <f t="shared" si="21"/>
        <v>0.88235119251434746</v>
      </c>
      <c r="I265" s="59">
        <f t="shared" si="22"/>
        <v>0</v>
      </c>
    </row>
    <row r="266" spans="1:9" x14ac:dyDescent="0.25">
      <c r="A266" s="51">
        <f>'A) Base RI'!A268</f>
        <v>5859</v>
      </c>
      <c r="B266" s="34" t="str">
        <f>'A) Base RI'!B268</f>
        <v>Mont-sur-Rolle</v>
      </c>
      <c r="C266" s="101">
        <f>'A) Base RI'!AN268</f>
        <v>2701</v>
      </c>
      <c r="D266" s="117">
        <f>'D) Ecrêtage'!N266</f>
        <v>50.680949185486853</v>
      </c>
      <c r="E266" s="36">
        <f t="shared" si="19"/>
        <v>0</v>
      </c>
      <c r="F266" s="298">
        <f t="shared" si="20"/>
        <v>0</v>
      </c>
      <c r="G266" s="35">
        <f>+'A) Base RI'!AM268</f>
        <v>64</v>
      </c>
      <c r="H266" s="299">
        <f t="shared" si="21"/>
        <v>0.94117460534863739</v>
      </c>
      <c r="I266" s="59">
        <f t="shared" si="22"/>
        <v>0</v>
      </c>
    </row>
    <row r="267" spans="1:9" x14ac:dyDescent="0.25">
      <c r="A267" s="51">
        <f>'A) Base RI'!A269</f>
        <v>5860</v>
      </c>
      <c r="B267" s="34" t="str">
        <f>'A) Base RI'!B269</f>
        <v>Perroy</v>
      </c>
      <c r="C267" s="101">
        <f>'A) Base RI'!AN269</f>
        <v>1514</v>
      </c>
      <c r="D267" s="117">
        <f>'D) Ecrêtage'!N267</f>
        <v>57.449184259054526</v>
      </c>
      <c r="E267" s="36">
        <f t="shared" si="19"/>
        <v>0</v>
      </c>
      <c r="F267" s="298">
        <f t="shared" si="20"/>
        <v>0</v>
      </c>
      <c r="G267" s="35">
        <f>+'A) Base RI'!AM269</f>
        <v>60</v>
      </c>
      <c r="H267" s="299">
        <f t="shared" si="21"/>
        <v>0.88235119251434746</v>
      </c>
      <c r="I267" s="59">
        <f t="shared" si="22"/>
        <v>0</v>
      </c>
    </row>
    <row r="268" spans="1:9" x14ac:dyDescent="0.25">
      <c r="A268" s="51">
        <f>'A) Base RI'!A270</f>
        <v>5861</v>
      </c>
      <c r="B268" s="34" t="str">
        <f>'A) Base RI'!B270</f>
        <v>Rolle</v>
      </c>
      <c r="C268" s="101">
        <f>'A) Base RI'!AN270</f>
        <v>6225</v>
      </c>
      <c r="D268" s="117">
        <f>'D) Ecrêtage'!N268</f>
        <v>107.72403373909364</v>
      </c>
      <c r="E268" s="36">
        <f t="shared" si="19"/>
        <v>0</v>
      </c>
      <c r="F268" s="298">
        <f t="shared" si="20"/>
        <v>0</v>
      </c>
      <c r="G268" s="35">
        <f>+'A) Base RI'!AM270</f>
        <v>59.5</v>
      </c>
      <c r="H268" s="299">
        <f t="shared" si="21"/>
        <v>0.87499826591006125</v>
      </c>
      <c r="I268" s="59">
        <f t="shared" si="22"/>
        <v>0</v>
      </c>
    </row>
    <row r="269" spans="1:9" x14ac:dyDescent="0.25">
      <c r="A269" s="51">
        <f>'A) Base RI'!A271</f>
        <v>5862</v>
      </c>
      <c r="B269" s="34" t="str">
        <f>'A) Base RI'!B271</f>
        <v>Tartegnin</v>
      </c>
      <c r="C269" s="101">
        <f>'A) Base RI'!AN271</f>
        <v>235</v>
      </c>
      <c r="D269" s="117">
        <f>'D) Ecrêtage'!N269</f>
        <v>45.233798441467471</v>
      </c>
      <c r="E269" s="36">
        <f t="shared" si="19"/>
        <v>0</v>
      </c>
      <c r="F269" s="298">
        <f t="shared" si="20"/>
        <v>0</v>
      </c>
      <c r="G269" s="35">
        <f>+'A) Base RI'!AM271</f>
        <v>81</v>
      </c>
      <c r="H269" s="299">
        <f t="shared" si="21"/>
        <v>1.1911741098943691</v>
      </c>
      <c r="I269" s="59">
        <f t="shared" si="22"/>
        <v>0</v>
      </c>
    </row>
    <row r="270" spans="1:9" x14ac:dyDescent="0.25">
      <c r="A270" s="51">
        <f>'A) Base RI'!A272</f>
        <v>5863</v>
      </c>
      <c r="B270" s="34" t="str">
        <f>'A) Base RI'!B272</f>
        <v>Vinzel</v>
      </c>
      <c r="C270" s="101">
        <f>'A) Base RI'!AN272</f>
        <v>371</v>
      </c>
      <c r="D270" s="117">
        <f>'D) Ecrêtage'!N270</f>
        <v>60.214799573282029</v>
      </c>
      <c r="E270" s="36">
        <f t="shared" si="19"/>
        <v>0</v>
      </c>
      <c r="F270" s="298">
        <f t="shared" si="20"/>
        <v>0</v>
      </c>
      <c r="G270" s="35">
        <f>+'A) Base RI'!AM272</f>
        <v>67</v>
      </c>
      <c r="H270" s="299">
        <f t="shared" si="21"/>
        <v>0.98529216497435468</v>
      </c>
      <c r="I270" s="59">
        <f t="shared" si="22"/>
        <v>0</v>
      </c>
    </row>
    <row r="271" spans="1:9" x14ac:dyDescent="0.25">
      <c r="A271" s="51">
        <f>'A) Base RI'!A273</f>
        <v>5871</v>
      </c>
      <c r="B271" s="34" t="str">
        <f>'A) Base RI'!B273</f>
        <v>L'Abbaye</v>
      </c>
      <c r="C271" s="101">
        <f>'A) Base RI'!AN273</f>
        <v>1492</v>
      </c>
      <c r="D271" s="117">
        <f>'D) Ecrêtage'!N271</f>
        <v>32.034036031755392</v>
      </c>
      <c r="E271" s="36">
        <f t="shared" si="19"/>
        <v>12.75875677286799</v>
      </c>
      <c r="F271" s="298">
        <f t="shared" si="20"/>
        <v>397301.71480893949</v>
      </c>
      <c r="G271" s="35">
        <f>+'A) Base RI'!AM273</f>
        <v>77.3</v>
      </c>
      <c r="H271" s="299">
        <f t="shared" si="21"/>
        <v>1.136762453022651</v>
      </c>
      <c r="I271" s="59">
        <f t="shared" si="22"/>
        <v>451637.67191631574</v>
      </c>
    </row>
    <row r="272" spans="1:9" x14ac:dyDescent="0.25">
      <c r="A272" s="51">
        <f>'A) Base RI'!A274</f>
        <v>5872</v>
      </c>
      <c r="B272" s="34" t="str">
        <f>'A) Base RI'!B274</f>
        <v>Le Chenit</v>
      </c>
      <c r="C272" s="101">
        <f>'A) Base RI'!AN274</f>
        <v>4612</v>
      </c>
      <c r="D272" s="117">
        <f>'D) Ecrêtage'!N272</f>
        <v>48.258213570383717</v>
      </c>
      <c r="E272" s="36">
        <f t="shared" si="19"/>
        <v>0</v>
      </c>
      <c r="F272" s="298">
        <f t="shared" si="20"/>
        <v>0</v>
      </c>
      <c r="G272" s="35">
        <f>+'A) Base RI'!AM274</f>
        <v>69.56</v>
      </c>
      <c r="H272" s="299">
        <f t="shared" si="21"/>
        <v>1.0229391491883002</v>
      </c>
      <c r="I272" s="59">
        <f t="shared" si="22"/>
        <v>0</v>
      </c>
    </row>
    <row r="273" spans="1:9" x14ac:dyDescent="0.25">
      <c r="A273" s="51">
        <f>'A) Base RI'!A275</f>
        <v>5873</v>
      </c>
      <c r="B273" s="34" t="str">
        <f>'A) Base RI'!B275</f>
        <v>Le Lieu</v>
      </c>
      <c r="C273" s="101">
        <f>'A) Base RI'!AN275</f>
        <v>869</v>
      </c>
      <c r="D273" s="117">
        <f>'D) Ecrêtage'!N273</f>
        <v>38.501713139181497</v>
      </c>
      <c r="E273" s="36">
        <f t="shared" si="19"/>
        <v>6.2910796654418846</v>
      </c>
      <c r="F273" s="298">
        <f t="shared" si="20"/>
        <v>95944.941423670913</v>
      </c>
      <c r="G273" s="35">
        <f>+'A) Base RI'!AM275</f>
        <v>65</v>
      </c>
      <c r="H273" s="299">
        <f t="shared" si="21"/>
        <v>0.95588045855720982</v>
      </c>
      <c r="I273" s="59">
        <f t="shared" si="22"/>
        <v>91711.89460430319</v>
      </c>
    </row>
    <row r="274" spans="1:9" x14ac:dyDescent="0.25">
      <c r="A274" s="51">
        <f>'A) Base RI'!A276</f>
        <v>5881</v>
      </c>
      <c r="B274" s="34" t="str">
        <f>'A) Base RI'!B276</f>
        <v>Blonay</v>
      </c>
      <c r="C274" s="101">
        <f>'A) Base RI'!AN276</f>
        <v>6183</v>
      </c>
      <c r="D274" s="117">
        <f>'D) Ecrêtage'!N274</f>
        <v>54.939681292021881</v>
      </c>
      <c r="E274" s="36">
        <f t="shared" si="19"/>
        <v>0</v>
      </c>
      <c r="F274" s="298">
        <f t="shared" si="20"/>
        <v>0</v>
      </c>
      <c r="G274" s="35">
        <f>+'A) Base RI'!AM276</f>
        <v>70</v>
      </c>
      <c r="H274" s="299">
        <f t="shared" si="21"/>
        <v>1.0294097246000722</v>
      </c>
      <c r="I274" s="59">
        <f t="shared" si="22"/>
        <v>0</v>
      </c>
    </row>
    <row r="275" spans="1:9" x14ac:dyDescent="0.25">
      <c r="A275" s="51">
        <f>'A) Base RI'!A277</f>
        <v>5882</v>
      </c>
      <c r="B275" s="34" t="str">
        <f>'A) Base RI'!B277</f>
        <v>Chardonne</v>
      </c>
      <c r="C275" s="101">
        <f>'A) Base RI'!AN277</f>
        <v>2921</v>
      </c>
      <c r="D275" s="117">
        <f>'D) Ecrêtage'!N275</f>
        <v>53.881129448013397</v>
      </c>
      <c r="E275" s="36">
        <f t="shared" si="19"/>
        <v>0</v>
      </c>
      <c r="F275" s="298">
        <f t="shared" si="20"/>
        <v>0</v>
      </c>
      <c r="G275" s="35">
        <f>+'A) Base RI'!AM277</f>
        <v>68</v>
      </c>
      <c r="H275" s="299">
        <f t="shared" si="21"/>
        <v>0.99999801818292722</v>
      </c>
      <c r="I275" s="59">
        <f t="shared" si="22"/>
        <v>0</v>
      </c>
    </row>
    <row r="276" spans="1:9" x14ac:dyDescent="0.25">
      <c r="A276" s="51">
        <f>'A) Base RI'!A278</f>
        <v>5883</v>
      </c>
      <c r="B276" s="34" t="str">
        <f>'A) Base RI'!B278</f>
        <v>Corseaux</v>
      </c>
      <c r="C276" s="101">
        <f>'A) Base RI'!AN278</f>
        <v>2289</v>
      </c>
      <c r="D276" s="117">
        <f>'D) Ecrêtage'!N276</f>
        <v>63.546602348393399</v>
      </c>
      <c r="E276" s="36">
        <f t="shared" si="19"/>
        <v>0</v>
      </c>
      <c r="F276" s="298">
        <f t="shared" si="20"/>
        <v>0</v>
      </c>
      <c r="G276" s="35">
        <f>+'A) Base RI'!AM278</f>
        <v>69</v>
      </c>
      <c r="H276" s="299">
        <f t="shared" si="21"/>
        <v>1.0147038713914995</v>
      </c>
      <c r="I276" s="59">
        <f t="shared" si="22"/>
        <v>0</v>
      </c>
    </row>
    <row r="277" spans="1:9" x14ac:dyDescent="0.25">
      <c r="A277" s="51">
        <f>'A) Base RI'!A279</f>
        <v>5884</v>
      </c>
      <c r="B277" s="34" t="str">
        <f>'A) Base RI'!B279</f>
        <v>Corsier-sur-Vevey</v>
      </c>
      <c r="C277" s="101">
        <f>'A) Base RI'!AN279</f>
        <v>3396</v>
      </c>
      <c r="D277" s="117">
        <f>'D) Ecrêtage'!N277</f>
        <v>38.850965500113034</v>
      </c>
      <c r="E277" s="36">
        <f t="shared" si="19"/>
        <v>5.9418273045103476</v>
      </c>
      <c r="F277" s="298">
        <f t="shared" si="20"/>
        <v>359579.89927540743</v>
      </c>
      <c r="G277" s="35">
        <f>+'A) Base RI'!AM279</f>
        <v>66</v>
      </c>
      <c r="H277" s="299">
        <f t="shared" si="21"/>
        <v>0.97058631176578225</v>
      </c>
      <c r="I277" s="59">
        <f t="shared" si="22"/>
        <v>349003.32822282915</v>
      </c>
    </row>
    <row r="278" spans="1:9" x14ac:dyDescent="0.25">
      <c r="A278" s="51">
        <f>'A) Base RI'!A280</f>
        <v>5885</v>
      </c>
      <c r="B278" s="34" t="str">
        <f>'A) Base RI'!B280</f>
        <v>Jongny</v>
      </c>
      <c r="C278" s="101">
        <f>'A) Base RI'!AN280</f>
        <v>1549</v>
      </c>
      <c r="D278" s="117">
        <f>'D) Ecrêtage'!N278</f>
        <v>59.51726551675911</v>
      </c>
      <c r="E278" s="36">
        <f t="shared" si="19"/>
        <v>0</v>
      </c>
      <c r="F278" s="298">
        <f t="shared" si="20"/>
        <v>0</v>
      </c>
      <c r="G278" s="35">
        <f>+'A) Base RI'!AM280</f>
        <v>71</v>
      </c>
      <c r="H278" s="299">
        <f t="shared" si="21"/>
        <v>1.0441155778086446</v>
      </c>
      <c r="I278" s="59">
        <f t="shared" si="22"/>
        <v>0</v>
      </c>
    </row>
    <row r="279" spans="1:9" x14ac:dyDescent="0.25">
      <c r="A279" s="51">
        <f>'A) Base RI'!A281</f>
        <v>5886</v>
      </c>
      <c r="B279" s="34" t="str">
        <f>'A) Base RI'!B281</f>
        <v>Montreux</v>
      </c>
      <c r="C279" s="101">
        <f>'A) Base RI'!AN281</f>
        <v>26653</v>
      </c>
      <c r="D279" s="117">
        <f>'D) Ecrêtage'!N279</f>
        <v>42.342794133916705</v>
      </c>
      <c r="E279" s="36">
        <f t="shared" si="19"/>
        <v>2.4499986707066768</v>
      </c>
      <c r="F279" s="298">
        <f t="shared" si="20"/>
        <v>1146011.7457095559</v>
      </c>
      <c r="G279" s="35">
        <f>+'A) Base RI'!AM281</f>
        <v>65</v>
      </c>
      <c r="H279" s="299">
        <f t="shared" si="21"/>
        <v>0.95588045855720982</v>
      </c>
      <c r="I279" s="59">
        <f t="shared" si="22"/>
        <v>1095450.2330007988</v>
      </c>
    </row>
    <row r="280" spans="1:9" x14ac:dyDescent="0.25">
      <c r="A280" s="51">
        <f>'A) Base RI'!A282</f>
        <v>5888</v>
      </c>
      <c r="B280" s="34" t="str">
        <f>'A) Base RI'!B282</f>
        <v>Saint-Légier-La Chiésaz</v>
      </c>
      <c r="C280" s="101">
        <f>'A) Base RI'!AN282</f>
        <v>5167</v>
      </c>
      <c r="D280" s="117">
        <f>'D) Ecrêtage'!N280</f>
        <v>56.626303185382994</v>
      </c>
      <c r="E280" s="36">
        <f t="shared" si="19"/>
        <v>0</v>
      </c>
      <c r="F280" s="298">
        <f t="shared" si="20"/>
        <v>0</v>
      </c>
      <c r="G280" s="35">
        <f>+'A) Base RI'!AM282</f>
        <v>67</v>
      </c>
      <c r="H280" s="299">
        <f t="shared" si="21"/>
        <v>0.98529216497435468</v>
      </c>
      <c r="I280" s="59">
        <f t="shared" si="22"/>
        <v>0</v>
      </c>
    </row>
    <row r="281" spans="1:9" x14ac:dyDescent="0.25">
      <c r="A281" s="51">
        <f>'A) Base RI'!A283</f>
        <v>5889</v>
      </c>
      <c r="B281" s="34" t="str">
        <f>'A) Base RI'!B283</f>
        <v>La Tour-de-Peilz</v>
      </c>
      <c r="C281" s="101">
        <f>'A) Base RI'!AN283</f>
        <v>11779</v>
      </c>
      <c r="D281" s="117">
        <f>'D) Ecrêtage'!N281</f>
        <v>56.317948508908955</v>
      </c>
      <c r="E281" s="36">
        <f t="shared" si="19"/>
        <v>0</v>
      </c>
      <c r="F281" s="298">
        <f t="shared" si="20"/>
        <v>0</v>
      </c>
      <c r="G281" s="35">
        <f>+'A) Base RI'!AM283</f>
        <v>64</v>
      </c>
      <c r="H281" s="299">
        <f t="shared" si="21"/>
        <v>0.94117460534863739</v>
      </c>
      <c r="I281" s="59">
        <f t="shared" si="22"/>
        <v>0</v>
      </c>
    </row>
    <row r="282" spans="1:9" x14ac:dyDescent="0.25">
      <c r="A282" s="51">
        <f>'A) Base RI'!A284</f>
        <v>5890</v>
      </c>
      <c r="B282" s="34" t="str">
        <f>'A) Base RI'!B284</f>
        <v>Vevey</v>
      </c>
      <c r="C282" s="101">
        <f>'A) Base RI'!AN284</f>
        <v>19829</v>
      </c>
      <c r="D282" s="117">
        <f>'D) Ecrêtage'!N282</f>
        <v>49.223775352321709</v>
      </c>
      <c r="E282" s="36">
        <f t="shared" si="19"/>
        <v>0</v>
      </c>
      <c r="F282" s="298">
        <f t="shared" si="20"/>
        <v>0</v>
      </c>
      <c r="G282" s="35">
        <f>+'A) Base RI'!AM284</f>
        <v>73</v>
      </c>
      <c r="H282" s="299">
        <f t="shared" si="21"/>
        <v>1.0735272842257895</v>
      </c>
      <c r="I282" s="59">
        <f t="shared" si="22"/>
        <v>0</v>
      </c>
    </row>
    <row r="283" spans="1:9" x14ac:dyDescent="0.25">
      <c r="A283" s="51">
        <f>'A) Base RI'!A285</f>
        <v>5891</v>
      </c>
      <c r="B283" s="34" t="str">
        <f>'A) Base RI'!B285</f>
        <v>Veytaux</v>
      </c>
      <c r="C283" s="101">
        <f>'A) Base RI'!AN285</f>
        <v>870</v>
      </c>
      <c r="D283" s="117">
        <f>'D) Ecrêtage'!N283</f>
        <v>40.492271808540174</v>
      </c>
      <c r="E283" s="36">
        <f t="shared" si="19"/>
        <v>4.3005209960832076</v>
      </c>
      <c r="F283" s="298">
        <f t="shared" si="20"/>
        <v>69703.274356616253</v>
      </c>
      <c r="G283" s="35">
        <f>+'A) Base RI'!AM285</f>
        <v>69</v>
      </c>
      <c r="H283" s="299">
        <f t="shared" si="21"/>
        <v>1.0147038713914995</v>
      </c>
      <c r="I283" s="59">
        <f t="shared" si="22"/>
        <v>70728.182338322353</v>
      </c>
    </row>
    <row r="284" spans="1:9" x14ac:dyDescent="0.25">
      <c r="A284" s="51">
        <f>'A) Base RI'!A286</f>
        <v>5902</v>
      </c>
      <c r="B284" s="34" t="str">
        <f>'A) Base RI'!B286</f>
        <v>Belmont-sur-Yverdon</v>
      </c>
      <c r="C284" s="101">
        <f>'A) Base RI'!AN286</f>
        <v>378</v>
      </c>
      <c r="D284" s="117">
        <f>'D) Ecrêtage'!N284</f>
        <v>26.204897660818709</v>
      </c>
      <c r="E284" s="36">
        <f t="shared" si="19"/>
        <v>18.587895143804673</v>
      </c>
      <c r="F284" s="298">
        <f t="shared" si="20"/>
        <v>144178.12395662957</v>
      </c>
      <c r="G284" s="35">
        <f>+'A) Base RI'!AM286</f>
        <v>76</v>
      </c>
      <c r="H284" s="299">
        <f t="shared" si="21"/>
        <v>1.1176448438515068</v>
      </c>
      <c r="I284" s="59">
        <f t="shared" si="22"/>
        <v>161139.93683631043</v>
      </c>
    </row>
    <row r="285" spans="1:9" x14ac:dyDescent="0.25">
      <c r="A285" s="51">
        <f>'A) Base RI'!A287</f>
        <v>5903</v>
      </c>
      <c r="B285" s="34" t="str">
        <f>'A) Base RI'!B287</f>
        <v>Bioley-Magnoux</v>
      </c>
      <c r="C285" s="101">
        <f>'A) Base RI'!AN287</f>
        <v>225</v>
      </c>
      <c r="D285" s="117">
        <f>'D) Ecrêtage'!N285</f>
        <v>26.577229257829259</v>
      </c>
      <c r="E285" s="36">
        <f t="shared" si="19"/>
        <v>18.215563546794122</v>
      </c>
      <c r="F285" s="298">
        <f t="shared" si="20"/>
        <v>81888.06592461298</v>
      </c>
      <c r="G285" s="35">
        <f>+'A) Base RI'!AM287</f>
        <v>74</v>
      </c>
      <c r="H285" s="299">
        <f t="shared" si="21"/>
        <v>1.0882331374343619</v>
      </c>
      <c r="I285" s="59">
        <f t="shared" si="22"/>
        <v>89113.30689957345</v>
      </c>
    </row>
    <row r="286" spans="1:9" x14ac:dyDescent="0.25">
      <c r="A286" s="51">
        <f>'A) Base RI'!A288</f>
        <v>5904</v>
      </c>
      <c r="B286" s="34" t="str">
        <f>'A) Base RI'!B288</f>
        <v>Chamblon</v>
      </c>
      <c r="C286" s="101">
        <f>'A) Base RI'!AN288</f>
        <v>534</v>
      </c>
      <c r="D286" s="117">
        <f>'D) Ecrêtage'!N286</f>
        <v>40.680610032913414</v>
      </c>
      <c r="E286" s="36">
        <f t="shared" si="19"/>
        <v>4.1121827717099677</v>
      </c>
      <c r="F286" s="298">
        <f t="shared" si="20"/>
        <v>39131.037793659445</v>
      </c>
      <c r="G286" s="35">
        <f>+'A) Base RI'!AM288</f>
        <v>66</v>
      </c>
      <c r="H286" s="299">
        <f t="shared" si="21"/>
        <v>0.97058631176578225</v>
      </c>
      <c r="I286" s="59">
        <f t="shared" si="22"/>
        <v>37980.049647715357</v>
      </c>
    </row>
    <row r="287" spans="1:9" x14ac:dyDescent="0.25">
      <c r="A287" s="51">
        <f>'A) Base RI'!A289</f>
        <v>5905</v>
      </c>
      <c r="B287" s="34" t="str">
        <f>'A) Base RI'!B289</f>
        <v>Champvent</v>
      </c>
      <c r="C287" s="101">
        <f>'A) Base RI'!AN289</f>
        <v>669</v>
      </c>
      <c r="D287" s="117">
        <f>'D) Ecrêtage'!N287</f>
        <v>34.793798606286444</v>
      </c>
      <c r="E287" s="36">
        <f t="shared" si="19"/>
        <v>9.9989941983369377</v>
      </c>
      <c r="F287" s="298">
        <f t="shared" si="20"/>
        <v>128234.40086523769</v>
      </c>
      <c r="G287" s="35">
        <f>+'A) Base RI'!AM289</f>
        <v>71</v>
      </c>
      <c r="H287" s="299">
        <f t="shared" si="21"/>
        <v>1.0441155778086446</v>
      </c>
      <c r="I287" s="59">
        <f t="shared" si="22"/>
        <v>133891.535554353</v>
      </c>
    </row>
    <row r="288" spans="1:9" x14ac:dyDescent="0.25">
      <c r="A288" s="51">
        <f>'A) Base RI'!A290</f>
        <v>5907</v>
      </c>
      <c r="B288" s="34" t="str">
        <f>'A) Base RI'!B290</f>
        <v>Chavannes-le-Chêne</v>
      </c>
      <c r="C288" s="101">
        <f>'A) Base RI'!AN290</f>
        <v>298</v>
      </c>
      <c r="D288" s="117">
        <f>'D) Ecrêtage'!N288</f>
        <v>29.017348993288586</v>
      </c>
      <c r="E288" s="36">
        <f t="shared" si="19"/>
        <v>15.775443811334796</v>
      </c>
      <c r="F288" s="298">
        <f t="shared" si="20"/>
        <v>99004.792306679825</v>
      </c>
      <c r="G288" s="35">
        <f>+'A) Base RI'!AM290</f>
        <v>78</v>
      </c>
      <c r="H288" s="299">
        <f t="shared" si="21"/>
        <v>1.1470565502686518</v>
      </c>
      <c r="I288" s="59">
        <f t="shared" si="22"/>
        <v>113564.09552336452</v>
      </c>
    </row>
    <row r="289" spans="1:9" x14ac:dyDescent="0.25">
      <c r="A289" s="51">
        <f>'A) Base RI'!A291</f>
        <v>5908</v>
      </c>
      <c r="B289" s="34" t="str">
        <f>'A) Base RI'!B291</f>
        <v>Chêne-Pâquier</v>
      </c>
      <c r="C289" s="101">
        <f>'A) Base RI'!AN291</f>
        <v>139</v>
      </c>
      <c r="D289" s="117">
        <f>'D) Ecrêtage'!N289</f>
        <v>19.795952099080232</v>
      </c>
      <c r="E289" s="36">
        <f t="shared" si="19"/>
        <v>24.99684070554315</v>
      </c>
      <c r="F289" s="298">
        <f t="shared" si="20"/>
        <v>74112.383102643726</v>
      </c>
      <c r="G289" s="35">
        <f>+'A) Base RI'!AM291</f>
        <v>79</v>
      </c>
      <c r="H289" s="299">
        <f t="shared" si="21"/>
        <v>1.1617624034772243</v>
      </c>
      <c r="I289" s="59">
        <f t="shared" si="22"/>
        <v>86100.980320752191</v>
      </c>
    </row>
    <row r="290" spans="1:9" x14ac:dyDescent="0.25">
      <c r="A290" s="51">
        <f>'A) Base RI'!A292</f>
        <v>5909</v>
      </c>
      <c r="B290" s="34" t="str">
        <f>'A) Base RI'!B292</f>
        <v>Cheseaux-Noréaz</v>
      </c>
      <c r="C290" s="101">
        <f>'A) Base RI'!AN292</f>
        <v>705</v>
      </c>
      <c r="D290" s="117">
        <f>'D) Ecrêtage'!N290</f>
        <v>39.678402228976694</v>
      </c>
      <c r="E290" s="36">
        <f t="shared" si="19"/>
        <v>5.1143905756466879</v>
      </c>
      <c r="F290" s="298">
        <f t="shared" si="20"/>
        <v>68146.697225204291</v>
      </c>
      <c r="G290" s="35">
        <f>+'A) Base RI'!AM292</f>
        <v>70</v>
      </c>
      <c r="H290" s="299">
        <f t="shared" si="21"/>
        <v>1.0294097246000722</v>
      </c>
      <c r="I290" s="59">
        <f t="shared" si="22"/>
        <v>70150.87282300205</v>
      </c>
    </row>
    <row r="291" spans="1:9" x14ac:dyDescent="0.25">
      <c r="A291" s="51">
        <f>'A) Base RI'!A293</f>
        <v>5910</v>
      </c>
      <c r="B291" s="34" t="str">
        <f>'A) Base RI'!B293</f>
        <v>Cronay</v>
      </c>
      <c r="C291" s="101">
        <f>'A) Base RI'!AN293</f>
        <v>380</v>
      </c>
      <c r="D291" s="117">
        <f>'D) Ecrêtage'!N291</f>
        <v>26.652601598934044</v>
      </c>
      <c r="E291" s="36">
        <f t="shared" si="19"/>
        <v>18.140191205689337</v>
      </c>
      <c r="F291" s="298">
        <f t="shared" si="20"/>
        <v>147033.50579859439</v>
      </c>
      <c r="G291" s="35">
        <f>+'A) Base RI'!AM293</f>
        <v>79</v>
      </c>
      <c r="H291" s="299">
        <f t="shared" si="21"/>
        <v>1.1617624034772243</v>
      </c>
      <c r="I291" s="59">
        <f t="shared" si="22"/>
        <v>170817.99908825741</v>
      </c>
    </row>
    <row r="292" spans="1:9" x14ac:dyDescent="0.25">
      <c r="A292" s="51">
        <f>'A) Base RI'!A294</f>
        <v>5911</v>
      </c>
      <c r="B292" s="34" t="str">
        <f>'A) Base RI'!B294</f>
        <v>Cuarny</v>
      </c>
      <c r="C292" s="101">
        <f>'A) Base RI'!AN294</f>
        <v>241</v>
      </c>
      <c r="D292" s="117">
        <f>'D) Ecrêtage'!N292</f>
        <v>29.35886916329639</v>
      </c>
      <c r="E292" s="36">
        <f t="shared" si="19"/>
        <v>15.433923641326992</v>
      </c>
      <c r="F292" s="298">
        <f t="shared" si="20"/>
        <v>79338.547495950639</v>
      </c>
      <c r="G292" s="35">
        <f>+'A) Base RI'!AM294</f>
        <v>79</v>
      </c>
      <c r="H292" s="299">
        <f t="shared" si="21"/>
        <v>1.1617624034772243</v>
      </c>
      <c r="I292" s="59">
        <f t="shared" si="22"/>
        <v>92172.54162728753</v>
      </c>
    </row>
    <row r="293" spans="1:9" x14ac:dyDescent="0.25">
      <c r="A293" s="51">
        <f>'A) Base RI'!A295</f>
        <v>5912</v>
      </c>
      <c r="B293" s="34" t="str">
        <f>'A) Base RI'!B295</f>
        <v>Démoret</v>
      </c>
      <c r="C293" s="101">
        <f>'A) Base RI'!AN295</f>
        <v>146</v>
      </c>
      <c r="D293" s="117">
        <f>'D) Ecrêtage'!N293</f>
        <v>21.849869778454252</v>
      </c>
      <c r="E293" s="36">
        <f t="shared" si="19"/>
        <v>22.942923026169129</v>
      </c>
      <c r="F293" s="298">
        <f t="shared" si="20"/>
        <v>73257.212081018559</v>
      </c>
      <c r="G293" s="35">
        <f>+'A) Base RI'!AM295</f>
        <v>81</v>
      </c>
      <c r="H293" s="299">
        <f t="shared" si="21"/>
        <v>1.1911741098943691</v>
      </c>
      <c r="I293" s="59">
        <f t="shared" si="22"/>
        <v>87262.094393950305</v>
      </c>
    </row>
    <row r="294" spans="1:9" x14ac:dyDescent="0.25">
      <c r="A294" s="51">
        <f>'A) Base RI'!A296</f>
        <v>5913</v>
      </c>
      <c r="B294" s="34" t="str">
        <f>'A) Base RI'!B296</f>
        <v>Donneloye</v>
      </c>
      <c r="C294" s="101">
        <f>'A) Base RI'!AN296</f>
        <v>813</v>
      </c>
      <c r="D294" s="117">
        <f>'D) Ecrêtage'!N294</f>
        <v>24.867795919055077</v>
      </c>
      <c r="E294" s="36">
        <f t="shared" si="19"/>
        <v>19.924996885568305</v>
      </c>
      <c r="F294" s="298">
        <f t="shared" si="20"/>
        <v>319282.73284363019</v>
      </c>
      <c r="G294" s="35">
        <f>+'A) Base RI'!AM296</f>
        <v>73</v>
      </c>
      <c r="H294" s="299">
        <f t="shared" si="21"/>
        <v>1.0735272842257895</v>
      </c>
      <c r="I294" s="59">
        <f t="shared" si="22"/>
        <v>342758.72508981061</v>
      </c>
    </row>
    <row r="295" spans="1:9" x14ac:dyDescent="0.25">
      <c r="A295" s="51">
        <f>'A) Base RI'!A297</f>
        <v>5914</v>
      </c>
      <c r="B295" s="34" t="str">
        <f>'A) Base RI'!B297</f>
        <v>Ependes</v>
      </c>
      <c r="C295" s="101">
        <f>'A) Base RI'!AN297</f>
        <v>361</v>
      </c>
      <c r="D295" s="117">
        <f>'D) Ecrêtage'!N295</f>
        <v>27.697687534626038</v>
      </c>
      <c r="E295" s="36">
        <f t="shared" si="19"/>
        <v>17.095105269997344</v>
      </c>
      <c r="F295" s="298">
        <f t="shared" si="20"/>
        <v>124969.4932999981</v>
      </c>
      <c r="G295" s="35">
        <f>+'A) Base RI'!AM297</f>
        <v>75</v>
      </c>
      <c r="H295" s="299">
        <f t="shared" si="21"/>
        <v>1.1029389906429343</v>
      </c>
      <c r="I295" s="59">
        <f t="shared" si="22"/>
        <v>137833.72680145883</v>
      </c>
    </row>
    <row r="296" spans="1:9" x14ac:dyDescent="0.25">
      <c r="A296" s="51">
        <f>'A) Base RI'!A298</f>
        <v>5919</v>
      </c>
      <c r="B296" s="34" t="str">
        <f>'A) Base RI'!B298</f>
        <v>Mathod</v>
      </c>
      <c r="C296" s="101">
        <f>'A) Base RI'!AN298</f>
        <v>617</v>
      </c>
      <c r="D296" s="117">
        <f>'D) Ecrêtage'!N296</f>
        <v>25.890121781019268</v>
      </c>
      <c r="E296" s="36">
        <f t="shared" si="19"/>
        <v>18.902671023604114</v>
      </c>
      <c r="F296" s="298">
        <f t="shared" si="20"/>
        <v>226727.70953919907</v>
      </c>
      <c r="G296" s="35">
        <f>+'A) Base RI'!AM298</f>
        <v>72</v>
      </c>
      <c r="H296" s="299">
        <f t="shared" si="21"/>
        <v>1.058821431017217</v>
      </c>
      <c r="I296" s="59">
        <f t="shared" si="22"/>
        <v>240064.15786555069</v>
      </c>
    </row>
    <row r="297" spans="1:9" x14ac:dyDescent="0.25">
      <c r="A297" s="51">
        <f>'A) Base RI'!A299</f>
        <v>5921</v>
      </c>
      <c r="B297" s="34" t="str">
        <f>'A) Base RI'!B299</f>
        <v>Molondin</v>
      </c>
      <c r="C297" s="101">
        <f>'A) Base RI'!AN299</f>
        <v>232</v>
      </c>
      <c r="D297" s="117">
        <f>'D) Ecrêtage'!N297</f>
        <v>23.398175819497659</v>
      </c>
      <c r="E297" s="36">
        <f t="shared" si="19"/>
        <v>21.394616985125722</v>
      </c>
      <c r="F297" s="298">
        <f t="shared" si="20"/>
        <v>108552.8634438103</v>
      </c>
      <c r="G297" s="35">
        <f>+'A) Base RI'!AM299</f>
        <v>81</v>
      </c>
      <c r="H297" s="299">
        <f t="shared" si="21"/>
        <v>1.1911741098943691</v>
      </c>
      <c r="I297" s="59">
        <f t="shared" si="22"/>
        <v>129305.36048916575</v>
      </c>
    </row>
    <row r="298" spans="1:9" x14ac:dyDescent="0.25">
      <c r="A298" s="51">
        <f>'A) Base RI'!A300</f>
        <v>5922</v>
      </c>
      <c r="B298" s="34" t="str">
        <f>'A) Base RI'!B300</f>
        <v>Montagny-près-Yverdon</v>
      </c>
      <c r="C298" s="101">
        <f>'A) Base RI'!AN300</f>
        <v>717</v>
      </c>
      <c r="D298" s="117">
        <f>'D) Ecrêtage'!N298</f>
        <v>64.363576010943206</v>
      </c>
      <c r="E298" s="36">
        <f t="shared" si="19"/>
        <v>0</v>
      </c>
      <c r="F298" s="298">
        <f t="shared" si="20"/>
        <v>0</v>
      </c>
      <c r="G298" s="35">
        <f>+'A) Base RI'!AM300</f>
        <v>61</v>
      </c>
      <c r="H298" s="299">
        <f t="shared" si="21"/>
        <v>0.89705704572292</v>
      </c>
      <c r="I298" s="59">
        <f t="shared" si="22"/>
        <v>0</v>
      </c>
    </row>
    <row r="299" spans="1:9" x14ac:dyDescent="0.25">
      <c r="A299" s="51">
        <f>'A) Base RI'!A301</f>
        <v>5923</v>
      </c>
      <c r="B299" s="34" t="str">
        <f>'A) Base RI'!B301</f>
        <v>Oppens</v>
      </c>
      <c r="C299" s="101">
        <f>'A) Base RI'!AN301</f>
        <v>187</v>
      </c>
      <c r="D299" s="117">
        <f>'D) Ecrêtage'!N299</f>
        <v>24.894994388327728</v>
      </c>
      <c r="E299" s="36">
        <f t="shared" si="19"/>
        <v>19.897798416295654</v>
      </c>
      <c r="F299" s="298">
        <f t="shared" si="20"/>
        <v>81375.827205140173</v>
      </c>
      <c r="G299" s="35">
        <f>+'A) Base RI'!AM301</f>
        <v>81</v>
      </c>
      <c r="H299" s="299">
        <f t="shared" si="21"/>
        <v>1.1911741098943691</v>
      </c>
      <c r="I299" s="59">
        <f t="shared" si="22"/>
        <v>96932.778538000828</v>
      </c>
    </row>
    <row r="300" spans="1:9" x14ac:dyDescent="0.25">
      <c r="A300" s="51">
        <f>'A) Base RI'!A302</f>
        <v>5924</v>
      </c>
      <c r="B300" s="34" t="str">
        <f>'A) Base RI'!B302</f>
        <v>Orges</v>
      </c>
      <c r="C300" s="101">
        <f>'A) Base RI'!AN302</f>
        <v>336</v>
      </c>
      <c r="D300" s="117">
        <f>'D) Ecrêtage'!N300</f>
        <v>31.501631676319178</v>
      </c>
      <c r="E300" s="36">
        <f t="shared" si="19"/>
        <v>13.291161128304203</v>
      </c>
      <c r="F300" s="298">
        <f t="shared" si="20"/>
        <v>89227.286179422052</v>
      </c>
      <c r="G300" s="35">
        <f>+'A) Base RI'!AM302</f>
        <v>74</v>
      </c>
      <c r="H300" s="299">
        <f t="shared" si="21"/>
        <v>1.0882331374343619</v>
      </c>
      <c r="I300" s="59">
        <f t="shared" si="22"/>
        <v>97100.089583786132</v>
      </c>
    </row>
    <row r="301" spans="1:9" x14ac:dyDescent="0.25">
      <c r="A301" s="51">
        <f>'A) Base RI'!A303</f>
        <v>5925</v>
      </c>
      <c r="B301" s="34" t="str">
        <f>'A) Base RI'!B303</f>
        <v>Orzens</v>
      </c>
      <c r="C301" s="101">
        <f>'A) Base RI'!AN303</f>
        <v>195</v>
      </c>
      <c r="D301" s="117">
        <f>'D) Ecrêtage'!N301</f>
        <v>24.519337877312562</v>
      </c>
      <c r="E301" s="36">
        <f t="shared" si="19"/>
        <v>20.273454927310819</v>
      </c>
      <c r="F301" s="298">
        <f t="shared" si="20"/>
        <v>84324.394751910266</v>
      </c>
      <c r="G301" s="35">
        <f>+'A) Base RI'!AM303</f>
        <v>79</v>
      </c>
      <c r="H301" s="299">
        <f t="shared" si="21"/>
        <v>1.1617624034772243</v>
      </c>
      <c r="I301" s="59">
        <f t="shared" si="22"/>
        <v>97964.911518741501</v>
      </c>
    </row>
    <row r="302" spans="1:9" x14ac:dyDescent="0.25">
      <c r="A302" s="51">
        <f>'A) Base RI'!A304</f>
        <v>5926</v>
      </c>
      <c r="B302" s="34" t="str">
        <f>'A) Base RI'!B304</f>
        <v>Pomy</v>
      </c>
      <c r="C302" s="101">
        <f>'A) Base RI'!AN304</f>
        <v>785</v>
      </c>
      <c r="D302" s="117">
        <f>'D) Ecrêtage'!N302</f>
        <v>29.746152686821567</v>
      </c>
      <c r="E302" s="36">
        <f t="shared" si="19"/>
        <v>15.046640117801815</v>
      </c>
      <c r="F302" s="298">
        <f t="shared" si="20"/>
        <v>226428.61148073472</v>
      </c>
      <c r="G302" s="35">
        <f>+'A) Base RI'!AM304</f>
        <v>71</v>
      </c>
      <c r="H302" s="299">
        <f t="shared" si="21"/>
        <v>1.0441155778086446</v>
      </c>
      <c r="I302" s="59">
        <f t="shared" si="22"/>
        <v>236417.64050861643</v>
      </c>
    </row>
    <row r="303" spans="1:9" x14ac:dyDescent="0.25">
      <c r="A303" s="51">
        <f>'A) Base RI'!A305</f>
        <v>5928</v>
      </c>
      <c r="B303" s="34" t="str">
        <f>'A) Base RI'!B305</f>
        <v>Rovray</v>
      </c>
      <c r="C303" s="101">
        <f>'A) Base RI'!AN305</f>
        <v>187</v>
      </c>
      <c r="D303" s="117">
        <f>'D) Ecrêtage'!N303</f>
        <v>24.041582301662881</v>
      </c>
      <c r="E303" s="36">
        <f t="shared" si="19"/>
        <v>20.7512105029605</v>
      </c>
      <c r="F303" s="298">
        <f t="shared" si="20"/>
        <v>76484.189135496723</v>
      </c>
      <c r="G303" s="35">
        <f>+'A) Base RI'!AM305</f>
        <v>73</v>
      </c>
      <c r="H303" s="299">
        <f t="shared" si="21"/>
        <v>1.0735272842257895</v>
      </c>
      <c r="I303" s="59">
        <f t="shared" si="22"/>
        <v>82107.863848841429</v>
      </c>
    </row>
    <row r="304" spans="1:9" x14ac:dyDescent="0.25">
      <c r="A304" s="51">
        <f>'A) Base RI'!A306</f>
        <v>5929</v>
      </c>
      <c r="B304" s="34" t="str">
        <f>'A) Base RI'!B306</f>
        <v>Suchy</v>
      </c>
      <c r="C304" s="101">
        <f>'A) Base RI'!AN306</f>
        <v>605</v>
      </c>
      <c r="D304" s="117">
        <f>'D) Ecrêtage'!N304</f>
        <v>28.29493276269185</v>
      </c>
      <c r="E304" s="36">
        <f t="shared" si="19"/>
        <v>16.497860041931531</v>
      </c>
      <c r="F304" s="298">
        <f t="shared" si="20"/>
        <v>188644.78064946612</v>
      </c>
      <c r="G304" s="35">
        <f>+'A) Base RI'!AM306</f>
        <v>70</v>
      </c>
      <c r="H304" s="299">
        <f t="shared" si="21"/>
        <v>1.0294097246000722</v>
      </c>
      <c r="I304" s="59">
        <f t="shared" si="22"/>
        <v>194192.77169560795</v>
      </c>
    </row>
    <row r="305" spans="1:9" x14ac:dyDescent="0.25">
      <c r="A305" s="51">
        <f>'A) Base RI'!A307</f>
        <v>5930</v>
      </c>
      <c r="B305" s="34" t="str">
        <f>'A) Base RI'!B307</f>
        <v>Suscévaz</v>
      </c>
      <c r="C305" s="101">
        <f>'A) Base RI'!AN307</f>
        <v>200</v>
      </c>
      <c r="D305" s="117">
        <f>'D) Ecrêtage'!N305</f>
        <v>26.813556944444443</v>
      </c>
      <c r="E305" s="36">
        <f t="shared" si="19"/>
        <v>17.979235860178939</v>
      </c>
      <c r="F305" s="298">
        <f t="shared" si="20"/>
        <v>69903.269024375724</v>
      </c>
      <c r="G305" s="35">
        <f>+'A) Base RI'!AM307</f>
        <v>72</v>
      </c>
      <c r="H305" s="299">
        <f t="shared" si="21"/>
        <v>1.058821431017217</v>
      </c>
      <c r="I305" s="59">
        <f t="shared" si="22"/>
        <v>74015.079341171004</v>
      </c>
    </row>
    <row r="306" spans="1:9" x14ac:dyDescent="0.25">
      <c r="A306" s="51">
        <f>'A) Base RI'!A308</f>
        <v>5931</v>
      </c>
      <c r="B306" s="34" t="str">
        <f>'A) Base RI'!B308</f>
        <v>Treycovagnes</v>
      </c>
      <c r="C306" s="101">
        <f>'A) Base RI'!AN308</f>
        <v>456</v>
      </c>
      <c r="D306" s="117">
        <f>'D) Ecrêtage'!N306</f>
        <v>29.141790350877194</v>
      </c>
      <c r="E306" s="36">
        <f t="shared" si="19"/>
        <v>15.651002453746187</v>
      </c>
      <c r="F306" s="298">
        <f t="shared" si="20"/>
        <v>144521.35665789232</v>
      </c>
      <c r="G306" s="35">
        <f>+'A) Base RI'!AM308</f>
        <v>75</v>
      </c>
      <c r="H306" s="299">
        <f t="shared" si="21"/>
        <v>1.1029389906429343</v>
      </c>
      <c r="I306" s="59">
        <f t="shared" si="22"/>
        <v>159398.23923860327</v>
      </c>
    </row>
    <row r="307" spans="1:9" x14ac:dyDescent="0.25">
      <c r="A307" s="51">
        <f>'A) Base RI'!A309</f>
        <v>5932</v>
      </c>
      <c r="B307" s="34" t="str">
        <f>'A) Base RI'!B309</f>
        <v>Ursins</v>
      </c>
      <c r="C307" s="101">
        <f>'A) Base RI'!AN309</f>
        <v>218</v>
      </c>
      <c r="D307" s="117">
        <f>'D) Ecrêtage'!N307</f>
        <v>31.461838390966832</v>
      </c>
      <c r="E307" s="36">
        <f t="shared" si="19"/>
        <v>13.330954413656549</v>
      </c>
      <c r="F307" s="298">
        <f t="shared" si="20"/>
        <v>61203.478189450318</v>
      </c>
      <c r="G307" s="35">
        <f>+'A) Base RI'!AM309</f>
        <v>78</v>
      </c>
      <c r="H307" s="299">
        <f t="shared" si="21"/>
        <v>1.1470565502686518</v>
      </c>
      <c r="I307" s="59">
        <f t="shared" si="22"/>
        <v>70203.85055643355</v>
      </c>
    </row>
    <row r="308" spans="1:9" x14ac:dyDescent="0.25">
      <c r="A308" s="51">
        <f>'A) Base RI'!A310</f>
        <v>5933</v>
      </c>
      <c r="B308" s="34" t="str">
        <f>'A) Base RI'!B310</f>
        <v>Valeyres-sous-Montagny</v>
      </c>
      <c r="C308" s="101">
        <f>'A) Base RI'!AN310</f>
        <v>705</v>
      </c>
      <c r="D308" s="117">
        <f>'D) Ecrêtage'!N308</f>
        <v>29.451342986603631</v>
      </c>
      <c r="E308" s="36">
        <f t="shared" si="19"/>
        <v>15.34144981801975</v>
      </c>
      <c r="F308" s="298">
        <f t="shared" si="20"/>
        <v>210257.63804592428</v>
      </c>
      <c r="G308" s="35">
        <f>+'A) Base RI'!AM310</f>
        <v>72</v>
      </c>
      <c r="H308" s="299">
        <f t="shared" si="21"/>
        <v>1.058821431017217</v>
      </c>
      <c r="I308" s="59">
        <f t="shared" si="22"/>
        <v>222625.29319808559</v>
      </c>
    </row>
    <row r="309" spans="1:9" x14ac:dyDescent="0.25">
      <c r="A309" s="51">
        <f>'A) Base RI'!A311</f>
        <v>5934</v>
      </c>
      <c r="B309" s="34" t="str">
        <f>'A) Base RI'!B311</f>
        <v>Valeyres-sous-Ursins</v>
      </c>
      <c r="C309" s="101">
        <f>'A) Base RI'!AN311</f>
        <v>238</v>
      </c>
      <c r="D309" s="117">
        <f>'D) Ecrêtage'!N309</f>
        <v>28.973155515370706</v>
      </c>
      <c r="E309" s="36">
        <f t="shared" si="19"/>
        <v>15.819637289252675</v>
      </c>
      <c r="F309" s="298">
        <f t="shared" si="20"/>
        <v>80309.021484382785</v>
      </c>
      <c r="G309" s="35">
        <f>+'A) Base RI'!AM311</f>
        <v>79</v>
      </c>
      <c r="H309" s="299">
        <f t="shared" si="21"/>
        <v>1.1617624034772243</v>
      </c>
      <c r="I309" s="59">
        <f t="shared" si="22"/>
        <v>93300.001820600592</v>
      </c>
    </row>
    <row r="310" spans="1:9" x14ac:dyDescent="0.25">
      <c r="A310" s="51">
        <f>'A) Base RI'!A312</f>
        <v>5935</v>
      </c>
      <c r="B310" s="34" t="str">
        <f>'A) Base RI'!B312</f>
        <v>Villars-Epeney</v>
      </c>
      <c r="C310" s="101">
        <f>'A) Base RI'!AN312</f>
        <v>106</v>
      </c>
      <c r="D310" s="117">
        <f>'D) Ecrêtage'!N310</f>
        <v>51.961789308176101</v>
      </c>
      <c r="E310" s="36">
        <f t="shared" si="19"/>
        <v>0</v>
      </c>
      <c r="F310" s="298">
        <f t="shared" si="20"/>
        <v>0</v>
      </c>
      <c r="G310" s="35">
        <f>+'A) Base RI'!AM312</f>
        <v>60</v>
      </c>
      <c r="H310" s="299">
        <f t="shared" si="21"/>
        <v>0.88235119251434746</v>
      </c>
      <c r="I310" s="59">
        <f t="shared" si="22"/>
        <v>0</v>
      </c>
    </row>
    <row r="311" spans="1:9" x14ac:dyDescent="0.25">
      <c r="A311" s="51">
        <f>'A) Base RI'!A313</f>
        <v>5937</v>
      </c>
      <c r="B311" s="34" t="str">
        <f>'A) Base RI'!B313</f>
        <v>Vugelles-La Mothe</v>
      </c>
      <c r="C311" s="101">
        <f>'A) Base RI'!AN313</f>
        <v>122</v>
      </c>
      <c r="D311" s="117">
        <f>'D) Ecrêtage'!N311</f>
        <v>23.696120441619271</v>
      </c>
      <c r="E311" s="36">
        <f t="shared" si="19"/>
        <v>21.09667236300411</v>
      </c>
      <c r="F311" s="298">
        <f t="shared" si="20"/>
        <v>48644.70713461488</v>
      </c>
      <c r="G311" s="35">
        <f>+'A) Base RI'!AM313</f>
        <v>70</v>
      </c>
      <c r="H311" s="299">
        <f t="shared" si="21"/>
        <v>1.0294097246000722</v>
      </c>
      <c r="I311" s="59">
        <f t="shared" si="22"/>
        <v>50075.334574695073</v>
      </c>
    </row>
    <row r="312" spans="1:9" x14ac:dyDescent="0.25">
      <c r="A312" s="51">
        <f>'A) Base RI'!A314</f>
        <v>5938</v>
      </c>
      <c r="B312" s="34" t="str">
        <f>'A) Base RI'!B314</f>
        <v>Yverdon-les-Bains</v>
      </c>
      <c r="C312" s="101">
        <f>'A) Base RI'!AN314</f>
        <v>30208</v>
      </c>
      <c r="D312" s="117">
        <f>'D) Ecrêtage'!N312</f>
        <v>26.546432564286309</v>
      </c>
      <c r="E312" s="36">
        <f t="shared" si="19"/>
        <v>18.246360240337072</v>
      </c>
      <c r="F312" s="298">
        <f t="shared" si="20"/>
        <v>11384747.865643814</v>
      </c>
      <c r="G312" s="35">
        <f>+'A) Base RI'!AM314</f>
        <v>76.5</v>
      </c>
      <c r="H312" s="299">
        <f t="shared" si="21"/>
        <v>1.124997770455793</v>
      </c>
      <c r="I312" s="59">
        <f t="shared" si="22"/>
        <v>12807815.966050638</v>
      </c>
    </row>
    <row r="313" spans="1:9" x14ac:dyDescent="0.25">
      <c r="A313" s="51">
        <f>'A) Base RI'!A315</f>
        <v>5939</v>
      </c>
      <c r="B313" s="34" t="str">
        <f>'A) Base RI'!B315</f>
        <v>Yvonand</v>
      </c>
      <c r="C313" s="101">
        <f>'A) Base RI'!AN315</f>
        <v>3351</v>
      </c>
      <c r="D313" s="117">
        <f>'D) Ecrêtage'!N313</f>
        <v>27.876283178605444</v>
      </c>
      <c r="E313" s="36">
        <f t="shared" si="19"/>
        <v>16.916509626017938</v>
      </c>
      <c r="F313" s="298">
        <f t="shared" si="20"/>
        <v>1117305.1802462542</v>
      </c>
      <c r="G313" s="35">
        <f>+'A) Base RI'!AM315</f>
        <v>73</v>
      </c>
      <c r="H313" s="299">
        <f t="shared" si="21"/>
        <v>1.0735272842257895</v>
      </c>
      <c r="I313" s="59">
        <f t="shared" si="22"/>
        <v>1199457.5958011674</v>
      </c>
    </row>
    <row r="314" spans="1:9" x14ac:dyDescent="0.25">
      <c r="A314" s="32"/>
      <c r="B314" s="126">
        <f>COUNTA(B5:B313)</f>
        <v>309</v>
      </c>
      <c r="C314" s="103">
        <f>SUM(C5:C313)</f>
        <v>794384</v>
      </c>
      <c r="D314" s="116">
        <f>'D) Ecrêtage'!N314</f>
        <v>44.792792804623382</v>
      </c>
      <c r="E314" s="296"/>
      <c r="F314" s="11">
        <f>SUM(F5:F313)</f>
        <v>101016415.60435015</v>
      </c>
      <c r="G314" s="300">
        <f>'B) D RI'!S316</f>
        <v>68.000134763828029</v>
      </c>
      <c r="H314" s="297">
        <f>G314/G$314</f>
        <v>1</v>
      </c>
      <c r="I314" s="39">
        <f>SUM(I5:I313)</f>
        <v>109197422.25204247</v>
      </c>
    </row>
  </sheetData>
  <mergeCells count="8">
    <mergeCell ref="A3:A4"/>
    <mergeCell ref="I3:I4"/>
    <mergeCell ref="H3:H4"/>
    <mergeCell ref="G3:G4"/>
    <mergeCell ref="F3:F4"/>
    <mergeCell ref="B3:B4"/>
    <mergeCell ref="C3:C4"/>
    <mergeCell ref="D3:D4"/>
  </mergeCells>
  <phoneticPr fontId="8"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00B050"/>
  </sheetPr>
  <dimension ref="A1:I344"/>
  <sheetViews>
    <sheetView workbookViewId="0">
      <selection activeCell="I16" sqref="I16"/>
    </sheetView>
  </sheetViews>
  <sheetFormatPr baseColWidth="10" defaultColWidth="11" defaultRowHeight="15" x14ac:dyDescent="0.25"/>
  <cols>
    <col min="1" max="1" width="9.375" style="14" customWidth="1"/>
    <col min="2" max="2" width="22.25" style="14" customWidth="1"/>
    <col min="3" max="3" width="13.375" style="14" customWidth="1"/>
    <col min="4" max="4" width="11.125" style="14" bestFit="1" customWidth="1"/>
    <col min="5" max="5" width="13" style="14" customWidth="1"/>
    <col min="6" max="7" width="12.375" style="14" customWidth="1"/>
    <col min="8" max="9" width="13" style="14" bestFit="1" customWidth="1"/>
    <col min="10" max="10" width="3.5" style="14" customWidth="1"/>
    <col min="11" max="16384" width="11" style="14"/>
  </cols>
  <sheetData>
    <row r="1" spans="1:9" ht="21" x14ac:dyDescent="0.25">
      <c r="A1" s="53" t="s">
        <v>334</v>
      </c>
      <c r="B1" s="44"/>
      <c r="C1" s="74"/>
      <c r="D1" s="74"/>
      <c r="E1" s="74"/>
      <c r="F1" s="74"/>
      <c r="G1" s="74"/>
      <c r="H1" s="74"/>
      <c r="I1" s="74"/>
    </row>
    <row r="3" spans="1:9" x14ac:dyDescent="0.25">
      <c r="A3" s="128" t="s">
        <v>51</v>
      </c>
      <c r="B3" s="129"/>
      <c r="C3" s="130" t="s">
        <v>468</v>
      </c>
      <c r="D3" s="130" t="s">
        <v>415</v>
      </c>
      <c r="E3" s="74"/>
      <c r="F3" s="74"/>
      <c r="G3" s="74"/>
      <c r="H3" s="74"/>
      <c r="I3" s="74"/>
    </row>
    <row r="4" spans="1:9" x14ac:dyDescent="0.25">
      <c r="A4" s="81" t="s">
        <v>99</v>
      </c>
      <c r="B4" s="82"/>
      <c r="C4" s="11">
        <f>E325</f>
        <v>657853625.54210448</v>
      </c>
      <c r="D4" s="37"/>
      <c r="E4" s="74"/>
      <c r="F4" s="74"/>
      <c r="G4" s="74"/>
      <c r="H4" s="74"/>
      <c r="I4" s="74"/>
    </row>
    <row r="5" spans="1:9" x14ac:dyDescent="0.25">
      <c r="A5" s="87" t="s">
        <v>432</v>
      </c>
      <c r="B5" s="47"/>
      <c r="C5" s="10">
        <v>0</v>
      </c>
      <c r="D5" s="35">
        <f>C5/$C$325</f>
        <v>0</v>
      </c>
      <c r="E5" s="74"/>
      <c r="F5" s="74"/>
      <c r="G5" s="74"/>
      <c r="H5" s="74"/>
      <c r="I5" s="74"/>
    </row>
    <row r="6" spans="1:9" x14ac:dyDescent="0.25">
      <c r="A6" s="87" t="s">
        <v>431</v>
      </c>
      <c r="B6" s="47"/>
      <c r="C6" s="10">
        <f>Paramètres!B36</f>
        <v>5078319.5541720632</v>
      </c>
      <c r="D6" s="281">
        <f>C6/$C$325</f>
        <v>0.14271886915561394</v>
      </c>
      <c r="E6" s="74"/>
      <c r="F6" s="74"/>
      <c r="G6" s="74"/>
      <c r="H6" s="74"/>
      <c r="I6" s="74"/>
    </row>
    <row r="7" spans="1:9" x14ac:dyDescent="0.25">
      <c r="A7" s="87" t="s">
        <v>100</v>
      </c>
      <c r="B7" s="47"/>
      <c r="C7" s="10">
        <f>'I) Dépenses thématiques'!O314</f>
        <v>-142330711.67723176</v>
      </c>
      <c r="D7" s="281">
        <f>C7/$C$325</f>
        <v>-4</v>
      </c>
      <c r="E7" s="74"/>
      <c r="F7" s="74"/>
      <c r="G7" s="74"/>
      <c r="H7" s="74"/>
      <c r="I7" s="74"/>
    </row>
    <row r="8" spans="1:9" x14ac:dyDescent="0.25">
      <c r="A8" s="89" t="s">
        <v>283</v>
      </c>
      <c r="B8" s="118"/>
      <c r="C8" s="20">
        <f>Paramètres!B37</f>
        <v>-450000</v>
      </c>
      <c r="D8" s="281">
        <f>C8/$C$325</f>
        <v>-1.2646602962837155E-2</v>
      </c>
      <c r="E8" s="74"/>
      <c r="F8" s="74"/>
      <c r="G8" s="74"/>
      <c r="H8" s="74"/>
      <c r="I8" s="74"/>
    </row>
    <row r="9" spans="1:9" x14ac:dyDescent="0.25">
      <c r="A9" s="89" t="s">
        <v>363</v>
      </c>
      <c r="B9" s="118"/>
      <c r="C9" s="20">
        <f>SUM(C5:C8)</f>
        <v>-137702392.12305969</v>
      </c>
      <c r="D9" s="104">
        <f>SUM(D5:D8)</f>
        <v>-3.8699277338072231</v>
      </c>
      <c r="E9" s="74"/>
      <c r="F9" s="74"/>
      <c r="G9" s="74"/>
      <c r="H9" s="74"/>
      <c r="I9" s="74"/>
    </row>
    <row r="10" spans="1:9" x14ac:dyDescent="0.25">
      <c r="A10" s="81" t="s">
        <v>437</v>
      </c>
      <c r="B10" s="82"/>
      <c r="C10" s="20">
        <f>-SUM(C4:C8)</f>
        <v>-520151233.41904473</v>
      </c>
      <c r="D10" s="104">
        <f>C10/$C$325</f>
        <v>-14.618102510401537</v>
      </c>
      <c r="E10" s="74"/>
      <c r="F10" s="74"/>
      <c r="G10" s="74"/>
      <c r="H10" s="74"/>
      <c r="I10" s="74"/>
    </row>
    <row r="11" spans="1:9" x14ac:dyDescent="0.25">
      <c r="A11" s="81" t="s">
        <v>362</v>
      </c>
      <c r="B11" s="83"/>
      <c r="C11" s="20">
        <f>C9+C10</f>
        <v>-657853625.54210448</v>
      </c>
      <c r="D11" s="104">
        <f>D10+D9</f>
        <v>-18.488030244208758</v>
      </c>
      <c r="E11" s="74"/>
      <c r="F11" s="74"/>
      <c r="G11" s="74"/>
      <c r="H11" s="74"/>
      <c r="I11" s="74"/>
    </row>
    <row r="14" spans="1:9" ht="60" customHeight="1" x14ac:dyDescent="0.25">
      <c r="A14" s="568" t="s">
        <v>50</v>
      </c>
      <c r="B14" s="568" t="s">
        <v>101</v>
      </c>
      <c r="C14" s="568" t="s">
        <v>433</v>
      </c>
      <c r="D14" s="583" t="s">
        <v>310</v>
      </c>
      <c r="E14" s="67" t="s">
        <v>99</v>
      </c>
      <c r="F14" s="67" t="s">
        <v>361</v>
      </c>
      <c r="G14" s="67" t="s">
        <v>436</v>
      </c>
      <c r="H14" s="67" t="s">
        <v>302</v>
      </c>
      <c r="I14" s="67" t="s">
        <v>414</v>
      </c>
    </row>
    <row r="15" spans="1:9" x14ac:dyDescent="0.25">
      <c r="A15" s="569"/>
      <c r="B15" s="569"/>
      <c r="C15" s="569"/>
      <c r="D15" s="590"/>
      <c r="E15" s="301">
        <f>-D9+F15+G15</f>
        <v>18.488030244208751</v>
      </c>
      <c r="F15" s="149">
        <f>F325/C325</f>
        <v>11.549265968652948</v>
      </c>
      <c r="G15" s="149">
        <f>G325/C325</f>
        <v>3.0688365417485781</v>
      </c>
      <c r="H15" s="149"/>
      <c r="I15" s="149"/>
    </row>
    <row r="16" spans="1:9" x14ac:dyDescent="0.25">
      <c r="A16" s="48">
        <f>'A) Base RI'!A7</f>
        <v>5401</v>
      </c>
      <c r="B16" s="327" t="str">
        <f>'A) Base RI'!B7</f>
        <v>Aigle</v>
      </c>
      <c r="C16" s="33">
        <f>'D) Ecrêtage'!M5</f>
        <v>280807.53491358022</v>
      </c>
      <c r="D16" s="15">
        <f>'A) Base RI'!AN7</f>
        <v>10153</v>
      </c>
      <c r="E16" s="10">
        <f>C16*E$15</f>
        <v>5191578.1982839759</v>
      </c>
      <c r="F16" s="15">
        <f>'F) Population'!K8</f>
        <v>5117514.185110664</v>
      </c>
      <c r="G16" s="10">
        <f>'G) Solidarité'!I5</f>
        <v>3147350.5168973254</v>
      </c>
      <c r="H16" s="15">
        <f>F16+G16</f>
        <v>8264864.7020079894</v>
      </c>
      <c r="I16" s="59">
        <f>E16-H16</f>
        <v>-3073286.5037240135</v>
      </c>
    </row>
    <row r="17" spans="1:9" x14ac:dyDescent="0.25">
      <c r="A17" s="51">
        <f>'A) Base RI'!A8</f>
        <v>5402</v>
      </c>
      <c r="B17" s="34" t="str">
        <f>'A) Base RI'!B8</f>
        <v>Bex</v>
      </c>
      <c r="C17" s="33">
        <f>'D) Ecrêtage'!M6</f>
        <v>178888.62591549297</v>
      </c>
      <c r="D17" s="15">
        <f>'A) Base RI'!AN8</f>
        <v>7719</v>
      </c>
      <c r="E17" s="10">
        <f t="shared" ref="E17:E80" si="0">C17*E$15</f>
        <v>3307298.3262705794</v>
      </c>
      <c r="F17" s="15">
        <f>'F) Population'!K9</f>
        <v>3389974.647887324</v>
      </c>
      <c r="G17" s="10">
        <f>'G) Solidarité'!I6</f>
        <v>3339957.9160760045</v>
      </c>
      <c r="H17" s="15">
        <f t="shared" ref="H17:H80" si="1">F17+G17</f>
        <v>6729932.5639633285</v>
      </c>
      <c r="I17" s="59">
        <f t="shared" ref="I17:I80" si="2">E17-H17</f>
        <v>-3422634.2376927491</v>
      </c>
    </row>
    <row r="18" spans="1:9" x14ac:dyDescent="0.25">
      <c r="A18" s="51">
        <f>'A) Base RI'!A9</f>
        <v>5403</v>
      </c>
      <c r="B18" s="34" t="str">
        <f>'A) Base RI'!B9</f>
        <v>Chessel</v>
      </c>
      <c r="C18" s="33">
        <f>'D) Ecrêtage'!M7</f>
        <v>9797.3922972972978</v>
      </c>
      <c r="D18" s="15">
        <f>'A) Base RI'!AN9</f>
        <v>403</v>
      </c>
      <c r="E18" s="10">
        <f t="shared" si="0"/>
        <v>181134.48510681029</v>
      </c>
      <c r="F18" s="15">
        <f>'F) Population'!K10</f>
        <v>39813.480885311874</v>
      </c>
      <c r="G18" s="10">
        <f>'G) Solidarité'!I7</f>
        <v>179468.1247329071</v>
      </c>
      <c r="H18" s="15">
        <f t="shared" si="1"/>
        <v>219281.60561821898</v>
      </c>
      <c r="I18" s="59">
        <f t="shared" si="2"/>
        <v>-38147.120511408692</v>
      </c>
    </row>
    <row r="19" spans="1:9" x14ac:dyDescent="0.25">
      <c r="A19" s="51">
        <f>'A) Base RI'!A10</f>
        <v>5404</v>
      </c>
      <c r="B19" s="34" t="str">
        <f>'A) Base RI'!B10</f>
        <v>Corbeyrier</v>
      </c>
      <c r="C19" s="33">
        <f>'D) Ecrêtage'!M8</f>
        <v>10965.354952380952</v>
      </c>
      <c r="D19" s="15">
        <f>'A) Base RI'!AN10</f>
        <v>437</v>
      </c>
      <c r="E19" s="10">
        <f t="shared" si="0"/>
        <v>202727.81399810326</v>
      </c>
      <c r="F19" s="15">
        <f>'F) Population'!K11</f>
        <v>43172.434607645875</v>
      </c>
      <c r="G19" s="10">
        <f>'G) Solidarité'!I8</f>
        <v>167497.21732675916</v>
      </c>
      <c r="H19" s="15">
        <f t="shared" si="1"/>
        <v>210669.65193440503</v>
      </c>
      <c r="I19" s="59">
        <f t="shared" si="2"/>
        <v>-7941.8379363017739</v>
      </c>
    </row>
    <row r="20" spans="1:9" x14ac:dyDescent="0.25">
      <c r="A20" s="51">
        <f>'A) Base RI'!A11</f>
        <v>5405</v>
      </c>
      <c r="B20" s="34" t="str">
        <f>'A) Base RI'!B11</f>
        <v>Gryon</v>
      </c>
      <c r="C20" s="33">
        <f>'D) Ecrêtage'!M9</f>
        <v>69949.839511111102</v>
      </c>
      <c r="D20" s="15">
        <f>'A) Base RI'!AN11</f>
        <v>1364</v>
      </c>
      <c r="E20" s="10">
        <f t="shared" si="0"/>
        <v>1293234.7484589703</v>
      </c>
      <c r="F20" s="15">
        <f>'F) Population'!K12</f>
        <v>224654.72837022133</v>
      </c>
      <c r="G20" s="10">
        <f>'G) Solidarité'!I9</f>
        <v>0</v>
      </c>
      <c r="H20" s="15">
        <f t="shared" si="1"/>
        <v>224654.72837022133</v>
      </c>
      <c r="I20" s="59">
        <f t="shared" si="2"/>
        <v>1068580.020088749</v>
      </c>
    </row>
    <row r="21" spans="1:9" x14ac:dyDescent="0.25">
      <c r="A21" s="51">
        <f>'A) Base RI'!A12</f>
        <v>5406</v>
      </c>
      <c r="B21" s="34" t="str">
        <f>'A) Base RI'!B12</f>
        <v>Lavey-Morcles</v>
      </c>
      <c r="C21" s="33">
        <f>'D) Ecrêtage'!M10</f>
        <v>22205.009750812569</v>
      </c>
      <c r="D21" s="15">
        <f>'A) Base RI'!AN12</f>
        <v>926</v>
      </c>
      <c r="E21" s="10">
        <f t="shared" si="0"/>
        <v>410526.89184597298</v>
      </c>
      <c r="F21" s="15">
        <f>'F) Population'!K13</f>
        <v>91482.092555331998</v>
      </c>
      <c r="G21" s="10">
        <f>'G) Solidarité'!I10</f>
        <v>385764.83136343129</v>
      </c>
      <c r="H21" s="15">
        <f t="shared" si="1"/>
        <v>477246.92391876329</v>
      </c>
      <c r="I21" s="59">
        <f t="shared" si="2"/>
        <v>-66720.032072790316</v>
      </c>
    </row>
    <row r="22" spans="1:9" x14ac:dyDescent="0.25">
      <c r="A22" s="51">
        <f>'A) Base RI'!A13</f>
        <v>5407</v>
      </c>
      <c r="B22" s="34" t="str">
        <f>'A) Base RI'!B13</f>
        <v>Leysin</v>
      </c>
      <c r="C22" s="33">
        <f>'D) Ecrêtage'!M11</f>
        <v>89269.724615384606</v>
      </c>
      <c r="D22" s="15">
        <f>'A) Base RI'!AN13</f>
        <v>4023</v>
      </c>
      <c r="E22" s="10">
        <f t="shared" si="0"/>
        <v>1650421.368581417</v>
      </c>
      <c r="F22" s="15">
        <f>'F) Population'!K14</f>
        <v>1295667.0020120724</v>
      </c>
      <c r="G22" s="10">
        <f>'G) Solidarité'!I11</f>
        <v>2196637.6095741293</v>
      </c>
      <c r="H22" s="15">
        <f t="shared" si="1"/>
        <v>3492304.6115862019</v>
      </c>
      <c r="I22" s="59">
        <f t="shared" si="2"/>
        <v>-1841883.2430047849</v>
      </c>
    </row>
    <row r="23" spans="1:9" x14ac:dyDescent="0.25">
      <c r="A23" s="51">
        <f>'A) Base RI'!A14</f>
        <v>5408</v>
      </c>
      <c r="B23" s="34" t="str">
        <f>'A) Base RI'!B14</f>
        <v>Noville</v>
      </c>
      <c r="C23" s="33">
        <f>'D) Ecrêtage'!M12</f>
        <v>34371.486709129509</v>
      </c>
      <c r="D23" s="15">
        <f>'A) Base RI'!AN14</f>
        <v>1055</v>
      </c>
      <c r="E23" s="10">
        <f t="shared" si="0"/>
        <v>635461.08581680548</v>
      </c>
      <c r="F23" s="15">
        <f>'F) Population'!K15</f>
        <v>117810.36217303823</v>
      </c>
      <c r="G23" s="10">
        <f>'G) Solidarité'!I12</f>
        <v>315264.21925074578</v>
      </c>
      <c r="H23" s="15">
        <f t="shared" si="1"/>
        <v>433074.58142378402</v>
      </c>
      <c r="I23" s="59">
        <f t="shared" si="2"/>
        <v>202386.50439302146</v>
      </c>
    </row>
    <row r="24" spans="1:9" x14ac:dyDescent="0.25">
      <c r="A24" s="51">
        <f>'A) Base RI'!A15</f>
        <v>5409</v>
      </c>
      <c r="B24" s="34" t="str">
        <f>'A) Base RI'!B15</f>
        <v>Ollon</v>
      </c>
      <c r="C24" s="33">
        <f>'D) Ecrêtage'!M13</f>
        <v>372011.63303167425</v>
      </c>
      <c r="D24" s="15">
        <f>'A) Base RI'!AN15</f>
        <v>7494</v>
      </c>
      <c r="E24" s="10">
        <f t="shared" si="0"/>
        <v>6877762.3226870811</v>
      </c>
      <c r="F24" s="15">
        <f>'F) Population'!K16</f>
        <v>3256604.426559356</v>
      </c>
      <c r="G24" s="10">
        <f>'G) Solidarité'!I13</f>
        <v>0</v>
      </c>
      <c r="H24" s="15">
        <f t="shared" si="1"/>
        <v>3256604.426559356</v>
      </c>
      <c r="I24" s="59">
        <f t="shared" si="2"/>
        <v>3621157.896127725</v>
      </c>
    </row>
    <row r="25" spans="1:9" x14ac:dyDescent="0.25">
      <c r="A25" s="51">
        <f>'A) Base RI'!A16</f>
        <v>5410</v>
      </c>
      <c r="B25" s="34" t="str">
        <f>'A) Base RI'!B16</f>
        <v>Ormont-Dessous</v>
      </c>
      <c r="C25" s="33">
        <f>'D) Ecrêtage'!M14</f>
        <v>38315.886284501066</v>
      </c>
      <c r="D25" s="15">
        <f>'A) Base RI'!AN16</f>
        <v>1117</v>
      </c>
      <c r="E25" s="10">
        <f t="shared" si="0"/>
        <v>708385.26446151896</v>
      </c>
      <c r="F25" s="15">
        <f>'F) Population'!K17</f>
        <v>139248.39034205233</v>
      </c>
      <c r="G25" s="10">
        <f>'G) Solidarité'!I14</f>
        <v>286704.37363926583</v>
      </c>
      <c r="H25" s="15">
        <f t="shared" si="1"/>
        <v>425952.76398131816</v>
      </c>
      <c r="I25" s="59">
        <f t="shared" si="2"/>
        <v>282432.5004802008</v>
      </c>
    </row>
    <row r="26" spans="1:9" x14ac:dyDescent="0.25">
      <c r="A26" s="51">
        <f>'A) Base RI'!A17</f>
        <v>5411</v>
      </c>
      <c r="B26" s="34" t="str">
        <f>'A) Base RI'!B17</f>
        <v>Ormont-Dessus</v>
      </c>
      <c r="C26" s="33">
        <f>'D) Ecrêtage'!M15</f>
        <v>79923.40364035088</v>
      </c>
      <c r="D26" s="15">
        <f>'A) Base RI'!AN17</f>
        <v>1467</v>
      </c>
      <c r="E26" s="10">
        <f t="shared" si="0"/>
        <v>1477626.3037229108</v>
      </c>
      <c r="F26" s="15">
        <f>'F) Population'!K18</f>
        <v>260269.51710261567</v>
      </c>
      <c r="G26" s="10">
        <f>'G) Solidarité'!I15</f>
        <v>0</v>
      </c>
      <c r="H26" s="15">
        <f t="shared" si="1"/>
        <v>260269.51710261567</v>
      </c>
      <c r="I26" s="59">
        <f t="shared" si="2"/>
        <v>1217356.7866202951</v>
      </c>
    </row>
    <row r="27" spans="1:9" x14ac:dyDescent="0.25">
      <c r="A27" s="51">
        <f>'A) Base RI'!A18</f>
        <v>5412</v>
      </c>
      <c r="B27" s="34" t="str">
        <f>'A) Base RI'!B18</f>
        <v>Rennaz</v>
      </c>
      <c r="C27" s="33">
        <f>'D) Ecrêtage'!M16</f>
        <v>31498.582370370365</v>
      </c>
      <c r="D27" s="15">
        <f>'A) Base RI'!AN18</f>
        <v>839</v>
      </c>
      <c r="E27" s="10">
        <f t="shared" si="0"/>
        <v>582346.74351310788</v>
      </c>
      <c r="F27" s="15">
        <f>'F) Population'!K19</f>
        <v>82887.122736418518</v>
      </c>
      <c r="G27" s="10">
        <f>'G) Solidarité'!I16</f>
        <v>110039.52540746464</v>
      </c>
      <c r="H27" s="15">
        <f t="shared" si="1"/>
        <v>192926.64814388315</v>
      </c>
      <c r="I27" s="59">
        <f t="shared" si="2"/>
        <v>389420.09536922473</v>
      </c>
    </row>
    <row r="28" spans="1:9" x14ac:dyDescent="0.25">
      <c r="A28" s="51">
        <f>'A) Base RI'!A19</f>
        <v>5413</v>
      </c>
      <c r="B28" s="34" t="str">
        <f>'A) Base RI'!B19</f>
        <v>Roche</v>
      </c>
      <c r="C28" s="33">
        <f>'D) Ecrêtage'!M17</f>
        <v>37711.950000000012</v>
      </c>
      <c r="D28" s="15">
        <f>'A) Base RI'!AN19</f>
        <v>1650</v>
      </c>
      <c r="E28" s="10">
        <f t="shared" si="0"/>
        <v>697219.67216808838</v>
      </c>
      <c r="F28" s="15">
        <f>'F) Population'!K20</f>
        <v>323546.27766599599</v>
      </c>
      <c r="G28" s="10">
        <f>'G) Solidarité'!I17</f>
        <v>664560.14618400694</v>
      </c>
      <c r="H28" s="15">
        <f t="shared" si="1"/>
        <v>988106.42385000293</v>
      </c>
      <c r="I28" s="59">
        <f t="shared" si="2"/>
        <v>-290886.75168191455</v>
      </c>
    </row>
    <row r="29" spans="1:9" x14ac:dyDescent="0.25">
      <c r="A29" s="51">
        <f>'A) Base RI'!A20</f>
        <v>5414</v>
      </c>
      <c r="B29" s="34" t="str">
        <f>'A) Base RI'!B20</f>
        <v>Villeneuve</v>
      </c>
      <c r="C29" s="33">
        <f>'D) Ecrêtage'!M18</f>
        <v>168706.05608695652</v>
      </c>
      <c r="D29" s="15">
        <f>'A) Base RI'!AN20</f>
        <v>5672</v>
      </c>
      <c r="E29" s="10">
        <f t="shared" si="0"/>
        <v>3119042.6673168303</v>
      </c>
      <c r="F29" s="15">
        <f>'F) Population'!K21</f>
        <v>2176602.0120724346</v>
      </c>
      <c r="G29" s="10">
        <f>'G) Solidarité'!I18</f>
        <v>1613614.4890611523</v>
      </c>
      <c r="H29" s="15">
        <f t="shared" si="1"/>
        <v>3790216.5011335872</v>
      </c>
      <c r="I29" s="59">
        <f t="shared" si="2"/>
        <v>-671173.83381675696</v>
      </c>
    </row>
    <row r="30" spans="1:9" x14ac:dyDescent="0.25">
      <c r="A30" s="51">
        <f>'A) Base RI'!A21</f>
        <v>5415</v>
      </c>
      <c r="B30" s="34" t="str">
        <f>'A) Base RI'!B21</f>
        <v>Yvorne</v>
      </c>
      <c r="C30" s="33">
        <f>'D) Ecrêtage'!M19</f>
        <v>35013.467459207466</v>
      </c>
      <c r="D30" s="15">
        <f>'A) Base RI'!AN21</f>
        <v>1057</v>
      </c>
      <c r="E30" s="10">
        <f t="shared" si="0"/>
        <v>647330.04534044652</v>
      </c>
      <c r="F30" s="15">
        <f>'F) Population'!K22</f>
        <v>118501.91146881288</v>
      </c>
      <c r="G30" s="10">
        <f>'G) Solidarité'!I19</f>
        <v>250332.77310444793</v>
      </c>
      <c r="H30" s="15">
        <f t="shared" si="1"/>
        <v>368834.68457326083</v>
      </c>
      <c r="I30" s="59">
        <f t="shared" si="2"/>
        <v>278495.36076718569</v>
      </c>
    </row>
    <row r="31" spans="1:9" x14ac:dyDescent="0.25">
      <c r="A31" s="51">
        <f>'A) Base RI'!A22</f>
        <v>5421</v>
      </c>
      <c r="B31" s="34" t="str">
        <f>'A) Base RI'!B22</f>
        <v>Apples</v>
      </c>
      <c r="C31" s="33">
        <f>'D) Ecrêtage'!M20</f>
        <v>59328.525131578965</v>
      </c>
      <c r="D31" s="15">
        <f>'A) Base RI'!AN22</f>
        <v>1437</v>
      </c>
      <c r="E31" s="10">
        <f t="shared" si="0"/>
        <v>1096867.5669769309</v>
      </c>
      <c r="F31" s="15">
        <f>'F) Population'!K23</f>
        <v>249896.27766599596</v>
      </c>
      <c r="G31" s="10">
        <f>'G) Solidarité'!I20</f>
        <v>115558.3253372514</v>
      </c>
      <c r="H31" s="15">
        <f t="shared" si="1"/>
        <v>365454.60300324735</v>
      </c>
      <c r="I31" s="59">
        <f t="shared" si="2"/>
        <v>731412.96397368354</v>
      </c>
    </row>
    <row r="32" spans="1:9" x14ac:dyDescent="0.25">
      <c r="A32" s="51">
        <f>'A) Base RI'!A23</f>
        <v>5422</v>
      </c>
      <c r="B32" s="34" t="str">
        <f>'A) Base RI'!B23</f>
        <v>Aubonne</v>
      </c>
      <c r="C32" s="33">
        <f>'D) Ecrêtage'!M21</f>
        <v>243071.90261791559</v>
      </c>
      <c r="D32" s="15">
        <f>'A) Base RI'!AN23</f>
        <v>3269</v>
      </c>
      <c r="E32" s="10">
        <f t="shared" si="0"/>
        <v>4493920.6871173875</v>
      </c>
      <c r="F32" s="15">
        <f>'F) Population'!K24</f>
        <v>923218.30985915498</v>
      </c>
      <c r="G32" s="10">
        <f>'G) Solidarité'!I21</f>
        <v>0</v>
      </c>
      <c r="H32" s="15">
        <f t="shared" si="1"/>
        <v>923218.30985915498</v>
      </c>
      <c r="I32" s="59">
        <f t="shared" si="2"/>
        <v>3570702.3772582328</v>
      </c>
    </row>
    <row r="33" spans="1:9" x14ac:dyDescent="0.25">
      <c r="A33" s="51">
        <f>'A) Base RI'!A24</f>
        <v>5423</v>
      </c>
      <c r="B33" s="34" t="str">
        <f>'A) Base RI'!B24</f>
        <v>Ballens</v>
      </c>
      <c r="C33" s="33">
        <f>'D) Ecrêtage'!M22</f>
        <v>16703.466521739134</v>
      </c>
      <c r="D33" s="15">
        <f>'A) Base RI'!AN24</f>
        <v>527</v>
      </c>
      <c r="E33" s="10">
        <f t="shared" si="0"/>
        <v>308814.19423704146</v>
      </c>
      <c r="F33" s="15">
        <f>'F) Population'!K25</f>
        <v>52063.782696177062</v>
      </c>
      <c r="G33" s="10">
        <f>'G) Solidarité'!I22</f>
        <v>130481.28465175437</v>
      </c>
      <c r="H33" s="15">
        <f t="shared" si="1"/>
        <v>182545.06734793144</v>
      </c>
      <c r="I33" s="59">
        <f t="shared" si="2"/>
        <v>126269.12688911002</v>
      </c>
    </row>
    <row r="34" spans="1:9" x14ac:dyDescent="0.25">
      <c r="A34" s="51">
        <f>'A) Base RI'!A25</f>
        <v>5424</v>
      </c>
      <c r="B34" s="34" t="str">
        <f>'A) Base RI'!B25</f>
        <v>Berolle</v>
      </c>
      <c r="C34" s="33">
        <f>'D) Ecrêtage'!M23</f>
        <v>11342.941168831172</v>
      </c>
      <c r="D34" s="15">
        <f>'A) Base RI'!AN25</f>
        <v>301</v>
      </c>
      <c r="E34" s="10">
        <f t="shared" si="0"/>
        <v>209708.63938763126</v>
      </c>
      <c r="F34" s="15">
        <f>'F) Population'!K26</f>
        <v>29736.619718309859</v>
      </c>
      <c r="G34" s="10">
        <f>'G) Solidarité'!I23</f>
        <v>50371.651449359138</v>
      </c>
      <c r="H34" s="15">
        <f t="shared" si="1"/>
        <v>80108.271167668994</v>
      </c>
      <c r="I34" s="59">
        <f t="shared" si="2"/>
        <v>129600.36821996227</v>
      </c>
    </row>
    <row r="35" spans="1:9" x14ac:dyDescent="0.25">
      <c r="A35" s="51">
        <f>'A) Base RI'!A26</f>
        <v>5425</v>
      </c>
      <c r="B35" s="34" t="str">
        <f>'A) Base RI'!B26</f>
        <v>Bière</v>
      </c>
      <c r="C35" s="33">
        <f>'D) Ecrêtage'!M24</f>
        <v>41451.382114604457</v>
      </c>
      <c r="D35" s="15">
        <f>'A) Base RI'!AN26</f>
        <v>1577</v>
      </c>
      <c r="E35" s="10">
        <f t="shared" si="0"/>
        <v>766354.40619906096</v>
      </c>
      <c r="F35" s="15">
        <f>'F) Population'!K27</f>
        <v>298304.72837022133</v>
      </c>
      <c r="G35" s="10">
        <f>'G) Solidarité'!I24</f>
        <v>535869.54326142801</v>
      </c>
      <c r="H35" s="15">
        <f t="shared" si="1"/>
        <v>834174.27163164935</v>
      </c>
      <c r="I35" s="59">
        <f t="shared" si="2"/>
        <v>-67819.865432588384</v>
      </c>
    </row>
    <row r="36" spans="1:9" x14ac:dyDescent="0.25">
      <c r="A36" s="51">
        <f>'A) Base RI'!A27</f>
        <v>5426</v>
      </c>
      <c r="B36" s="34" t="str">
        <f>'A) Base RI'!B27</f>
        <v>Bougy-Villars</v>
      </c>
      <c r="C36" s="33">
        <f>'D) Ecrêtage'!M25</f>
        <v>41849.005745343922</v>
      </c>
      <c r="D36" s="15">
        <f>'A) Base RI'!AN27</f>
        <v>483</v>
      </c>
      <c r="E36" s="10">
        <f t="shared" si="0"/>
        <v>773705.68390998419</v>
      </c>
      <c r="F36" s="15">
        <f>'F) Population'!K28</f>
        <v>47716.901408450707</v>
      </c>
      <c r="G36" s="10">
        <f>'G) Solidarité'!I25</f>
        <v>0</v>
      </c>
      <c r="H36" s="15">
        <f t="shared" si="1"/>
        <v>47716.901408450707</v>
      </c>
      <c r="I36" s="59">
        <f t="shared" si="2"/>
        <v>725988.78250153351</v>
      </c>
    </row>
    <row r="37" spans="1:9" x14ac:dyDescent="0.25">
      <c r="A37" s="51">
        <f>'A) Base RI'!A28</f>
        <v>5427</v>
      </c>
      <c r="B37" s="34" t="str">
        <f>'A) Base RI'!B28</f>
        <v>Féchy</v>
      </c>
      <c r="C37" s="33">
        <f>'D) Ecrêtage'!M26</f>
        <v>71582.758278952533</v>
      </c>
      <c r="D37" s="15">
        <f>'A) Base RI'!AN28</f>
        <v>895</v>
      </c>
      <c r="E37" s="10">
        <f t="shared" si="0"/>
        <v>1323424.2000251587</v>
      </c>
      <c r="F37" s="15">
        <f>'F) Population'!K29</f>
        <v>88419.51710261569</v>
      </c>
      <c r="G37" s="10">
        <f>'G) Solidarité'!I26</f>
        <v>0</v>
      </c>
      <c r="H37" s="15">
        <f t="shared" si="1"/>
        <v>88419.51710261569</v>
      </c>
      <c r="I37" s="59">
        <f t="shared" si="2"/>
        <v>1235004.682922543</v>
      </c>
    </row>
    <row r="38" spans="1:9" x14ac:dyDescent="0.25">
      <c r="A38" s="51">
        <f>'A) Base RI'!A29</f>
        <v>5428</v>
      </c>
      <c r="B38" s="34" t="str">
        <f>'A) Base RI'!B29</f>
        <v>Gimel</v>
      </c>
      <c r="C38" s="33">
        <f>'D) Ecrêtage'!M27</f>
        <v>62694.643076923086</v>
      </c>
      <c r="D38" s="15">
        <f>'A) Base RI'!AN29</f>
        <v>2016</v>
      </c>
      <c r="E38" s="10">
        <f t="shared" si="0"/>
        <v>1159100.4573560269</v>
      </c>
      <c r="F38" s="15">
        <f>'F) Population'!K30</f>
        <v>450099.79879275651</v>
      </c>
      <c r="G38" s="10">
        <f>'G) Solidarité'!I27</f>
        <v>560396.16741131351</v>
      </c>
      <c r="H38" s="15">
        <f t="shared" si="1"/>
        <v>1010495.96620407</v>
      </c>
      <c r="I38" s="59">
        <f t="shared" si="2"/>
        <v>148604.49115195684</v>
      </c>
    </row>
    <row r="39" spans="1:9" x14ac:dyDescent="0.25">
      <c r="A39" s="51">
        <f>'A) Base RI'!A30</f>
        <v>5429</v>
      </c>
      <c r="B39" s="34" t="str">
        <f>'A) Base RI'!B30</f>
        <v>Longirod</v>
      </c>
      <c r="C39" s="33">
        <f>'D) Ecrêtage'!M28</f>
        <v>14895.063209876542</v>
      </c>
      <c r="D39" s="15">
        <f>'A) Base RI'!AN30</f>
        <v>469</v>
      </c>
      <c r="E39" s="10">
        <f t="shared" si="0"/>
        <v>275380.37911359861</v>
      </c>
      <c r="F39" s="15">
        <f>'F) Population'!K31</f>
        <v>46333.802816901407</v>
      </c>
      <c r="G39" s="10">
        <f>'G) Solidarité'!I28</f>
        <v>159243.28678544686</v>
      </c>
      <c r="H39" s="15">
        <f t="shared" si="1"/>
        <v>205577.08960234828</v>
      </c>
      <c r="I39" s="59">
        <f t="shared" si="2"/>
        <v>69803.289511250332</v>
      </c>
    </row>
    <row r="40" spans="1:9" x14ac:dyDescent="0.25">
      <c r="A40" s="51">
        <f>'A) Base RI'!A31</f>
        <v>5430</v>
      </c>
      <c r="B40" s="34" t="str">
        <f>'A) Base RI'!B31</f>
        <v>Marchissy</v>
      </c>
      <c r="C40" s="33">
        <f>'D) Ecrêtage'!M29</f>
        <v>13624.129113924049</v>
      </c>
      <c r="D40" s="15">
        <f>'A) Base RI'!AN31</f>
        <v>455</v>
      </c>
      <c r="E40" s="10">
        <f t="shared" si="0"/>
        <v>251883.3111092328</v>
      </c>
      <c r="F40" s="15">
        <f>'F) Population'!K32</f>
        <v>44950.704225352114</v>
      </c>
      <c r="G40" s="10">
        <f>'G) Solidarité'!I29</f>
        <v>167430.98918080042</v>
      </c>
      <c r="H40" s="15">
        <f t="shared" si="1"/>
        <v>212381.69340615254</v>
      </c>
      <c r="I40" s="59">
        <f t="shared" si="2"/>
        <v>39501.617703080265</v>
      </c>
    </row>
    <row r="41" spans="1:9" x14ac:dyDescent="0.25">
      <c r="A41" s="51">
        <f>'A) Base RI'!A32</f>
        <v>5431</v>
      </c>
      <c r="B41" s="34" t="str">
        <f>'A) Base RI'!B32</f>
        <v>Mollens</v>
      </c>
      <c r="C41" s="33">
        <f>'D) Ecrêtage'!M30</f>
        <v>8975.9641891891897</v>
      </c>
      <c r="D41" s="15">
        <f>'A) Base RI'!AN32</f>
        <v>301</v>
      </c>
      <c r="E41" s="10">
        <f t="shared" si="0"/>
        <v>165947.89740066443</v>
      </c>
      <c r="F41" s="15">
        <f>'F) Population'!K33</f>
        <v>29736.619718309859</v>
      </c>
      <c r="G41" s="10">
        <f>'G) Solidarité'!I30</f>
        <v>97987.989221007243</v>
      </c>
      <c r="H41" s="15">
        <f t="shared" si="1"/>
        <v>127724.6089393171</v>
      </c>
      <c r="I41" s="59">
        <f t="shared" si="2"/>
        <v>38223.288461347329</v>
      </c>
    </row>
    <row r="42" spans="1:9" x14ac:dyDescent="0.25">
      <c r="A42" s="51">
        <f>'A) Base RI'!A33</f>
        <v>5432</v>
      </c>
      <c r="B42" s="34" t="str">
        <f>'A) Base RI'!B33</f>
        <v>Montherod</v>
      </c>
      <c r="C42" s="33">
        <f>'D) Ecrêtage'!M31</f>
        <v>18019.761538461538</v>
      </c>
      <c r="D42" s="15">
        <f>'A) Base RI'!AN33</f>
        <v>534</v>
      </c>
      <c r="E42" s="10">
        <f t="shared" si="0"/>
        <v>333149.89631650655</v>
      </c>
      <c r="F42" s="15">
        <f>'F) Population'!K34</f>
        <v>52755.331991951709</v>
      </c>
      <c r="G42" s="10">
        <f>'G) Solidarité'!I31</f>
        <v>142516.45585518208</v>
      </c>
      <c r="H42" s="15">
        <f t="shared" si="1"/>
        <v>195271.78784713379</v>
      </c>
      <c r="I42" s="59">
        <f t="shared" si="2"/>
        <v>137878.10846937276</v>
      </c>
    </row>
    <row r="43" spans="1:9" x14ac:dyDescent="0.25">
      <c r="A43" s="51">
        <f>'A) Base RI'!A34</f>
        <v>5434</v>
      </c>
      <c r="B43" s="34" t="str">
        <f>'A) Base RI'!B34</f>
        <v>Saint-George</v>
      </c>
      <c r="C43" s="33">
        <f>'D) Ecrêtage'!M32</f>
        <v>37243.682394366202</v>
      </c>
      <c r="D43" s="15">
        <f>'A) Base RI'!AN34</f>
        <v>1031</v>
      </c>
      <c r="E43" s="10">
        <f t="shared" si="0"/>
        <v>688562.32651274733</v>
      </c>
      <c r="F43" s="15">
        <f>'F) Population'!K35</f>
        <v>109511.77062374246</v>
      </c>
      <c r="G43" s="10">
        <f>'G) Solidarité'!I32</f>
        <v>178894.02234155478</v>
      </c>
      <c r="H43" s="15">
        <f t="shared" si="1"/>
        <v>288405.79296529724</v>
      </c>
      <c r="I43" s="59">
        <f t="shared" si="2"/>
        <v>400156.53354745009</v>
      </c>
    </row>
    <row r="44" spans="1:9" x14ac:dyDescent="0.25">
      <c r="A44" s="51">
        <f>'A) Base RI'!A35</f>
        <v>5435</v>
      </c>
      <c r="B44" s="34" t="str">
        <f>'A) Base RI'!B35</f>
        <v>Saint-Livres</v>
      </c>
      <c r="C44" s="33">
        <f>'D) Ecrêtage'!M33</f>
        <v>25784.308260869562</v>
      </c>
      <c r="D44" s="15">
        <f>'A) Base RI'!AN35</f>
        <v>683</v>
      </c>
      <c r="E44" s="10">
        <f t="shared" si="0"/>
        <v>476701.07095295802</v>
      </c>
      <c r="F44" s="15">
        <f>'F) Population'!K36</f>
        <v>67475.45271629779</v>
      </c>
      <c r="G44" s="10">
        <f>'G) Solidarité'!I33</f>
        <v>90912.213405618444</v>
      </c>
      <c r="H44" s="15">
        <f t="shared" si="1"/>
        <v>158387.66612191623</v>
      </c>
      <c r="I44" s="59">
        <f t="shared" si="2"/>
        <v>318313.40483104181</v>
      </c>
    </row>
    <row r="45" spans="1:9" x14ac:dyDescent="0.25">
      <c r="A45" s="51">
        <f>'A) Base RI'!A36</f>
        <v>5436</v>
      </c>
      <c r="B45" s="34" t="str">
        <f>'A) Base RI'!B36</f>
        <v>Saint-Oyens</v>
      </c>
      <c r="C45" s="33">
        <f>'D) Ecrêtage'!M34</f>
        <v>11330.196234567902</v>
      </c>
      <c r="D45" s="15">
        <f>'A) Base RI'!AN36</f>
        <v>366</v>
      </c>
      <c r="E45" s="10">
        <f t="shared" si="0"/>
        <v>209473.01065751148</v>
      </c>
      <c r="F45" s="15">
        <f>'F) Population'!K37</f>
        <v>36158.148893360158</v>
      </c>
      <c r="G45" s="10">
        <f>'G) Solidarité'!I34</f>
        <v>131921.26398840189</v>
      </c>
      <c r="H45" s="15">
        <f t="shared" si="1"/>
        <v>168079.41288176205</v>
      </c>
      <c r="I45" s="59">
        <f t="shared" si="2"/>
        <v>41393.597775749426</v>
      </c>
    </row>
    <row r="46" spans="1:9" x14ac:dyDescent="0.25">
      <c r="A46" s="51">
        <f>'A) Base RI'!A37</f>
        <v>5437</v>
      </c>
      <c r="B46" s="34" t="str">
        <f>'A) Base RI'!B37</f>
        <v>Saubraz</v>
      </c>
      <c r="C46" s="33">
        <f>'D) Ecrêtage'!M35</f>
        <v>9948.7022499999985</v>
      </c>
      <c r="D46" s="15">
        <f>'A) Base RI'!AN37</f>
        <v>420</v>
      </c>
      <c r="E46" s="10">
        <f t="shared" si="0"/>
        <v>183931.90808862762</v>
      </c>
      <c r="F46" s="15">
        <f>'F) Population'!K38</f>
        <v>41492.957746478874</v>
      </c>
      <c r="G46" s="10">
        <f>'G) Solidarité'!I35</f>
        <v>225256.31561000136</v>
      </c>
      <c r="H46" s="15">
        <f t="shared" si="1"/>
        <v>266749.27335648023</v>
      </c>
      <c r="I46" s="59">
        <f t="shared" si="2"/>
        <v>-82817.365267852612</v>
      </c>
    </row>
    <row r="47" spans="1:9" x14ac:dyDescent="0.25">
      <c r="A47" s="51">
        <f>'A) Base RI'!A38</f>
        <v>5451</v>
      </c>
      <c r="B47" s="34" t="str">
        <f>'A) Base RI'!B38</f>
        <v>Avenches</v>
      </c>
      <c r="C47" s="33">
        <f>'D) Ecrêtage'!M36</f>
        <v>97584.0206372549</v>
      </c>
      <c r="D47" s="15">
        <f>'A) Base RI'!AN38</f>
        <v>4210</v>
      </c>
      <c r="E47" s="10">
        <f t="shared" si="0"/>
        <v>1804136.3248930594</v>
      </c>
      <c r="F47" s="15">
        <f>'F) Population'!K39</f>
        <v>1388038.2293762574</v>
      </c>
      <c r="G47" s="10">
        <f>'G) Solidarité'!I36</f>
        <v>1670639.865699877</v>
      </c>
      <c r="H47" s="15">
        <f t="shared" si="1"/>
        <v>3058678.0950761344</v>
      </c>
      <c r="I47" s="59">
        <f t="shared" si="2"/>
        <v>-1254541.770183075</v>
      </c>
    </row>
    <row r="48" spans="1:9" x14ac:dyDescent="0.25">
      <c r="A48" s="51">
        <f>'A) Base RI'!A39</f>
        <v>5456</v>
      </c>
      <c r="B48" s="34" t="str">
        <f>'A) Base RI'!B39</f>
        <v>Cudrefin</v>
      </c>
      <c r="C48" s="33">
        <f>'D) Ecrêtage'!M37</f>
        <v>55901.49875706216</v>
      </c>
      <c r="D48" s="15">
        <f>'A) Base RI'!AN39</f>
        <v>1589</v>
      </c>
      <c r="E48" s="10">
        <f t="shared" si="0"/>
        <v>1033508.5997171631</v>
      </c>
      <c r="F48" s="15">
        <f>'F) Population'!K40</f>
        <v>302454.02414486918</v>
      </c>
      <c r="G48" s="10">
        <f>'G) Solidarité'!I37</f>
        <v>211114.41126408658</v>
      </c>
      <c r="H48" s="15">
        <f t="shared" si="1"/>
        <v>513568.43540895579</v>
      </c>
      <c r="I48" s="59">
        <f t="shared" si="2"/>
        <v>519940.16430820734</v>
      </c>
    </row>
    <row r="49" spans="1:9" x14ac:dyDescent="0.25">
      <c r="A49" s="51">
        <f>'A) Base RI'!A40</f>
        <v>5458</v>
      </c>
      <c r="B49" s="34" t="str">
        <f>'A) Base RI'!B40</f>
        <v>Faoug</v>
      </c>
      <c r="C49" s="33">
        <f>'D) Ecrêtage'!M38</f>
        <v>34800.236562500002</v>
      </c>
      <c r="D49" s="15">
        <f>'A) Base RI'!AN40</f>
        <v>893</v>
      </c>
      <c r="E49" s="10">
        <f t="shared" si="0"/>
        <v>643387.82607311918</v>
      </c>
      <c r="F49" s="15">
        <f>'F) Population'!K41</f>
        <v>88221.931589537227</v>
      </c>
      <c r="G49" s="10">
        <f>'G) Solidarité'!I38</f>
        <v>84565.752104504121</v>
      </c>
      <c r="H49" s="15">
        <f t="shared" si="1"/>
        <v>172787.68369404133</v>
      </c>
      <c r="I49" s="59">
        <f t="shared" si="2"/>
        <v>470600.14237907785</v>
      </c>
    </row>
    <row r="50" spans="1:9" x14ac:dyDescent="0.25">
      <c r="A50" s="51">
        <f>'A) Base RI'!A41</f>
        <v>5464</v>
      </c>
      <c r="B50" s="34" t="str">
        <f>'A) Base RI'!B41</f>
        <v>Vully-les-Lacs</v>
      </c>
      <c r="C50" s="33">
        <f>'D) Ecrêtage'!M39</f>
        <v>98954.06119402984</v>
      </c>
      <c r="D50" s="15">
        <f>'A) Base RI'!AN41</f>
        <v>3080</v>
      </c>
      <c r="E50" s="10">
        <f t="shared" si="0"/>
        <v>1829465.6761425072</v>
      </c>
      <c r="F50" s="15">
        <f>'F) Population'!K42</f>
        <v>829859.15492957749</v>
      </c>
      <c r="G50" s="10">
        <f>'G) Solidarité'!I39</f>
        <v>695271.44405236363</v>
      </c>
      <c r="H50" s="15">
        <f t="shared" si="1"/>
        <v>1525130.5989819411</v>
      </c>
      <c r="I50" s="59">
        <f t="shared" si="2"/>
        <v>304335.07716056611</v>
      </c>
    </row>
    <row r="51" spans="1:9" x14ac:dyDescent="0.25">
      <c r="A51" s="51">
        <f>'A) Base RI'!A42</f>
        <v>5471</v>
      </c>
      <c r="B51" s="34" t="str">
        <f>'A) Base RI'!B42</f>
        <v>Bettens</v>
      </c>
      <c r="C51" s="33">
        <f>'D) Ecrêtage'!M40</f>
        <v>19215.411857142855</v>
      </c>
      <c r="D51" s="15">
        <f>'A) Base RI'!AN42</f>
        <v>574</v>
      </c>
      <c r="E51" s="10">
        <f t="shared" si="0"/>
        <v>355255.11556978454</v>
      </c>
      <c r="F51" s="15">
        <f>'F) Population'!K43</f>
        <v>56707.042253521126</v>
      </c>
      <c r="G51" s="10">
        <f>'G) Solidarité'!I40</f>
        <v>126378.37534092602</v>
      </c>
      <c r="H51" s="15">
        <f t="shared" si="1"/>
        <v>183085.41759444715</v>
      </c>
      <c r="I51" s="59">
        <f t="shared" si="2"/>
        <v>172169.69797533739</v>
      </c>
    </row>
    <row r="52" spans="1:9" x14ac:dyDescent="0.25">
      <c r="A52" s="51">
        <f>'A) Base RI'!A43</f>
        <v>5472</v>
      </c>
      <c r="B52" s="34" t="str">
        <f>'A) Base RI'!B43</f>
        <v>Bournens</v>
      </c>
      <c r="C52" s="33">
        <f>'D) Ecrêtage'!M41</f>
        <v>15134.969000000003</v>
      </c>
      <c r="D52" s="15">
        <f>'A) Base RI'!AN43</f>
        <v>419</v>
      </c>
      <c r="E52" s="10">
        <f t="shared" si="0"/>
        <v>279815.76461716194</v>
      </c>
      <c r="F52" s="15">
        <f>'F) Population'!K44</f>
        <v>41394.164989939636</v>
      </c>
      <c r="G52" s="10">
        <f>'G) Solidarité'!I41</f>
        <v>92326.124789633395</v>
      </c>
      <c r="H52" s="15">
        <f t="shared" si="1"/>
        <v>133720.28977957304</v>
      </c>
      <c r="I52" s="59">
        <f t="shared" si="2"/>
        <v>146095.4748375889</v>
      </c>
    </row>
    <row r="53" spans="1:9" x14ac:dyDescent="0.25">
      <c r="A53" s="51">
        <f>'A) Base RI'!A44</f>
        <v>5473</v>
      </c>
      <c r="B53" s="34" t="str">
        <f>'A) Base RI'!B44</f>
        <v>Boussens</v>
      </c>
      <c r="C53" s="33">
        <f>'D) Ecrêtage'!M42</f>
        <v>33278.780724637691</v>
      </c>
      <c r="D53" s="15">
        <f>'A) Base RI'!AN44</f>
        <v>982</v>
      </c>
      <c r="E53" s="10">
        <f t="shared" si="0"/>
        <v>615259.10452749289</v>
      </c>
      <c r="F53" s="15">
        <f>'F) Population'!K45</f>
        <v>97014.486921529169</v>
      </c>
      <c r="G53" s="10">
        <f>'G) Solidarité'!I42</f>
        <v>202418.43507614653</v>
      </c>
      <c r="H53" s="15">
        <f t="shared" si="1"/>
        <v>299432.92199767567</v>
      </c>
      <c r="I53" s="59">
        <f t="shared" si="2"/>
        <v>315826.18252981722</v>
      </c>
    </row>
    <row r="54" spans="1:9" x14ac:dyDescent="0.25">
      <c r="A54" s="51">
        <f>'A) Base RI'!A45</f>
        <v>5474</v>
      </c>
      <c r="B54" s="34" t="str">
        <f>'A) Base RI'!B45</f>
        <v>La Chaux (Cossonay)</v>
      </c>
      <c r="C54" s="33">
        <f>'D) Ecrêtage'!M43</f>
        <v>13413.30380952381</v>
      </c>
      <c r="D54" s="15">
        <f>'A) Base RI'!AN45</f>
        <v>420</v>
      </c>
      <c r="E54" s="10">
        <f t="shared" si="0"/>
        <v>247985.56650523667</v>
      </c>
      <c r="F54" s="15">
        <f>'F) Population'!K46</f>
        <v>41492.957746478874</v>
      </c>
      <c r="G54" s="10">
        <f>'G) Solidarité'!I43</f>
        <v>127116.69506097314</v>
      </c>
      <c r="H54" s="15">
        <f t="shared" si="1"/>
        <v>168609.65280745202</v>
      </c>
      <c r="I54" s="59">
        <f t="shared" si="2"/>
        <v>79375.91369778465</v>
      </c>
    </row>
    <row r="55" spans="1:9" x14ac:dyDescent="0.25">
      <c r="A55" s="51">
        <f>'A) Base RI'!A46</f>
        <v>5475</v>
      </c>
      <c r="B55" s="34" t="str">
        <f>'A) Base RI'!B46</f>
        <v>Chavannes-le-Veyron</v>
      </c>
      <c r="C55" s="33">
        <f>'D) Ecrêtage'!M44</f>
        <v>3783.0914285714284</v>
      </c>
      <c r="D55" s="15">
        <f>'A) Base RI'!AN46</f>
        <v>141</v>
      </c>
      <c r="E55" s="10">
        <f t="shared" si="0"/>
        <v>69941.908748035465</v>
      </c>
      <c r="F55" s="15">
        <f>'F) Population'!K47</f>
        <v>13929.778672032193</v>
      </c>
      <c r="G55" s="10">
        <f>'G) Solidarité'!I44</f>
        <v>59623.556920091018</v>
      </c>
      <c r="H55" s="15">
        <f t="shared" si="1"/>
        <v>73553.335592123214</v>
      </c>
      <c r="I55" s="59">
        <f t="shared" si="2"/>
        <v>-3611.4268440877495</v>
      </c>
    </row>
    <row r="56" spans="1:9" x14ac:dyDescent="0.25">
      <c r="A56" s="51">
        <f>'A) Base RI'!A47</f>
        <v>5476</v>
      </c>
      <c r="B56" s="34" t="str">
        <f>'A) Base RI'!B47</f>
        <v>Chevilly</v>
      </c>
      <c r="C56" s="33">
        <f>'D) Ecrêtage'!M45</f>
        <v>10089.483198198201</v>
      </c>
      <c r="D56" s="15">
        <f>'A) Base RI'!AN47</f>
        <v>298</v>
      </c>
      <c r="E56" s="10">
        <f t="shared" si="0"/>
        <v>186534.67051672438</v>
      </c>
      <c r="F56" s="15">
        <f>'F) Population'!K48</f>
        <v>29440.241448692152</v>
      </c>
      <c r="G56" s="10">
        <f>'G) Solidarité'!I45</f>
        <v>70855.083504562557</v>
      </c>
      <c r="H56" s="15">
        <f t="shared" si="1"/>
        <v>100295.32495325471</v>
      </c>
      <c r="I56" s="59">
        <f t="shared" si="2"/>
        <v>86239.345563469673</v>
      </c>
    </row>
    <row r="57" spans="1:9" x14ac:dyDescent="0.25">
      <c r="A57" s="51">
        <f>'A) Base RI'!A48</f>
        <v>5477</v>
      </c>
      <c r="B57" s="34" t="str">
        <f>'A) Base RI'!B48</f>
        <v>Cossonay</v>
      </c>
      <c r="C57" s="33">
        <f>'D) Ecrêtage'!M46</f>
        <v>126013.2271830986</v>
      </c>
      <c r="D57" s="15">
        <f>'A) Base RI'!AN48</f>
        <v>3808</v>
      </c>
      <c r="E57" s="10">
        <f t="shared" si="0"/>
        <v>2329736.3553314754</v>
      </c>
      <c r="F57" s="15">
        <f>'F) Population'!K49</f>
        <v>1189464.7887323943</v>
      </c>
      <c r="G57" s="10">
        <f>'G) Solidarité'!I46</f>
        <v>891853.91779573436</v>
      </c>
      <c r="H57" s="15">
        <f t="shared" si="1"/>
        <v>2081318.7065281286</v>
      </c>
      <c r="I57" s="59">
        <f t="shared" si="2"/>
        <v>248417.64880334679</v>
      </c>
    </row>
    <row r="58" spans="1:9" x14ac:dyDescent="0.25">
      <c r="A58" s="51">
        <f>'A) Base RI'!A49</f>
        <v>5478</v>
      </c>
      <c r="B58" s="34" t="str">
        <f>'A) Base RI'!B49</f>
        <v>Cottens</v>
      </c>
      <c r="C58" s="33">
        <f>'D) Ecrêtage'!M47</f>
        <v>17030.362972972973</v>
      </c>
      <c r="D58" s="15">
        <f>'A) Base RI'!AN49</f>
        <v>477</v>
      </c>
      <c r="E58" s="10">
        <f t="shared" si="0"/>
        <v>314857.8657141772</v>
      </c>
      <c r="F58" s="15">
        <f>'F) Population'!K50</f>
        <v>47124.144869215292</v>
      </c>
      <c r="G58" s="10">
        <f>'G) Solidarité'!I47</f>
        <v>94272.84001433487</v>
      </c>
      <c r="H58" s="15">
        <f t="shared" si="1"/>
        <v>141396.98488355015</v>
      </c>
      <c r="I58" s="59">
        <f t="shared" si="2"/>
        <v>173460.88083062705</v>
      </c>
    </row>
    <row r="59" spans="1:9" x14ac:dyDescent="0.25">
      <c r="A59" s="51">
        <f>'A) Base RI'!A50</f>
        <v>5479</v>
      </c>
      <c r="B59" s="34" t="str">
        <f>'A) Base RI'!B50</f>
        <v>Cuarnens</v>
      </c>
      <c r="C59" s="33">
        <f>'D) Ecrêtage'!M48</f>
        <v>19628.392987012987</v>
      </c>
      <c r="D59" s="15">
        <f>'A) Base RI'!AN50</f>
        <v>479</v>
      </c>
      <c r="E59" s="10">
        <f t="shared" si="0"/>
        <v>362890.32318911108</v>
      </c>
      <c r="F59" s="15">
        <f>'F) Population'!K51</f>
        <v>47321.730382293761</v>
      </c>
      <c r="G59" s="10">
        <f>'G) Solidarité'!I48</f>
        <v>43018.801960592165</v>
      </c>
      <c r="H59" s="15">
        <f t="shared" si="1"/>
        <v>90340.532342885926</v>
      </c>
      <c r="I59" s="59">
        <f t="shared" si="2"/>
        <v>272549.79084622517</v>
      </c>
    </row>
    <row r="60" spans="1:9" x14ac:dyDescent="0.25">
      <c r="A60" s="51">
        <f>'A) Base RI'!A51</f>
        <v>5480</v>
      </c>
      <c r="B60" s="34" t="str">
        <f>'A) Base RI'!B51</f>
        <v>Daillens</v>
      </c>
      <c r="C60" s="33">
        <f>'D) Ecrêtage'!M49</f>
        <v>41809.315211267603</v>
      </c>
      <c r="D60" s="15">
        <f>'A) Base RI'!AN51</f>
        <v>998</v>
      </c>
      <c r="E60" s="10">
        <f t="shared" si="0"/>
        <v>772971.88411557244</v>
      </c>
      <c r="F60" s="15">
        <f>'F) Population'!K52</f>
        <v>98595.171026156939</v>
      </c>
      <c r="G60" s="10">
        <f>'G) Solidarité'!I49</f>
        <v>57923.26160328096</v>
      </c>
      <c r="H60" s="15">
        <f t="shared" si="1"/>
        <v>156518.43262943788</v>
      </c>
      <c r="I60" s="59">
        <f t="shared" si="2"/>
        <v>616453.45148613455</v>
      </c>
    </row>
    <row r="61" spans="1:9" x14ac:dyDescent="0.25">
      <c r="A61" s="51">
        <f>'A) Base RI'!A52</f>
        <v>5481</v>
      </c>
      <c r="B61" s="34" t="str">
        <f>'A) Base RI'!B52</f>
        <v>Dizy</v>
      </c>
      <c r="C61" s="33">
        <f>'D) Ecrêtage'!M50</f>
        <v>8477.634430379745</v>
      </c>
      <c r="D61" s="15">
        <f>'A) Base RI'!AN52</f>
        <v>229</v>
      </c>
      <c r="E61" s="10">
        <f t="shared" si="0"/>
        <v>156734.76174820616</v>
      </c>
      <c r="F61" s="15">
        <f>'F) Population'!K53</f>
        <v>22623.541247484911</v>
      </c>
      <c r="G61" s="10">
        <f>'G) Solidarité'!I50</f>
        <v>44106.99456466519</v>
      </c>
      <c r="H61" s="15">
        <f t="shared" si="1"/>
        <v>66730.535812150105</v>
      </c>
      <c r="I61" s="59">
        <f t="shared" si="2"/>
        <v>90004.225936056057</v>
      </c>
    </row>
    <row r="62" spans="1:9" x14ac:dyDescent="0.25">
      <c r="A62" s="51">
        <f>'A) Base RI'!A53</f>
        <v>5482</v>
      </c>
      <c r="B62" s="34" t="str">
        <f>'A) Base RI'!B53</f>
        <v>Eclépens</v>
      </c>
      <c r="C62" s="33">
        <f>'D) Ecrêtage'!M51</f>
        <v>50368.719782608692</v>
      </c>
      <c r="D62" s="15">
        <f>'A) Base RI'!AN53</f>
        <v>1091</v>
      </c>
      <c r="E62" s="10">
        <f t="shared" si="0"/>
        <v>931218.41470294516</v>
      </c>
      <c r="F62" s="15">
        <f>'F) Population'!K54</f>
        <v>130258.24949698189</v>
      </c>
      <c r="G62" s="10">
        <f>'G) Solidarité'!I51</f>
        <v>0</v>
      </c>
      <c r="H62" s="15">
        <f t="shared" si="1"/>
        <v>130258.24949698189</v>
      </c>
      <c r="I62" s="59">
        <f t="shared" si="2"/>
        <v>800960.16520596331</v>
      </c>
    </row>
    <row r="63" spans="1:9" x14ac:dyDescent="0.25">
      <c r="A63" s="51">
        <f>'A) Base RI'!A54</f>
        <v>5483</v>
      </c>
      <c r="B63" s="34" t="str">
        <f>'A) Base RI'!B54</f>
        <v>Ferreyres</v>
      </c>
      <c r="C63" s="33">
        <f>'D) Ecrêtage'!M52</f>
        <v>12305.209605263159</v>
      </c>
      <c r="D63" s="15">
        <f>'A) Base RI'!AN54</f>
        <v>322</v>
      </c>
      <c r="E63" s="10">
        <f t="shared" si="0"/>
        <v>227499.08734343332</v>
      </c>
      <c r="F63" s="15">
        <f>'F) Population'!K55</f>
        <v>31811.267605633802</v>
      </c>
      <c r="G63" s="10">
        <f>'G) Solidarité'!I52</f>
        <v>48575.962907056171</v>
      </c>
      <c r="H63" s="15">
        <f t="shared" si="1"/>
        <v>80387.230512689974</v>
      </c>
      <c r="I63" s="59">
        <f t="shared" si="2"/>
        <v>147111.85683074335</v>
      </c>
    </row>
    <row r="64" spans="1:9" x14ac:dyDescent="0.25">
      <c r="A64" s="51">
        <f>'A) Base RI'!A55</f>
        <v>5484</v>
      </c>
      <c r="B64" s="34" t="str">
        <f>'A) Base RI'!B55</f>
        <v>Gollion</v>
      </c>
      <c r="C64" s="33">
        <f>'D) Ecrêtage'!M53</f>
        <v>34769.525540540541</v>
      </c>
      <c r="D64" s="15">
        <f>'A) Base RI'!AN55</f>
        <v>918</v>
      </c>
      <c r="E64" s="10">
        <f t="shared" si="0"/>
        <v>642820.03977030213</v>
      </c>
      <c r="F64" s="15">
        <f>'F) Population'!K56</f>
        <v>90691.750503018106</v>
      </c>
      <c r="G64" s="10">
        <f>'G) Solidarité'!I53</f>
        <v>138073.0180383673</v>
      </c>
      <c r="H64" s="15">
        <f t="shared" si="1"/>
        <v>228764.76854138542</v>
      </c>
      <c r="I64" s="59">
        <f t="shared" si="2"/>
        <v>414055.27122891671</v>
      </c>
    </row>
    <row r="65" spans="1:9" x14ac:dyDescent="0.25">
      <c r="A65" s="51">
        <f>'A) Base RI'!A56</f>
        <v>5485</v>
      </c>
      <c r="B65" s="34" t="str">
        <f>'A) Base RI'!B56</f>
        <v>Grancy</v>
      </c>
      <c r="C65" s="33">
        <f>'D) Ecrêtage'!M54</f>
        <v>17864.595714285719</v>
      </c>
      <c r="D65" s="15">
        <f>'A) Base RI'!AN56</f>
        <v>403</v>
      </c>
      <c r="E65" s="10">
        <f t="shared" si="0"/>
        <v>330281.18586627638</v>
      </c>
      <c r="F65" s="15">
        <f>'F) Population'!K57</f>
        <v>39813.480885311874</v>
      </c>
      <c r="G65" s="10">
        <f>'G) Solidarité'!I54</f>
        <v>3636.2930412862984</v>
      </c>
      <c r="H65" s="15">
        <f t="shared" si="1"/>
        <v>43449.773926598173</v>
      </c>
      <c r="I65" s="59">
        <f t="shared" si="2"/>
        <v>286831.41193967819</v>
      </c>
    </row>
    <row r="66" spans="1:9" x14ac:dyDescent="0.25">
      <c r="A66" s="51">
        <f>'A) Base RI'!A57</f>
        <v>5486</v>
      </c>
      <c r="B66" s="34" t="str">
        <f>'A) Base RI'!B57</f>
        <v>L'Isle</v>
      </c>
      <c r="C66" s="33">
        <f>'D) Ecrêtage'!M55</f>
        <v>26187.199605263158</v>
      </c>
      <c r="D66" s="15">
        <f>'A) Base RI'!AN57</f>
        <v>1005</v>
      </c>
      <c r="E66" s="10">
        <f t="shared" si="0"/>
        <v>484149.73831323674</v>
      </c>
      <c r="F66" s="15">
        <f>'F) Population'!K58</f>
        <v>100521.62977867204</v>
      </c>
      <c r="G66" s="10">
        <f>'G) Solidarité'!I55</f>
        <v>431838.42340059648</v>
      </c>
      <c r="H66" s="15">
        <f t="shared" si="1"/>
        <v>532360.05317926849</v>
      </c>
      <c r="I66" s="59">
        <f t="shared" si="2"/>
        <v>-48210.314866031753</v>
      </c>
    </row>
    <row r="67" spans="1:9" x14ac:dyDescent="0.25">
      <c r="A67" s="51">
        <f>'A) Base RI'!A58</f>
        <v>5487</v>
      </c>
      <c r="B67" s="34" t="str">
        <f>'A) Base RI'!B58</f>
        <v>Lussery-Villars</v>
      </c>
      <c r="C67" s="33">
        <f>'D) Ecrêtage'!M56</f>
        <v>14370.481805555557</v>
      </c>
      <c r="D67" s="15">
        <f>'A) Base RI'!AN58</f>
        <v>459</v>
      </c>
      <c r="E67" s="10">
        <f t="shared" si="0"/>
        <v>265681.90224496269</v>
      </c>
      <c r="F67" s="15">
        <f>'F) Population'!K59</f>
        <v>45345.875251509053</v>
      </c>
      <c r="G67" s="10">
        <f>'G) Solidarité'!I56</f>
        <v>127399.65218204448</v>
      </c>
      <c r="H67" s="15">
        <f t="shared" si="1"/>
        <v>172745.52743355354</v>
      </c>
      <c r="I67" s="59">
        <f t="shared" si="2"/>
        <v>92936.374811409158</v>
      </c>
    </row>
    <row r="68" spans="1:9" x14ac:dyDescent="0.25">
      <c r="A68" s="51">
        <f>'A) Base RI'!A59</f>
        <v>5488</v>
      </c>
      <c r="B68" s="34" t="str">
        <f>'A) Base RI'!B59</f>
        <v>Mauraz</v>
      </c>
      <c r="C68" s="33">
        <f>'D) Ecrêtage'!M57</f>
        <v>1634.9372972972974</v>
      </c>
      <c r="D68" s="15">
        <f>'A) Base RI'!AN59</f>
        <v>60</v>
      </c>
      <c r="E68" s="10">
        <f t="shared" si="0"/>
        <v>30226.770199817347</v>
      </c>
      <c r="F68" s="15">
        <f>'F) Population'!K60</f>
        <v>5927.5653923541249</v>
      </c>
      <c r="G68" s="10">
        <f>'G) Solidarité'!I57</f>
        <v>22887.232704094316</v>
      </c>
      <c r="H68" s="15">
        <f t="shared" si="1"/>
        <v>28814.798096448441</v>
      </c>
      <c r="I68" s="59">
        <f t="shared" si="2"/>
        <v>1411.9721033689057</v>
      </c>
    </row>
    <row r="69" spans="1:9" x14ac:dyDescent="0.25">
      <c r="A69" s="51">
        <f>'A) Base RI'!A60</f>
        <v>5489</v>
      </c>
      <c r="B69" s="34" t="str">
        <f>'A) Base RI'!B60</f>
        <v>Mex</v>
      </c>
      <c r="C69" s="33">
        <f>'D) Ecrêtage'!M58</f>
        <v>52808.048182177503</v>
      </c>
      <c r="D69" s="15">
        <f>'A) Base RI'!AN60</f>
        <v>718</v>
      </c>
      <c r="E69" s="10">
        <f t="shared" si="0"/>
        <v>976316.79192973068</v>
      </c>
      <c r="F69" s="15">
        <f>'F) Population'!K61</f>
        <v>70933.199195171022</v>
      </c>
      <c r="G69" s="10">
        <f>'G) Solidarité'!I58</f>
        <v>0</v>
      </c>
      <c r="H69" s="15">
        <f t="shared" si="1"/>
        <v>70933.199195171022</v>
      </c>
      <c r="I69" s="59">
        <f t="shared" si="2"/>
        <v>905383.59273455967</v>
      </c>
    </row>
    <row r="70" spans="1:9" x14ac:dyDescent="0.25">
      <c r="A70" s="51">
        <f>'A) Base RI'!A61</f>
        <v>5490</v>
      </c>
      <c r="B70" s="34" t="str">
        <f>'A) Base RI'!B61</f>
        <v>Moiry</v>
      </c>
      <c r="C70" s="33">
        <f>'D) Ecrêtage'!M59</f>
        <v>8164.7235802469131</v>
      </c>
      <c r="D70" s="15">
        <f>'A) Base RI'!AN61</f>
        <v>316</v>
      </c>
      <c r="E70" s="10">
        <f t="shared" si="0"/>
        <v>150949.65648720929</v>
      </c>
      <c r="F70" s="15">
        <f>'F) Population'!K62</f>
        <v>31218.511066398391</v>
      </c>
      <c r="G70" s="10">
        <f>'G) Solidarité'!I59</f>
        <v>156040.11926958465</v>
      </c>
      <c r="H70" s="15">
        <f t="shared" si="1"/>
        <v>187258.63033598303</v>
      </c>
      <c r="I70" s="59">
        <f t="shared" si="2"/>
        <v>-36308.973848773749</v>
      </c>
    </row>
    <row r="71" spans="1:9" x14ac:dyDescent="0.25">
      <c r="A71" s="51">
        <f>'A) Base RI'!A62</f>
        <v>5491</v>
      </c>
      <c r="B71" s="34" t="str">
        <f>'A) Base RI'!B62</f>
        <v>Mont-la-Ville</v>
      </c>
      <c r="C71" s="33">
        <f>'D) Ecrêtage'!M60</f>
        <v>10538.480394736844</v>
      </c>
      <c r="D71" s="15">
        <f>'A) Base RI'!AN62</f>
        <v>417</v>
      </c>
      <c r="E71" s="10">
        <f t="shared" si="0"/>
        <v>194835.74426589574</v>
      </c>
      <c r="F71" s="15">
        <f>'F) Population'!K63</f>
        <v>41196.579476861167</v>
      </c>
      <c r="G71" s="10">
        <f>'G) Solidarité'!I60</f>
        <v>186685.96685500431</v>
      </c>
      <c r="H71" s="15">
        <f t="shared" si="1"/>
        <v>227882.54633186548</v>
      </c>
      <c r="I71" s="59">
        <f t="shared" si="2"/>
        <v>-33046.802065969736</v>
      </c>
    </row>
    <row r="72" spans="1:9" x14ac:dyDescent="0.25">
      <c r="A72" s="51">
        <f>'A) Base RI'!A63</f>
        <v>5492</v>
      </c>
      <c r="B72" s="34" t="str">
        <f>'A) Base RI'!B63</f>
        <v>Montricher</v>
      </c>
      <c r="C72" s="33">
        <f>'D) Ecrêtage'!M61</f>
        <v>159820.2900084072</v>
      </c>
      <c r="D72" s="15">
        <f>'A) Base RI'!AN63</f>
        <v>986</v>
      </c>
      <c r="E72" s="10">
        <f t="shared" si="0"/>
        <v>2954762.3553136461</v>
      </c>
      <c r="F72" s="15">
        <f>'F) Population'!K64</f>
        <v>97409.657947686122</v>
      </c>
      <c r="G72" s="10">
        <f>'G) Solidarité'!I61</f>
        <v>0</v>
      </c>
      <c r="H72" s="15">
        <f t="shared" si="1"/>
        <v>97409.657947686122</v>
      </c>
      <c r="I72" s="59">
        <f t="shared" si="2"/>
        <v>2857352.6973659601</v>
      </c>
    </row>
    <row r="73" spans="1:9" x14ac:dyDescent="0.25">
      <c r="A73" s="51">
        <f>'A) Base RI'!A64</f>
        <v>5493</v>
      </c>
      <c r="B73" s="34" t="str">
        <f>'A) Base RI'!B64</f>
        <v>Orny</v>
      </c>
      <c r="C73" s="33">
        <f>'D) Ecrêtage'!M62</f>
        <v>9903.4061011591148</v>
      </c>
      <c r="D73" s="15">
        <f>'A) Base RI'!AN64</f>
        <v>356</v>
      </c>
      <c r="E73" s="10">
        <f t="shared" si="0"/>
        <v>183094.47151891119</v>
      </c>
      <c r="F73" s="15">
        <f>'F) Population'!K65</f>
        <v>35170.221327967804</v>
      </c>
      <c r="G73" s="10">
        <f>'G) Solidarité'!I62</f>
        <v>127861.54673030713</v>
      </c>
      <c r="H73" s="15">
        <f t="shared" si="1"/>
        <v>163031.76805827493</v>
      </c>
      <c r="I73" s="59">
        <f t="shared" si="2"/>
        <v>20062.703460636258</v>
      </c>
    </row>
    <row r="74" spans="1:9" x14ac:dyDescent="0.25">
      <c r="A74" s="51">
        <f>'A) Base RI'!A65</f>
        <v>5494</v>
      </c>
      <c r="B74" s="34" t="str">
        <f>'A) Base RI'!B65</f>
        <v>Pampigny</v>
      </c>
      <c r="C74" s="33">
        <f>'D) Ecrêtage'!M63</f>
        <v>37200.871473015875</v>
      </c>
      <c r="D74" s="15">
        <f>'A) Base RI'!AN65</f>
        <v>1124</v>
      </c>
      <c r="E74" s="10">
        <f t="shared" si="0"/>
        <v>687770.83690404007</v>
      </c>
      <c r="F74" s="15">
        <f>'F) Population'!K66</f>
        <v>141668.81287726358</v>
      </c>
      <c r="G74" s="10">
        <f>'G) Solidarité'!I63</f>
        <v>293614.61262765352</v>
      </c>
      <c r="H74" s="15">
        <f t="shared" si="1"/>
        <v>435283.4255049171</v>
      </c>
      <c r="I74" s="59">
        <f t="shared" si="2"/>
        <v>252487.41139912297</v>
      </c>
    </row>
    <row r="75" spans="1:9" x14ac:dyDescent="0.25">
      <c r="A75" s="51">
        <f>'A) Base RI'!A66</f>
        <v>5495</v>
      </c>
      <c r="B75" s="34" t="str">
        <f>'A) Base RI'!B66</f>
        <v>Penthalaz</v>
      </c>
      <c r="C75" s="33">
        <f>'D) Ecrêtage'!M64</f>
        <v>93529.013513513521</v>
      </c>
      <c r="D75" s="15">
        <f>'A) Base RI'!AN66</f>
        <v>3282</v>
      </c>
      <c r="E75" s="10">
        <f t="shared" si="0"/>
        <v>1729167.230548847</v>
      </c>
      <c r="F75" s="15">
        <f>'F) Population'!K67</f>
        <v>929639.8390342053</v>
      </c>
      <c r="G75" s="10">
        <f>'G) Solidarité'!I64</f>
        <v>1162830.4642635772</v>
      </c>
      <c r="H75" s="15">
        <f t="shared" si="1"/>
        <v>2092470.3032977825</v>
      </c>
      <c r="I75" s="59">
        <f t="shared" si="2"/>
        <v>-363303.07274893555</v>
      </c>
    </row>
    <row r="76" spans="1:9" x14ac:dyDescent="0.25">
      <c r="A76" s="51">
        <f>'A) Base RI'!A67</f>
        <v>5496</v>
      </c>
      <c r="B76" s="34" t="str">
        <f>'A) Base RI'!B67</f>
        <v>Penthaz</v>
      </c>
      <c r="C76" s="33">
        <f>'D) Ecrêtage'!M65</f>
        <v>55364.179859154945</v>
      </c>
      <c r="D76" s="15">
        <f>'A) Base RI'!AN67</f>
        <v>1726</v>
      </c>
      <c r="E76" s="10">
        <f t="shared" si="0"/>
        <v>1023574.6316818696</v>
      </c>
      <c r="F76" s="15">
        <f>'F) Population'!K68</f>
        <v>349825.15090543259</v>
      </c>
      <c r="G76" s="10">
        <f>'G) Solidarité'!I65</f>
        <v>439308.10087833524</v>
      </c>
      <c r="H76" s="15">
        <f t="shared" si="1"/>
        <v>789133.25178376783</v>
      </c>
      <c r="I76" s="59">
        <f t="shared" si="2"/>
        <v>234441.37989810179</v>
      </c>
    </row>
    <row r="77" spans="1:9" x14ac:dyDescent="0.25">
      <c r="A77" s="51">
        <f>'A) Base RI'!A68</f>
        <v>5497</v>
      </c>
      <c r="B77" s="34" t="str">
        <f>'A) Base RI'!B68</f>
        <v>Pompaples</v>
      </c>
      <c r="C77" s="33">
        <f>'D) Ecrêtage'!M66</f>
        <v>21756.171818181818</v>
      </c>
      <c r="D77" s="15">
        <f>'A) Base RI'!AN68</f>
        <v>854</v>
      </c>
      <c r="E77" s="10">
        <f t="shared" si="0"/>
        <v>402228.76257274754</v>
      </c>
      <c r="F77" s="15">
        <f>'F) Population'!K69</f>
        <v>84369.014084507042</v>
      </c>
      <c r="G77" s="10">
        <f>'G) Solidarité'!I66</f>
        <v>285327.41323009779</v>
      </c>
      <c r="H77" s="15">
        <f t="shared" si="1"/>
        <v>369696.42731460487</v>
      </c>
      <c r="I77" s="59">
        <f t="shared" si="2"/>
        <v>32532.335258142673</v>
      </c>
    </row>
    <row r="78" spans="1:9" x14ac:dyDescent="0.25">
      <c r="A78" s="51">
        <f>'A) Base RI'!A69</f>
        <v>5498</v>
      </c>
      <c r="B78" s="34" t="str">
        <f>'A) Base RI'!B69</f>
        <v>La Sarraz</v>
      </c>
      <c r="C78" s="33">
        <f>'D) Ecrêtage'!M67</f>
        <v>71866.729696969705</v>
      </c>
      <c r="D78" s="15">
        <f>'A) Base RI'!AN69</f>
        <v>2609</v>
      </c>
      <c r="E78" s="10">
        <f t="shared" si="0"/>
        <v>1328674.272189951</v>
      </c>
      <c r="F78" s="15">
        <f>'F) Population'!K70</f>
        <v>655144.16498993966</v>
      </c>
      <c r="G78" s="10">
        <f>'G) Solidarité'!I67</f>
        <v>778272.80752660381</v>
      </c>
      <c r="H78" s="15">
        <f t="shared" si="1"/>
        <v>1433416.9725165435</v>
      </c>
      <c r="I78" s="59">
        <f t="shared" si="2"/>
        <v>-104742.70032659243</v>
      </c>
    </row>
    <row r="79" spans="1:9" x14ac:dyDescent="0.25">
      <c r="A79" s="51">
        <f>'A) Base RI'!A70</f>
        <v>5499</v>
      </c>
      <c r="B79" s="34" t="str">
        <f>'A) Base RI'!B70</f>
        <v>Senarclens</v>
      </c>
      <c r="C79" s="33">
        <f>'D) Ecrêtage'!M68</f>
        <v>20247.622335766424</v>
      </c>
      <c r="D79" s="15">
        <f>'A) Base RI'!AN70</f>
        <v>505</v>
      </c>
      <c r="E79" s="10">
        <f t="shared" si="0"/>
        <v>374338.6541169663</v>
      </c>
      <c r="F79" s="15">
        <f>'F) Population'!K71</f>
        <v>49890.342052313885</v>
      </c>
      <c r="G79" s="10">
        <f>'G) Solidarité'!I68</f>
        <v>44206.377191789688</v>
      </c>
      <c r="H79" s="15">
        <f t="shared" si="1"/>
        <v>94096.719244103573</v>
      </c>
      <c r="I79" s="59">
        <f t="shared" si="2"/>
        <v>280241.93487286271</v>
      </c>
    </row>
    <row r="80" spans="1:9" x14ac:dyDescent="0.25">
      <c r="A80" s="51">
        <f>'A) Base RI'!A71</f>
        <v>5500</v>
      </c>
      <c r="B80" s="34" t="str">
        <f>'A) Base RI'!B71</f>
        <v>Sévery</v>
      </c>
      <c r="C80" s="33">
        <f>'D) Ecrêtage'!M69</f>
        <v>8952.9604888888862</v>
      </c>
      <c r="D80" s="15">
        <f>'A) Base RI'!AN71</f>
        <v>233</v>
      </c>
      <c r="E80" s="10">
        <f t="shared" si="0"/>
        <v>165522.60429378369</v>
      </c>
      <c r="F80" s="15">
        <f>'F) Population'!K72</f>
        <v>23018.71227364185</v>
      </c>
      <c r="G80" s="10">
        <f>'G) Solidarité'!I69</f>
        <v>33139.064563733489</v>
      </c>
      <c r="H80" s="15">
        <f t="shared" si="1"/>
        <v>56157.776837375335</v>
      </c>
      <c r="I80" s="59">
        <f t="shared" si="2"/>
        <v>109364.82745640835</v>
      </c>
    </row>
    <row r="81" spans="1:9" x14ac:dyDescent="0.25">
      <c r="A81" s="51">
        <f>'A) Base RI'!A72</f>
        <v>5501</v>
      </c>
      <c r="B81" s="34" t="str">
        <f>'A) Base RI'!B72</f>
        <v>Sullens</v>
      </c>
      <c r="C81" s="33">
        <f>'D) Ecrêtage'!M70</f>
        <v>34510.891142857145</v>
      </c>
      <c r="D81" s="15">
        <f>'A) Base RI'!AN72</f>
        <v>1005</v>
      </c>
      <c r="E81" s="10">
        <f t="shared" ref="E81:E144" si="3">C81*E$15</f>
        <v>638038.39920373878</v>
      </c>
      <c r="F81" s="15">
        <f>'F) Population'!K73</f>
        <v>100521.62977867204</v>
      </c>
      <c r="G81" s="10">
        <f>'G) Solidarité'!I70</f>
        <v>204400.48054600158</v>
      </c>
      <c r="H81" s="15">
        <f t="shared" ref="H81:H144" si="4">F81+G81</f>
        <v>304922.11032467359</v>
      </c>
      <c r="I81" s="59">
        <f t="shared" ref="I81:I144" si="5">E81-H81</f>
        <v>333116.28887906519</v>
      </c>
    </row>
    <row r="82" spans="1:9" x14ac:dyDescent="0.25">
      <c r="A82" s="51">
        <f>'A) Base RI'!A73</f>
        <v>5503</v>
      </c>
      <c r="B82" s="34" t="str">
        <f>'A) Base RI'!B73</f>
        <v>Vufflens-la-Ville</v>
      </c>
      <c r="C82" s="33">
        <f>'D) Ecrêtage'!M71</f>
        <v>69488.630199004954</v>
      </c>
      <c r="D82" s="15">
        <f>'A) Base RI'!AN73</f>
        <v>1284</v>
      </c>
      <c r="E82" s="10">
        <f t="shared" si="3"/>
        <v>1284707.8967478413</v>
      </c>
      <c r="F82" s="15">
        <f>'F) Population'!K74</f>
        <v>196992.75653923542</v>
      </c>
      <c r="G82" s="10">
        <f>'G) Solidarité'!I71</f>
        <v>0</v>
      </c>
      <c r="H82" s="15">
        <f t="shared" si="4"/>
        <v>196992.75653923542</v>
      </c>
      <c r="I82" s="59">
        <f t="shared" si="5"/>
        <v>1087715.1402086059</v>
      </c>
    </row>
    <row r="83" spans="1:9" x14ac:dyDescent="0.25">
      <c r="A83" s="51">
        <f>'A) Base RI'!A74</f>
        <v>5511</v>
      </c>
      <c r="B83" s="34" t="str">
        <f>'A) Base RI'!B74</f>
        <v>Assens</v>
      </c>
      <c r="C83" s="33">
        <f>'D) Ecrêtage'!M72</f>
        <v>49567.304285714286</v>
      </c>
      <c r="D83" s="15">
        <f>'A) Base RI'!AN74</f>
        <v>1070</v>
      </c>
      <c r="E83" s="10">
        <f t="shared" si="3"/>
        <v>916401.82075818372</v>
      </c>
      <c r="F83" s="15">
        <f>'F) Population'!K75</f>
        <v>122996.98189134808</v>
      </c>
      <c r="G83" s="10">
        <f>'G) Solidarité'!I72</f>
        <v>0</v>
      </c>
      <c r="H83" s="15">
        <f t="shared" si="4"/>
        <v>122996.98189134808</v>
      </c>
      <c r="I83" s="59">
        <f t="shared" si="5"/>
        <v>793404.83886683569</v>
      </c>
    </row>
    <row r="84" spans="1:9" x14ac:dyDescent="0.25">
      <c r="A84" s="51">
        <f>'A) Base RI'!A75</f>
        <v>5512</v>
      </c>
      <c r="B84" s="34" t="str">
        <f>'A) Base RI'!B75</f>
        <v>Bercher</v>
      </c>
      <c r="C84" s="33">
        <f>'D) Ecrêtage'!M73</f>
        <v>38296.029873417712</v>
      </c>
      <c r="D84" s="15">
        <f>'A) Base RI'!AN75</f>
        <v>1221</v>
      </c>
      <c r="E84" s="10">
        <f t="shared" si="3"/>
        <v>708018.15853286849</v>
      </c>
      <c r="F84" s="15">
        <f>'F) Population'!K76</f>
        <v>175208.953722334</v>
      </c>
      <c r="G84" s="10">
        <f>'G) Solidarité'!I73</f>
        <v>406298.56839986332</v>
      </c>
      <c r="H84" s="15">
        <f t="shared" si="4"/>
        <v>581507.52212219732</v>
      </c>
      <c r="I84" s="59">
        <f t="shared" si="5"/>
        <v>126510.63641067117</v>
      </c>
    </row>
    <row r="85" spans="1:9" x14ac:dyDescent="0.25">
      <c r="A85" s="51">
        <f>'A) Base RI'!A76</f>
        <v>5513</v>
      </c>
      <c r="B85" s="34" t="str">
        <f>'A) Base RI'!B76</f>
        <v>Bioley-Orjulaz</v>
      </c>
      <c r="C85" s="33">
        <f>'D) Ecrêtage'!M74</f>
        <v>23261.0975</v>
      </c>
      <c r="D85" s="15">
        <f>'A) Base RI'!AN76</f>
        <v>499</v>
      </c>
      <c r="E85" s="10">
        <f t="shared" si="3"/>
        <v>430051.87409348856</v>
      </c>
      <c r="F85" s="15">
        <f>'F) Population'!K77</f>
        <v>49297.585513078469</v>
      </c>
      <c r="G85" s="10">
        <f>'G) Solidarité'!I74</f>
        <v>0</v>
      </c>
      <c r="H85" s="15">
        <f t="shared" si="4"/>
        <v>49297.585513078469</v>
      </c>
      <c r="I85" s="59">
        <f t="shared" si="5"/>
        <v>380754.28858041007</v>
      </c>
    </row>
    <row r="86" spans="1:9" x14ac:dyDescent="0.25">
      <c r="A86" s="51">
        <f>'A) Base RI'!A77</f>
        <v>5514</v>
      </c>
      <c r="B86" s="34" t="str">
        <f>'A) Base RI'!B77</f>
        <v>Bottens</v>
      </c>
      <c r="C86" s="33">
        <f>'D) Ecrêtage'!M75</f>
        <v>41051.716376811593</v>
      </c>
      <c r="D86" s="15">
        <f>'A) Base RI'!AN77</f>
        <v>1263</v>
      </c>
      <c r="E86" s="10">
        <f t="shared" si="3"/>
        <v>758965.37395117246</v>
      </c>
      <c r="F86" s="15">
        <f>'F) Population'!K78</f>
        <v>189731.48893360159</v>
      </c>
      <c r="G86" s="10">
        <f>'G) Solidarité'!I75</f>
        <v>293418.92798244633</v>
      </c>
      <c r="H86" s="15">
        <f t="shared" si="4"/>
        <v>483150.41691604792</v>
      </c>
      <c r="I86" s="59">
        <f t="shared" si="5"/>
        <v>275814.95703512453</v>
      </c>
    </row>
    <row r="87" spans="1:9" x14ac:dyDescent="0.25">
      <c r="A87" s="51">
        <f>'A) Base RI'!A78</f>
        <v>5515</v>
      </c>
      <c r="B87" s="34" t="str">
        <f>'A) Base RI'!B78</f>
        <v>Bretigny-sur-Morrens</v>
      </c>
      <c r="C87" s="33">
        <f>'D) Ecrêtage'!M76</f>
        <v>27741.095753424659</v>
      </c>
      <c r="D87" s="15">
        <f>'A) Base RI'!AN78</f>
        <v>825</v>
      </c>
      <c r="E87" s="10">
        <f t="shared" si="3"/>
        <v>512878.21729680605</v>
      </c>
      <c r="F87" s="15">
        <f>'F) Population'!K79</f>
        <v>81504.02414486921</v>
      </c>
      <c r="G87" s="10">
        <f>'G) Solidarité'!I76</f>
        <v>194939.03727951495</v>
      </c>
      <c r="H87" s="15">
        <f t="shared" si="4"/>
        <v>276443.06142438413</v>
      </c>
      <c r="I87" s="59">
        <f t="shared" si="5"/>
        <v>236435.15587242192</v>
      </c>
    </row>
    <row r="88" spans="1:9" x14ac:dyDescent="0.25">
      <c r="A88" s="51">
        <f>'A) Base RI'!A79</f>
        <v>5516</v>
      </c>
      <c r="B88" s="34" t="str">
        <f>'A) Base RI'!B79</f>
        <v>Cugy</v>
      </c>
      <c r="C88" s="33">
        <f>'D) Ecrêtage'!M77</f>
        <v>111403.80442857141</v>
      </c>
      <c r="D88" s="15">
        <f>'A) Base RI'!AN79</f>
        <v>2744</v>
      </c>
      <c r="E88" s="10">
        <f t="shared" si="3"/>
        <v>2059636.9055953452</v>
      </c>
      <c r="F88" s="15">
        <f>'F) Population'!K80</f>
        <v>701823.74245472834</v>
      </c>
      <c r="G88" s="10">
        <f>'G) Solidarité'!I77</f>
        <v>223890.43824713872</v>
      </c>
      <c r="H88" s="15">
        <f t="shared" si="4"/>
        <v>925714.1807018671</v>
      </c>
      <c r="I88" s="59">
        <f t="shared" si="5"/>
        <v>1133922.7248934782</v>
      </c>
    </row>
    <row r="89" spans="1:9" x14ac:dyDescent="0.25">
      <c r="A89" s="51">
        <f>'A) Base RI'!A80</f>
        <v>5518</v>
      </c>
      <c r="B89" s="34" t="str">
        <f>'A) Base RI'!B80</f>
        <v>Echallens</v>
      </c>
      <c r="C89" s="33">
        <f>'D) Ecrêtage'!M78</f>
        <v>193638.72135135136</v>
      </c>
      <c r="D89" s="15">
        <f>'A) Base RI'!AN80</f>
        <v>5728</v>
      </c>
      <c r="E89" s="10">
        <f t="shared" si="3"/>
        <v>3579998.5367936948</v>
      </c>
      <c r="F89" s="15">
        <f>'F) Population'!K81</f>
        <v>2209796.3782696174</v>
      </c>
      <c r="G89" s="10">
        <f>'G) Solidarité'!I78</f>
        <v>1368376.154708588</v>
      </c>
      <c r="H89" s="15">
        <f t="shared" si="4"/>
        <v>3578172.5329782055</v>
      </c>
      <c r="I89" s="59">
        <f t="shared" si="5"/>
        <v>1826.0038154893555</v>
      </c>
    </row>
    <row r="90" spans="1:9" x14ac:dyDescent="0.25">
      <c r="A90" s="51">
        <f>'A) Base RI'!A81</f>
        <v>5520</v>
      </c>
      <c r="B90" s="34" t="str">
        <f>'A) Base RI'!B81</f>
        <v>Essertines-sur-Yverdon</v>
      </c>
      <c r="C90" s="33">
        <f>'D) Ecrêtage'!M79</f>
        <v>32024.354520547942</v>
      </c>
      <c r="D90" s="15">
        <f>'A) Base RI'!AN81</f>
        <v>981</v>
      </c>
      <c r="E90" s="10">
        <f t="shared" si="3"/>
        <v>592067.23492715356</v>
      </c>
      <c r="F90" s="15">
        <f>'F) Population'!K82</f>
        <v>96915.694164989938</v>
      </c>
      <c r="G90" s="10">
        <f>'G) Solidarité'!I79</f>
        <v>252162.3971552336</v>
      </c>
      <c r="H90" s="15">
        <f t="shared" si="4"/>
        <v>349078.09132022352</v>
      </c>
      <c r="I90" s="59">
        <f t="shared" si="5"/>
        <v>242989.14360693004</v>
      </c>
    </row>
    <row r="91" spans="1:9" x14ac:dyDescent="0.25">
      <c r="A91" s="51">
        <f>'A) Base RI'!A82</f>
        <v>5521</v>
      </c>
      <c r="B91" s="34" t="str">
        <f>'A) Base RI'!B82</f>
        <v>Etagnières</v>
      </c>
      <c r="C91" s="33">
        <f>'D) Ecrêtage'!M80</f>
        <v>41782.284931506838</v>
      </c>
      <c r="D91" s="15">
        <f>'A) Base RI'!AN82</f>
        <v>1119</v>
      </c>
      <c r="E91" s="10">
        <f t="shared" si="3"/>
        <v>772472.14748584596</v>
      </c>
      <c r="F91" s="15">
        <f>'F) Population'!K83</f>
        <v>139939.93963782696</v>
      </c>
      <c r="G91" s="10">
        <f>'G) Solidarité'!I80</f>
        <v>176485.90784732075</v>
      </c>
      <c r="H91" s="15">
        <f t="shared" si="4"/>
        <v>316425.84748514771</v>
      </c>
      <c r="I91" s="59">
        <f t="shared" si="5"/>
        <v>456046.30000069825</v>
      </c>
    </row>
    <row r="92" spans="1:9" x14ac:dyDescent="0.25">
      <c r="A92" s="51">
        <f>'A) Base RI'!A83</f>
        <v>5522</v>
      </c>
      <c r="B92" s="34" t="str">
        <f>'A) Base RI'!B83</f>
        <v>Fey</v>
      </c>
      <c r="C92" s="33">
        <f>'D) Ecrêtage'!M81</f>
        <v>20521.084933333332</v>
      </c>
      <c r="D92" s="15">
        <f>'A) Base RI'!AN83</f>
        <v>703</v>
      </c>
      <c r="E92" s="10">
        <f t="shared" si="3"/>
        <v>379394.43889144313</v>
      </c>
      <c r="F92" s="15">
        <f>'F) Population'!K84</f>
        <v>69451.307847082498</v>
      </c>
      <c r="G92" s="10">
        <f>'G) Solidarité'!I81</f>
        <v>244970.50377894784</v>
      </c>
      <c r="H92" s="15">
        <f t="shared" si="4"/>
        <v>314421.81162603037</v>
      </c>
      <c r="I92" s="59">
        <f t="shared" si="5"/>
        <v>64972.627265412768</v>
      </c>
    </row>
    <row r="93" spans="1:9" x14ac:dyDescent="0.25">
      <c r="A93" s="51">
        <f>'A) Base RI'!A84</f>
        <v>5523</v>
      </c>
      <c r="B93" s="34" t="str">
        <f>'A) Base RI'!B84</f>
        <v>Froideville</v>
      </c>
      <c r="C93" s="33">
        <f>'D) Ecrêtage'!M82</f>
        <v>83854.770526315799</v>
      </c>
      <c r="D93" s="15">
        <f>'A) Base RI'!AN84</f>
        <v>2561</v>
      </c>
      <c r="E93" s="10">
        <f t="shared" si="3"/>
        <v>1550309.5336117111</v>
      </c>
      <c r="F93" s="15">
        <f>'F) Population'!K85</f>
        <v>638546.98189134803</v>
      </c>
      <c r="G93" s="10">
        <f>'G) Solidarité'!I82</f>
        <v>707735.64865610329</v>
      </c>
      <c r="H93" s="15">
        <f t="shared" si="4"/>
        <v>1346282.6305474513</v>
      </c>
      <c r="I93" s="59">
        <f t="shared" si="5"/>
        <v>204026.90306425979</v>
      </c>
    </row>
    <row r="94" spans="1:9" x14ac:dyDescent="0.25">
      <c r="A94" s="51">
        <f>'A) Base RI'!A85</f>
        <v>5527</v>
      </c>
      <c r="B94" s="34" t="str">
        <f>'A) Base RI'!B85</f>
        <v>Morrens</v>
      </c>
      <c r="C94" s="33">
        <f>'D) Ecrêtage'!M83</f>
        <v>39746.766619718313</v>
      </c>
      <c r="D94" s="15">
        <f>'A) Base RI'!AN85</f>
        <v>1092</v>
      </c>
      <c r="E94" s="10">
        <f t="shared" si="3"/>
        <v>734839.42337485903</v>
      </c>
      <c r="F94" s="15">
        <f>'F) Population'!K86</f>
        <v>130604.02414486921</v>
      </c>
      <c r="G94" s="10">
        <f>'G) Solidarité'!I83</f>
        <v>183483.14368876591</v>
      </c>
      <c r="H94" s="15">
        <f t="shared" si="4"/>
        <v>314087.16783363512</v>
      </c>
      <c r="I94" s="59">
        <f t="shared" si="5"/>
        <v>420752.25554122392</v>
      </c>
    </row>
    <row r="95" spans="1:9" x14ac:dyDescent="0.25">
      <c r="A95" s="51">
        <f>'A) Base RI'!A86</f>
        <v>5529</v>
      </c>
      <c r="B95" s="34" t="str">
        <f>'A) Base RI'!B86</f>
        <v>Oulens-sous-Echallens</v>
      </c>
      <c r="C95" s="33">
        <f>'D) Ecrêtage'!M84</f>
        <v>20201.042816901412</v>
      </c>
      <c r="D95" s="15">
        <f>'A) Base RI'!AN86</f>
        <v>577</v>
      </c>
      <c r="E95" s="10">
        <f t="shared" si="3"/>
        <v>373477.49056342925</v>
      </c>
      <c r="F95" s="15">
        <f>'F) Population'!K87</f>
        <v>57003.420523138833</v>
      </c>
      <c r="G95" s="10">
        <f>'G) Solidarité'!I84</f>
        <v>112976.56500057831</v>
      </c>
      <c r="H95" s="15">
        <f t="shared" si="4"/>
        <v>169979.98552371713</v>
      </c>
      <c r="I95" s="59">
        <f t="shared" si="5"/>
        <v>203497.50503971212</v>
      </c>
    </row>
    <row r="96" spans="1:9" x14ac:dyDescent="0.25">
      <c r="A96" s="51">
        <f>'A) Base RI'!A87</f>
        <v>5530</v>
      </c>
      <c r="B96" s="34" t="str">
        <f>'A) Base RI'!B87</f>
        <v>Pailly</v>
      </c>
      <c r="C96" s="33">
        <f>'D) Ecrêtage'!M85</f>
        <v>17056.622387096773</v>
      </c>
      <c r="D96" s="15">
        <f>'A) Base RI'!AN87</f>
        <v>543</v>
      </c>
      <c r="E96" s="10">
        <f t="shared" si="3"/>
        <v>315343.35055669321</v>
      </c>
      <c r="F96" s="15">
        <f>'F) Population'!K88</f>
        <v>53644.466800804832</v>
      </c>
      <c r="G96" s="10">
        <f>'G) Solidarité'!I85</f>
        <v>173278.49478564001</v>
      </c>
      <c r="H96" s="15">
        <f t="shared" si="4"/>
        <v>226922.96158644484</v>
      </c>
      <c r="I96" s="59">
        <f t="shared" si="5"/>
        <v>88420.388970248372</v>
      </c>
    </row>
    <row r="97" spans="1:9" x14ac:dyDescent="0.25">
      <c r="A97" s="51">
        <f>'A) Base RI'!A88</f>
        <v>5531</v>
      </c>
      <c r="B97" s="34" t="str">
        <f>'A) Base RI'!B88</f>
        <v>Penthéréaz</v>
      </c>
      <c r="C97" s="33">
        <f>'D) Ecrêtage'!M86</f>
        <v>13134.769871794872</v>
      </c>
      <c r="D97" s="15">
        <f>'A) Base RI'!AN88</f>
        <v>418</v>
      </c>
      <c r="E97" s="10">
        <f t="shared" si="3"/>
        <v>242836.0226404655</v>
      </c>
      <c r="F97" s="15">
        <f>'F) Population'!K89</f>
        <v>41295.372233400405</v>
      </c>
      <c r="G97" s="10">
        <f>'G) Solidarité'!I86</f>
        <v>135004.29463149013</v>
      </c>
      <c r="H97" s="15">
        <f t="shared" si="4"/>
        <v>176299.66686489055</v>
      </c>
      <c r="I97" s="59">
        <f t="shared" si="5"/>
        <v>66536.35577557495</v>
      </c>
    </row>
    <row r="98" spans="1:9" x14ac:dyDescent="0.25">
      <c r="A98" s="51">
        <f>'A) Base RI'!A89</f>
        <v>5533</v>
      </c>
      <c r="B98" s="34" t="str">
        <f>'A) Base RI'!B89</f>
        <v>Poliez-Pittet</v>
      </c>
      <c r="C98" s="33">
        <f>'D) Ecrêtage'!M87</f>
        <v>28042.897605633803</v>
      </c>
      <c r="D98" s="15">
        <f>'A) Base RI'!AN89</f>
        <v>849</v>
      </c>
      <c r="E98" s="10">
        <f t="shared" si="3"/>
        <v>518457.93906820694</v>
      </c>
      <c r="F98" s="15">
        <f>'F) Population'!K90</f>
        <v>83875.050301810872</v>
      </c>
      <c r="G98" s="10">
        <f>'G) Solidarité'!I87</f>
        <v>199880.40911689363</v>
      </c>
      <c r="H98" s="15">
        <f t="shared" si="4"/>
        <v>283755.4594187045</v>
      </c>
      <c r="I98" s="59">
        <f t="shared" si="5"/>
        <v>234702.47964950243</v>
      </c>
    </row>
    <row r="99" spans="1:9" x14ac:dyDescent="0.25">
      <c r="A99" s="51">
        <f>'A) Base RI'!A90</f>
        <v>5534</v>
      </c>
      <c r="B99" s="34" t="str">
        <f>'A) Base RI'!B90</f>
        <v>Rueyres</v>
      </c>
      <c r="C99" s="33">
        <f>'D) Ecrêtage'!M88</f>
        <v>9722.0657534246584</v>
      </c>
      <c r="D99" s="15">
        <f>'A) Base RI'!AN90</f>
        <v>257</v>
      </c>
      <c r="E99" s="10">
        <f t="shared" si="3"/>
        <v>179741.84568550123</v>
      </c>
      <c r="F99" s="15">
        <f>'F) Population'!K91</f>
        <v>25389.7384305835</v>
      </c>
      <c r="G99" s="10">
        <f>'G) Solidarité'!I88</f>
        <v>37868.28007341492</v>
      </c>
      <c r="H99" s="15">
        <f t="shared" si="4"/>
        <v>63258.018503998421</v>
      </c>
      <c r="I99" s="59">
        <f t="shared" si="5"/>
        <v>116483.82718150281</v>
      </c>
    </row>
    <row r="100" spans="1:9" x14ac:dyDescent="0.25">
      <c r="A100" s="51">
        <f>'A) Base RI'!A91</f>
        <v>5535</v>
      </c>
      <c r="B100" s="34" t="str">
        <f>'A) Base RI'!B91</f>
        <v>Saint-Barthélemy</v>
      </c>
      <c r="C100" s="33">
        <f>'D) Ecrêtage'!M89</f>
        <v>23314.139350649355</v>
      </c>
      <c r="D100" s="15">
        <f>'A) Base RI'!AN91</f>
        <v>769</v>
      </c>
      <c r="E100" s="10">
        <f t="shared" si="3"/>
        <v>431032.51343250263</v>
      </c>
      <c r="F100" s="15">
        <f>'F) Population'!K92</f>
        <v>75971.629778672039</v>
      </c>
      <c r="G100" s="10">
        <f>'G) Solidarité'!I89</f>
        <v>262053.42868601196</v>
      </c>
      <c r="H100" s="15">
        <f t="shared" si="4"/>
        <v>338025.058464684</v>
      </c>
      <c r="I100" s="59">
        <f t="shared" si="5"/>
        <v>93007.45496781863</v>
      </c>
    </row>
    <row r="101" spans="1:9" x14ac:dyDescent="0.25">
      <c r="A101" s="51">
        <f>'A) Base RI'!A92</f>
        <v>5537</v>
      </c>
      <c r="B101" s="34" t="str">
        <f>'A) Base RI'!B92</f>
        <v>Villars-le-Terroir</v>
      </c>
      <c r="C101" s="33">
        <f>'D) Ecrêtage'!M90</f>
        <v>33778.811643835616</v>
      </c>
      <c r="D101" s="15">
        <f>'A) Base RI'!AN92</f>
        <v>1150</v>
      </c>
      <c r="E101" s="10">
        <f t="shared" si="3"/>
        <v>624503.69128466363</v>
      </c>
      <c r="F101" s="15">
        <f>'F) Population'!K93</f>
        <v>150658.953722334</v>
      </c>
      <c r="G101" s="10">
        <f>'G) Solidarité'!I90</f>
        <v>375214.38321928075</v>
      </c>
      <c r="H101" s="15">
        <f t="shared" si="4"/>
        <v>525873.33694161475</v>
      </c>
      <c r="I101" s="59">
        <f t="shared" si="5"/>
        <v>98630.354343048879</v>
      </c>
    </row>
    <row r="102" spans="1:9" x14ac:dyDescent="0.25">
      <c r="A102" s="51">
        <f>'A) Base RI'!A93</f>
        <v>5539</v>
      </c>
      <c r="B102" s="34" t="str">
        <f>'A) Base RI'!B93</f>
        <v>Vuarrens</v>
      </c>
      <c r="C102" s="33">
        <f>'D) Ecrêtage'!M91</f>
        <v>26961.993700000003</v>
      </c>
      <c r="D102" s="15">
        <f>'A) Base RI'!AN93</f>
        <v>1003</v>
      </c>
      <c r="E102" s="10">
        <f t="shared" si="3"/>
        <v>498474.15496976586</v>
      </c>
      <c r="F102" s="15">
        <f>'F) Population'!K94</f>
        <v>99830.080482897392</v>
      </c>
      <c r="G102" s="10">
        <f>'G) Solidarité'!I91</f>
        <v>401243.51807721105</v>
      </c>
      <c r="H102" s="15">
        <f t="shared" si="4"/>
        <v>501073.59856010845</v>
      </c>
      <c r="I102" s="59">
        <f t="shared" si="5"/>
        <v>-2599.4435903425911</v>
      </c>
    </row>
    <row r="103" spans="1:9" x14ac:dyDescent="0.25">
      <c r="A103" s="51">
        <f>'A) Base RI'!A94</f>
        <v>5540</v>
      </c>
      <c r="B103" s="34" t="str">
        <f>'A) Base RI'!B94</f>
        <v>Montilliez</v>
      </c>
      <c r="C103" s="33">
        <f>'D) Ecrêtage'!M92</f>
        <v>57534.065472972972</v>
      </c>
      <c r="D103" s="15">
        <f>'A) Base RI'!AN94</f>
        <v>1731</v>
      </c>
      <c r="E103" s="10">
        <f t="shared" si="3"/>
        <v>1063691.5425366107</v>
      </c>
      <c r="F103" s="15">
        <f>'F) Population'!K95</f>
        <v>351554.02414486918</v>
      </c>
      <c r="G103" s="10">
        <f>'G) Solidarité'!I92</f>
        <v>434907.07613876206</v>
      </c>
      <c r="H103" s="15">
        <f t="shared" si="4"/>
        <v>786461.10028363124</v>
      </c>
      <c r="I103" s="59">
        <f t="shared" si="5"/>
        <v>277230.4422529795</v>
      </c>
    </row>
    <row r="104" spans="1:9" x14ac:dyDescent="0.25">
      <c r="A104" s="51">
        <f>'A) Base RI'!A95</f>
        <v>5541</v>
      </c>
      <c r="B104" s="34" t="str">
        <f>'A) Base RI'!B95</f>
        <v>Goumoëns</v>
      </c>
      <c r="C104" s="33">
        <f>'D) Ecrêtage'!M93</f>
        <v>38967.18311688312</v>
      </c>
      <c r="D104" s="15">
        <f>'A) Base RI'!AN95</f>
        <v>1110</v>
      </c>
      <c r="E104" s="10">
        <f t="shared" si="3"/>
        <v>720426.4599965557</v>
      </c>
      <c r="F104" s="15">
        <f>'F) Population'!K96</f>
        <v>136827.96780684104</v>
      </c>
      <c r="G104" s="10">
        <f>'G) Solidarité'!I93</f>
        <v>253138.20232571845</v>
      </c>
      <c r="H104" s="15">
        <f t="shared" si="4"/>
        <v>389966.17013255949</v>
      </c>
      <c r="I104" s="59">
        <f t="shared" si="5"/>
        <v>330460.28986399621</v>
      </c>
    </row>
    <row r="105" spans="1:9" x14ac:dyDescent="0.25">
      <c r="A105" s="51">
        <f>'A) Base RI'!A96</f>
        <v>5551</v>
      </c>
      <c r="B105" s="34" t="str">
        <f>'A) Base RI'!B96</f>
        <v>Bonvillars</v>
      </c>
      <c r="C105" s="33">
        <f>'D) Ecrêtage'!M94</f>
        <v>18919.686363636367</v>
      </c>
      <c r="D105" s="15">
        <f>'A) Base RI'!AN96</f>
        <v>495</v>
      </c>
      <c r="E105" s="10">
        <f t="shared" si="3"/>
        <v>349787.73370185302</v>
      </c>
      <c r="F105" s="15">
        <f>'F) Population'!K97</f>
        <v>48902.414486921531</v>
      </c>
      <c r="G105" s="10">
        <f>'G) Solidarité'!I94</f>
        <v>39068.751344377983</v>
      </c>
      <c r="H105" s="15">
        <f t="shared" si="4"/>
        <v>87971.165831299513</v>
      </c>
      <c r="I105" s="59">
        <f t="shared" si="5"/>
        <v>261816.56787055352</v>
      </c>
    </row>
    <row r="106" spans="1:9" x14ac:dyDescent="0.25">
      <c r="A106" s="51">
        <f>'A) Base RI'!A97</f>
        <v>5552</v>
      </c>
      <c r="B106" s="34" t="str">
        <f>'A) Base RI'!B97</f>
        <v>Bullet</v>
      </c>
      <c r="C106" s="33">
        <f>'D) Ecrêtage'!M95</f>
        <v>17961.232428571428</v>
      </c>
      <c r="D106" s="15">
        <f>'A) Base RI'!AN97</f>
        <v>644</v>
      </c>
      <c r="E106" s="10">
        <f t="shared" si="3"/>
        <v>332067.80836269155</v>
      </c>
      <c r="F106" s="15">
        <f>'F) Population'!K98</f>
        <v>63622.535211267605</v>
      </c>
      <c r="G106" s="10">
        <f>'G) Solidarité'!I95</f>
        <v>211783.20499025536</v>
      </c>
      <c r="H106" s="15">
        <f t="shared" si="4"/>
        <v>275405.74020152295</v>
      </c>
      <c r="I106" s="59">
        <f t="shared" si="5"/>
        <v>56662.068161168601</v>
      </c>
    </row>
    <row r="107" spans="1:9" x14ac:dyDescent="0.25">
      <c r="A107" s="51">
        <f>'A) Base RI'!A98</f>
        <v>5553</v>
      </c>
      <c r="B107" s="34" t="str">
        <f>'A) Base RI'!B98</f>
        <v>Champagne</v>
      </c>
      <c r="C107" s="33">
        <f>'D) Ecrêtage'!M96</f>
        <v>34503.509846153851</v>
      </c>
      <c r="D107" s="15">
        <f>'A) Base RI'!AN98</f>
        <v>1027</v>
      </c>
      <c r="E107" s="10">
        <f t="shared" si="3"/>
        <v>637901.93356704689</v>
      </c>
      <c r="F107" s="15">
        <f>'F) Population'!K99</f>
        <v>108128.67203219316</v>
      </c>
      <c r="G107" s="10">
        <f>'G) Solidarité'!I96</f>
        <v>192898.56993683847</v>
      </c>
      <c r="H107" s="15">
        <f t="shared" si="4"/>
        <v>301027.24196903163</v>
      </c>
      <c r="I107" s="59">
        <f t="shared" si="5"/>
        <v>336874.69159801526</v>
      </c>
    </row>
    <row r="108" spans="1:9" x14ac:dyDescent="0.25">
      <c r="A108" s="51">
        <f>'A) Base RI'!A99</f>
        <v>5554</v>
      </c>
      <c r="B108" s="34" t="str">
        <f>'A) Base RI'!B99</f>
        <v>Concise</v>
      </c>
      <c r="C108" s="33">
        <f>'D) Ecrêtage'!M97</f>
        <v>31707.482800000005</v>
      </c>
      <c r="D108" s="15">
        <f>'A) Base RI'!AN99</f>
        <v>969</v>
      </c>
      <c r="E108" s="10">
        <f t="shared" si="3"/>
        <v>586208.90097412886</v>
      </c>
      <c r="F108" s="15">
        <f>'F) Population'!K100</f>
        <v>95730.181086519122</v>
      </c>
      <c r="G108" s="10">
        <f>'G) Solidarité'!I97</f>
        <v>261240.86305103434</v>
      </c>
      <c r="H108" s="15">
        <f t="shared" si="4"/>
        <v>356971.04413755343</v>
      </c>
      <c r="I108" s="59">
        <f t="shared" si="5"/>
        <v>229237.85683657543</v>
      </c>
    </row>
    <row r="109" spans="1:9" x14ac:dyDescent="0.25">
      <c r="A109" s="51">
        <f>'A) Base RI'!A100</f>
        <v>5555</v>
      </c>
      <c r="B109" s="34" t="str">
        <f>'A) Base RI'!B100</f>
        <v>Corcelles-près-Concise</v>
      </c>
      <c r="C109" s="33">
        <f>'D) Ecrêtage'!M98</f>
        <v>13647.491690140843</v>
      </c>
      <c r="D109" s="15">
        <f>'A) Base RI'!AN100</f>
        <v>377</v>
      </c>
      <c r="E109" s="10">
        <f t="shared" si="3"/>
        <v>252315.23912491152</v>
      </c>
      <c r="F109" s="15">
        <f>'F) Population'!K101</f>
        <v>37244.86921529175</v>
      </c>
      <c r="G109" s="10">
        <f>'G) Solidarité'!I98</f>
        <v>64838.668218659215</v>
      </c>
      <c r="H109" s="15">
        <f t="shared" si="4"/>
        <v>102083.53743395096</v>
      </c>
      <c r="I109" s="59">
        <f t="shared" si="5"/>
        <v>150231.70169096056</v>
      </c>
    </row>
    <row r="110" spans="1:9" x14ac:dyDescent="0.25">
      <c r="A110" s="51">
        <f>'A) Base RI'!A101</f>
        <v>5556</v>
      </c>
      <c r="B110" s="34" t="str">
        <f>'A) Base RI'!B101</f>
        <v>Fiez</v>
      </c>
      <c r="C110" s="33">
        <f>'D) Ecrêtage'!M99</f>
        <v>12912.419806763286</v>
      </c>
      <c r="D110" s="15">
        <f>'A) Base RI'!AN101</f>
        <v>425</v>
      </c>
      <c r="E110" s="10">
        <f t="shared" si="3"/>
        <v>238725.20791335974</v>
      </c>
      <c r="F110" s="15">
        <f>'F) Population'!K102</f>
        <v>41986.921529175052</v>
      </c>
      <c r="G110" s="10">
        <f>'G) Solidarité'!I99</f>
        <v>115777.46234078884</v>
      </c>
      <c r="H110" s="15">
        <f t="shared" si="4"/>
        <v>157764.3838699639</v>
      </c>
      <c r="I110" s="59">
        <f t="shared" si="5"/>
        <v>80960.824043395842</v>
      </c>
    </row>
    <row r="111" spans="1:9" x14ac:dyDescent="0.25">
      <c r="A111" s="51">
        <f>'A) Base RI'!A102</f>
        <v>5557</v>
      </c>
      <c r="B111" s="34" t="str">
        <f>'A) Base RI'!B102</f>
        <v>Fontaines-sur-Grandson</v>
      </c>
      <c r="C111" s="33">
        <f>'D) Ecrêtage'!M100</f>
        <v>4472.1762318840592</v>
      </c>
      <c r="D111" s="15">
        <f>'A) Base RI'!AN102</f>
        <v>210</v>
      </c>
      <c r="E111" s="10">
        <f t="shared" si="3"/>
        <v>82681.729432504013</v>
      </c>
      <c r="F111" s="15">
        <f>'F) Population'!K103</f>
        <v>20746.478873239437</v>
      </c>
      <c r="G111" s="10">
        <f>'G) Solidarité'!I100</f>
        <v>93277.871113153713</v>
      </c>
      <c r="H111" s="15">
        <f t="shared" si="4"/>
        <v>114024.34998639315</v>
      </c>
      <c r="I111" s="59">
        <f t="shared" si="5"/>
        <v>-31342.620553889137</v>
      </c>
    </row>
    <row r="112" spans="1:9" x14ac:dyDescent="0.25">
      <c r="A112" s="51">
        <f>'A) Base RI'!A103</f>
        <v>5559</v>
      </c>
      <c r="B112" s="34" t="str">
        <f>'A) Base RI'!B103</f>
        <v>Giez</v>
      </c>
      <c r="C112" s="33">
        <f>'D) Ecrêtage'!M101</f>
        <v>14390.805000000002</v>
      </c>
      <c r="D112" s="15">
        <f>'A) Base RI'!AN103</f>
        <v>421</v>
      </c>
      <c r="E112" s="10">
        <f t="shared" si="3"/>
        <v>266057.63807851053</v>
      </c>
      <c r="F112" s="15">
        <f>'F) Population'!K104</f>
        <v>41591.750503018106</v>
      </c>
      <c r="G112" s="10">
        <f>'G) Solidarité'!I101</f>
        <v>77259.874850791399</v>
      </c>
      <c r="H112" s="15">
        <f t="shared" si="4"/>
        <v>118851.6253538095</v>
      </c>
      <c r="I112" s="59">
        <f t="shared" si="5"/>
        <v>147206.01272470102</v>
      </c>
    </row>
    <row r="113" spans="1:9" x14ac:dyDescent="0.25">
      <c r="A113" s="51">
        <f>'A) Base RI'!A104</f>
        <v>5560</v>
      </c>
      <c r="B113" s="34" t="str">
        <f>'A) Base RI'!B104</f>
        <v>Grandevent</v>
      </c>
      <c r="C113" s="33">
        <f>'D) Ecrêtage'!M102</f>
        <v>6268.2104411764703</v>
      </c>
      <c r="D113" s="15">
        <f>'A) Base RI'!AN104</f>
        <v>229</v>
      </c>
      <c r="E113" s="10">
        <f t="shared" si="3"/>
        <v>115886.86421353566</v>
      </c>
      <c r="F113" s="15">
        <f>'F) Population'!K105</f>
        <v>22623.541247484911</v>
      </c>
      <c r="G113" s="10">
        <f>'G) Solidarité'!I102</f>
        <v>73244.120922733724</v>
      </c>
      <c r="H113" s="15">
        <f t="shared" si="4"/>
        <v>95867.662170218638</v>
      </c>
      <c r="I113" s="59">
        <f t="shared" si="5"/>
        <v>20019.202043317026</v>
      </c>
    </row>
    <row r="114" spans="1:9" x14ac:dyDescent="0.25">
      <c r="A114" s="51">
        <f>'A) Base RI'!A105</f>
        <v>5561</v>
      </c>
      <c r="B114" s="34" t="str">
        <f>'A) Base RI'!B105</f>
        <v>Grandson</v>
      </c>
      <c r="C114" s="33">
        <f>'D) Ecrêtage'!M103</f>
        <v>116951.12594202899</v>
      </c>
      <c r="D114" s="15">
        <f>'A) Base RI'!AN105</f>
        <v>3284</v>
      </c>
      <c r="E114" s="10">
        <f t="shared" si="3"/>
        <v>2162195.9535104986</v>
      </c>
      <c r="F114" s="15">
        <f>'F) Population'!K106</f>
        <v>930627.76659959764</v>
      </c>
      <c r="G114" s="10">
        <f>'G) Solidarité'!I103</f>
        <v>569923.4437943456</v>
      </c>
      <c r="H114" s="15">
        <f t="shared" si="4"/>
        <v>1500551.2103939434</v>
      </c>
      <c r="I114" s="59">
        <f t="shared" si="5"/>
        <v>661644.74311655527</v>
      </c>
    </row>
    <row r="115" spans="1:9" x14ac:dyDescent="0.25">
      <c r="A115" s="51">
        <f>'A) Base RI'!A106</f>
        <v>5562</v>
      </c>
      <c r="B115" s="34" t="str">
        <f>'A) Base RI'!B106</f>
        <v>Mauborget</v>
      </c>
      <c r="C115" s="33">
        <f>'D) Ecrêtage'!M104</f>
        <v>5914.7906428571432</v>
      </c>
      <c r="D115" s="15">
        <f>'A) Base RI'!AN106</f>
        <v>119</v>
      </c>
      <c r="E115" s="10">
        <f t="shared" si="3"/>
        <v>109352.82829330579</v>
      </c>
      <c r="F115" s="15">
        <f>'F) Population'!K107</f>
        <v>11756.338028169013</v>
      </c>
      <c r="G115" s="10">
        <f>'G) Solidarité'!I104</f>
        <v>0</v>
      </c>
      <c r="H115" s="15">
        <f t="shared" si="4"/>
        <v>11756.338028169013</v>
      </c>
      <c r="I115" s="59">
        <f t="shared" si="5"/>
        <v>97596.490265136774</v>
      </c>
    </row>
    <row r="116" spans="1:9" x14ac:dyDescent="0.25">
      <c r="A116" s="51">
        <f>'A) Base RI'!A107</f>
        <v>5563</v>
      </c>
      <c r="B116" s="34" t="str">
        <f>'A) Base RI'!B107</f>
        <v>Mutrux</v>
      </c>
      <c r="C116" s="33">
        <f>'D) Ecrêtage'!M105</f>
        <v>3113.0356687898088</v>
      </c>
      <c r="D116" s="15">
        <f>'A) Base RI'!AN107</f>
        <v>163</v>
      </c>
      <c r="E116" s="10">
        <f t="shared" si="3"/>
        <v>57553.897595886599</v>
      </c>
      <c r="F116" s="15">
        <f>'F) Population'!K108</f>
        <v>16103.219315895372</v>
      </c>
      <c r="G116" s="10">
        <f>'G) Solidarité'!I105</f>
        <v>102475.40277426214</v>
      </c>
      <c r="H116" s="15">
        <f t="shared" si="4"/>
        <v>118578.62209015751</v>
      </c>
      <c r="I116" s="59">
        <f t="shared" si="5"/>
        <v>-61024.724494270915</v>
      </c>
    </row>
    <row r="117" spans="1:9" x14ac:dyDescent="0.25">
      <c r="A117" s="51">
        <f>'A) Base RI'!A108</f>
        <v>5564</v>
      </c>
      <c r="B117" s="34" t="str">
        <f>'A) Base RI'!B108</f>
        <v>Novalles</v>
      </c>
      <c r="C117" s="33">
        <f>'D) Ecrêtage'!M106</f>
        <v>2626.7922039473683</v>
      </c>
      <c r="D117" s="15">
        <f>'A) Base RI'!AN108</f>
        <v>101</v>
      </c>
      <c r="E117" s="10">
        <f t="shared" si="3"/>
        <v>48564.213711830707</v>
      </c>
      <c r="F117" s="15">
        <f>'F) Population'!K109</f>
        <v>9978.0684104627762</v>
      </c>
      <c r="G117" s="10">
        <f>'G) Solidarité'!I106</f>
        <v>43512.353498675999</v>
      </c>
      <c r="H117" s="15">
        <f t="shared" si="4"/>
        <v>53490.421909138779</v>
      </c>
      <c r="I117" s="59">
        <f t="shared" si="5"/>
        <v>-4926.2081973080712</v>
      </c>
    </row>
    <row r="118" spans="1:9" x14ac:dyDescent="0.25">
      <c r="A118" s="51">
        <f>'A) Base RI'!A109</f>
        <v>5565</v>
      </c>
      <c r="B118" s="34" t="str">
        <f>'A) Base RI'!B109</f>
        <v>Onnens</v>
      </c>
      <c r="C118" s="33">
        <f>'D) Ecrêtage'!M107</f>
        <v>19016.562615384613</v>
      </c>
      <c r="D118" s="15">
        <f>'A) Base RI'!AN109</f>
        <v>477</v>
      </c>
      <c r="E118" s="10">
        <f t="shared" si="3"/>
        <v>351578.7847741202</v>
      </c>
      <c r="F118" s="15">
        <f>'F) Population'!K110</f>
        <v>47124.144869215292</v>
      </c>
      <c r="G118" s="10">
        <f>'G) Solidarité'!I107</f>
        <v>39416.18202277035</v>
      </c>
      <c r="H118" s="15">
        <f t="shared" si="4"/>
        <v>86540.326891985635</v>
      </c>
      <c r="I118" s="59">
        <f t="shared" si="5"/>
        <v>265038.45788213459</v>
      </c>
    </row>
    <row r="119" spans="1:9" x14ac:dyDescent="0.25">
      <c r="A119" s="51">
        <f>'A) Base RI'!A110</f>
        <v>5566</v>
      </c>
      <c r="B119" s="34" t="str">
        <f>'A) Base RI'!B110</f>
        <v>Provence</v>
      </c>
      <c r="C119" s="33">
        <f>'D) Ecrêtage'!M108</f>
        <v>7944.5948559670787</v>
      </c>
      <c r="D119" s="15">
        <f>'A) Base RI'!AN110</f>
        <v>388</v>
      </c>
      <c r="E119" s="10">
        <f t="shared" si="3"/>
        <v>146879.90997510462</v>
      </c>
      <c r="F119" s="15">
        <f>'F) Population'!K111</f>
        <v>38331.589537223343</v>
      </c>
      <c r="G119" s="10">
        <f>'G) Solidarité'!I108</f>
        <v>245791.20339034902</v>
      </c>
      <c r="H119" s="15">
        <f t="shared" si="4"/>
        <v>284122.79292757239</v>
      </c>
      <c r="I119" s="59">
        <f t="shared" si="5"/>
        <v>-137242.88295246777</v>
      </c>
    </row>
    <row r="120" spans="1:9" x14ac:dyDescent="0.25">
      <c r="A120" s="51">
        <f>'A) Base RI'!A111</f>
        <v>5568</v>
      </c>
      <c r="B120" s="34" t="str">
        <f>'A) Base RI'!B111</f>
        <v>Sainte-Croix</v>
      </c>
      <c r="C120" s="33">
        <f>'D) Ecrêtage'!M109</f>
        <v>100789.16114285712</v>
      </c>
      <c r="D120" s="15">
        <f>'A) Base RI'!AN111</f>
        <v>4919</v>
      </c>
      <c r="E120" s="10">
        <f t="shared" si="3"/>
        <v>1863393.0594975718</v>
      </c>
      <c r="F120" s="15">
        <f>'F) Population'!K112</f>
        <v>1738258.551307847</v>
      </c>
      <c r="G120" s="10">
        <f>'G) Solidarité'!I109</f>
        <v>2325879.7163354084</v>
      </c>
      <c r="H120" s="15">
        <f t="shared" si="4"/>
        <v>4064138.2676432552</v>
      </c>
      <c r="I120" s="59">
        <f t="shared" si="5"/>
        <v>-2200745.2081456836</v>
      </c>
    </row>
    <row r="121" spans="1:9" x14ac:dyDescent="0.25">
      <c r="A121" s="51">
        <f>'A) Base RI'!A112</f>
        <v>5571</v>
      </c>
      <c r="B121" s="34" t="str">
        <f>'A) Base RI'!B112</f>
        <v>Tévenon</v>
      </c>
      <c r="C121" s="33">
        <f>'D) Ecrêtage'!M110</f>
        <v>21355.706643835612</v>
      </c>
      <c r="D121" s="15">
        <f>'A) Base RI'!AN112</f>
        <v>843</v>
      </c>
      <c r="E121" s="10">
        <f t="shared" si="3"/>
        <v>394824.95031768258</v>
      </c>
      <c r="F121" s="15">
        <f>'F) Population'!K113</f>
        <v>83282.293762575457</v>
      </c>
      <c r="G121" s="10">
        <f>'G) Solidarité'!I110</f>
        <v>347108.96020345698</v>
      </c>
      <c r="H121" s="15">
        <f t="shared" si="4"/>
        <v>430391.25396603241</v>
      </c>
      <c r="I121" s="59">
        <f t="shared" si="5"/>
        <v>-35566.303648349829</v>
      </c>
    </row>
    <row r="122" spans="1:9" x14ac:dyDescent="0.25">
      <c r="A122" s="51">
        <f>'A) Base RI'!A113</f>
        <v>5581</v>
      </c>
      <c r="B122" s="34" t="str">
        <f>'A) Base RI'!B113</f>
        <v>Belmont-sur-Lausanne</v>
      </c>
      <c r="C122" s="33">
        <f>'D) Ecrêtage'!M111</f>
        <v>192798.41534772189</v>
      </c>
      <c r="D122" s="15">
        <f>'A) Base RI'!AN113</f>
        <v>3662</v>
      </c>
      <c r="E122" s="10">
        <f t="shared" si="3"/>
        <v>3564462.9339842033</v>
      </c>
      <c r="F122" s="15">
        <f>'F) Population'!K114</f>
        <v>1117346.0764587526</v>
      </c>
      <c r="G122" s="10">
        <f>'G) Solidarité'!I111</f>
        <v>0</v>
      </c>
      <c r="H122" s="15">
        <f t="shared" si="4"/>
        <v>1117346.0764587526</v>
      </c>
      <c r="I122" s="59">
        <f t="shared" si="5"/>
        <v>2447116.8575254506</v>
      </c>
    </row>
    <row r="123" spans="1:9" x14ac:dyDescent="0.25">
      <c r="A123" s="51">
        <f>'A) Base RI'!A114</f>
        <v>5582</v>
      </c>
      <c r="B123" s="34" t="str">
        <f>'A) Base RI'!B114</f>
        <v>Cheseaux-sur-Lausanne</v>
      </c>
      <c r="C123" s="33">
        <f>'D) Ecrêtage'!M112</f>
        <v>181145.82187919464</v>
      </c>
      <c r="D123" s="15">
        <f>'A) Base RI'!AN114</f>
        <v>4357</v>
      </c>
      <c r="E123" s="10">
        <f t="shared" si="3"/>
        <v>3349029.433514602</v>
      </c>
      <c r="F123" s="15">
        <f>'F) Population'!K115</f>
        <v>1460650.9054325954</v>
      </c>
      <c r="G123" s="10">
        <f>'G) Solidarité'!I112</f>
        <v>308888.88925917924</v>
      </c>
      <c r="H123" s="15">
        <f t="shared" si="4"/>
        <v>1769539.7946917745</v>
      </c>
      <c r="I123" s="59">
        <f t="shared" si="5"/>
        <v>1579489.6388228275</v>
      </c>
    </row>
    <row r="124" spans="1:9" x14ac:dyDescent="0.25">
      <c r="A124" s="51">
        <f>'A) Base RI'!A115</f>
        <v>5583</v>
      </c>
      <c r="B124" s="34" t="str">
        <f>'A) Base RI'!B115</f>
        <v>Crissier</v>
      </c>
      <c r="C124" s="33">
        <f>'D) Ecrêtage'!M113</f>
        <v>315798.9015384615</v>
      </c>
      <c r="D124" s="15">
        <f>'A) Base RI'!AN115</f>
        <v>8008</v>
      </c>
      <c r="E124" s="10">
        <f t="shared" si="3"/>
        <v>5838499.6427309774</v>
      </c>
      <c r="F124" s="15">
        <f>'F) Population'!K116</f>
        <v>3561281.287726358</v>
      </c>
      <c r="G124" s="10">
        <f>'G) Solidarité'!I113</f>
        <v>719707.53296449676</v>
      </c>
      <c r="H124" s="15">
        <f t="shared" si="4"/>
        <v>4280988.8206908545</v>
      </c>
      <c r="I124" s="59">
        <f t="shared" si="5"/>
        <v>1557510.8220401229</v>
      </c>
    </row>
    <row r="125" spans="1:9" x14ac:dyDescent="0.25">
      <c r="A125" s="51">
        <f>'A) Base RI'!A116</f>
        <v>5584</v>
      </c>
      <c r="B125" s="34" t="str">
        <f>'A) Base RI'!B116</f>
        <v>Epalinges</v>
      </c>
      <c r="C125" s="33">
        <f>'D) Ecrêtage'!M114</f>
        <v>424408.2359090909</v>
      </c>
      <c r="D125" s="15">
        <f>'A) Base RI'!AN116</f>
        <v>9335</v>
      </c>
      <c r="E125" s="10">
        <f t="shared" si="3"/>
        <v>7846472.3013785556</v>
      </c>
      <c r="F125" s="15">
        <f>'F) Population'!K117</f>
        <v>4430608.14889336</v>
      </c>
      <c r="G125" s="10">
        <f>'G) Solidarité'!I114</f>
        <v>0</v>
      </c>
      <c r="H125" s="15">
        <f t="shared" si="4"/>
        <v>4430608.14889336</v>
      </c>
      <c r="I125" s="59">
        <f t="shared" si="5"/>
        <v>3415864.1524851955</v>
      </c>
    </row>
    <row r="126" spans="1:9" x14ac:dyDescent="0.25">
      <c r="A126" s="51">
        <f>'A) Base RI'!A117</f>
        <v>5585</v>
      </c>
      <c r="B126" s="34" t="str">
        <f>'A) Base RI'!B117</f>
        <v>Jouxtens-Mézery</v>
      </c>
      <c r="C126" s="33">
        <f>'D) Ecrêtage'!M115</f>
        <v>143746.14069536969</v>
      </c>
      <c r="D126" s="15">
        <f>'A) Base RI'!AN117</f>
        <v>1469</v>
      </c>
      <c r="E126" s="10">
        <f t="shared" si="3"/>
        <v>2657582.996664281</v>
      </c>
      <c r="F126" s="15">
        <f>'F) Population'!K118</f>
        <v>260961.06639839034</v>
      </c>
      <c r="G126" s="10">
        <f>'G) Solidarité'!I115</f>
        <v>0</v>
      </c>
      <c r="H126" s="15">
        <f t="shared" si="4"/>
        <v>260961.06639839034</v>
      </c>
      <c r="I126" s="59">
        <f t="shared" si="5"/>
        <v>2396621.9302658904</v>
      </c>
    </row>
    <row r="127" spans="1:9" x14ac:dyDescent="0.25">
      <c r="A127" s="51">
        <f>'A) Base RI'!A118</f>
        <v>5586</v>
      </c>
      <c r="B127" s="34" t="str">
        <f>'A) Base RI'!B118</f>
        <v>Lausanne</v>
      </c>
      <c r="C127" s="33">
        <f>'D) Ecrêtage'!M116</f>
        <v>6228304.1083544316</v>
      </c>
      <c r="D127" s="15">
        <f>'A) Base RI'!AN118</f>
        <v>139624</v>
      </c>
      <c r="E127" s="10">
        <f t="shared" si="3"/>
        <v>115149074.72538635</v>
      </c>
      <c r="F127" s="15">
        <f>'F) Population'!K119</f>
        <v>138907752.91750503</v>
      </c>
      <c r="G127" s="10">
        <f>'G) Solidarité'!I116</f>
        <v>640444.13310342608</v>
      </c>
      <c r="H127" s="15">
        <f t="shared" si="4"/>
        <v>139548197.05060846</v>
      </c>
      <c r="I127" s="59">
        <f t="shared" si="5"/>
        <v>-24399122.325222105</v>
      </c>
    </row>
    <row r="128" spans="1:9" x14ac:dyDescent="0.25">
      <c r="A128" s="51">
        <f>'A) Base RI'!A119</f>
        <v>5587</v>
      </c>
      <c r="B128" s="34" t="str">
        <f>'A) Base RI'!B119</f>
        <v>Le Mont-sur-Lausanne</v>
      </c>
      <c r="C128" s="33">
        <f>'D) Ecrêtage'!M117</f>
        <v>419199.48633333331</v>
      </c>
      <c r="D128" s="15">
        <f>'A) Base RI'!AN119</f>
        <v>8093</v>
      </c>
      <c r="E128" s="10">
        <f t="shared" si="3"/>
        <v>7750172.7816874394</v>
      </c>
      <c r="F128" s="15">
        <f>'F) Population'!K120</f>
        <v>3611665.5935613681</v>
      </c>
      <c r="G128" s="10">
        <f>'G) Solidarité'!I117</f>
        <v>0</v>
      </c>
      <c r="H128" s="15">
        <f t="shared" si="4"/>
        <v>3611665.5935613681</v>
      </c>
      <c r="I128" s="59">
        <f t="shared" si="5"/>
        <v>4138507.1881260714</v>
      </c>
    </row>
    <row r="129" spans="1:9" x14ac:dyDescent="0.25">
      <c r="A129" s="51">
        <f>'A) Base RI'!A120</f>
        <v>5588</v>
      </c>
      <c r="B129" s="34" t="str">
        <f>'A) Base RI'!B120</f>
        <v>Paudex</v>
      </c>
      <c r="C129" s="33">
        <f>'D) Ecrêtage'!M118</f>
        <v>127175.68911671983</v>
      </c>
      <c r="D129" s="15">
        <f>'A) Base RI'!AN120</f>
        <v>1480</v>
      </c>
      <c r="E129" s="10">
        <f t="shared" si="3"/>
        <v>2351227.986718006</v>
      </c>
      <c r="F129" s="15">
        <f>'F) Population'!K121</f>
        <v>264764.58752515086</v>
      </c>
      <c r="G129" s="10">
        <f>'G) Solidarité'!I118</f>
        <v>0</v>
      </c>
      <c r="H129" s="15">
        <f t="shared" si="4"/>
        <v>264764.58752515086</v>
      </c>
      <c r="I129" s="59">
        <f t="shared" si="5"/>
        <v>2086463.3991928552</v>
      </c>
    </row>
    <row r="130" spans="1:9" x14ac:dyDescent="0.25">
      <c r="A130" s="51">
        <f>'A) Base RI'!A121</f>
        <v>5589</v>
      </c>
      <c r="B130" s="34" t="str">
        <f>'A) Base RI'!B121</f>
        <v>Prilly</v>
      </c>
      <c r="C130" s="33">
        <f>'D) Ecrêtage'!M119</f>
        <v>433086.92517006805</v>
      </c>
      <c r="D130" s="15">
        <f>'A) Base RI'!AN121</f>
        <v>12105</v>
      </c>
      <c r="E130" s="10">
        <f t="shared" si="3"/>
        <v>8006924.1709155906</v>
      </c>
      <c r="F130" s="15">
        <f>'F) Population'!K122</f>
        <v>6772243.4607645869</v>
      </c>
      <c r="G130" s="10">
        <f>'G) Solidarité'!I119</f>
        <v>2340842.287854407</v>
      </c>
      <c r="H130" s="15">
        <f t="shared" si="4"/>
        <v>9113085.7486189939</v>
      </c>
      <c r="I130" s="59">
        <f t="shared" si="5"/>
        <v>-1106161.5777034033</v>
      </c>
    </row>
    <row r="131" spans="1:9" x14ac:dyDescent="0.25">
      <c r="A131" s="51">
        <f>'A) Base RI'!A122</f>
        <v>5590</v>
      </c>
      <c r="B131" s="34" t="str">
        <f>'A) Base RI'!B122</f>
        <v>Pully</v>
      </c>
      <c r="C131" s="33">
        <f>'D) Ecrêtage'!M120</f>
        <v>1325739.9889937579</v>
      </c>
      <c r="D131" s="15">
        <f>'A) Base RI'!AN122</f>
        <v>18194</v>
      </c>
      <c r="E131" s="10">
        <f t="shared" si="3"/>
        <v>24510321.012473572</v>
      </c>
      <c r="F131" s="15">
        <f>'F) Population'!K123</f>
        <v>12945506.438631788</v>
      </c>
      <c r="G131" s="10">
        <f>'G) Solidarité'!I120</f>
        <v>0</v>
      </c>
      <c r="H131" s="15">
        <f t="shared" si="4"/>
        <v>12945506.438631788</v>
      </c>
      <c r="I131" s="59">
        <f t="shared" si="5"/>
        <v>11564814.573841784</v>
      </c>
    </row>
    <row r="132" spans="1:9" x14ac:dyDescent="0.25">
      <c r="A132" s="51">
        <f>'A) Base RI'!A123</f>
        <v>5591</v>
      </c>
      <c r="B132" s="34" t="str">
        <f>'A) Base RI'!B123</f>
        <v>Renens</v>
      </c>
      <c r="C132" s="33">
        <f>'D) Ecrêtage'!M121</f>
        <v>547576.12760691531</v>
      </c>
      <c r="D132" s="15">
        <f>'A) Base RI'!AN123</f>
        <v>21114</v>
      </c>
      <c r="E132" s="10">
        <f t="shared" si="3"/>
        <v>10123604.008203361</v>
      </c>
      <c r="F132" s="15">
        <f>'F) Population'!K124</f>
        <v>15974492.354124747</v>
      </c>
      <c r="G132" s="10">
        <f>'G) Solidarité'!I121</f>
        <v>9742525.3922428712</v>
      </c>
      <c r="H132" s="15">
        <f t="shared" si="4"/>
        <v>25717017.746367618</v>
      </c>
      <c r="I132" s="59">
        <f t="shared" si="5"/>
        <v>-15593413.738164257</v>
      </c>
    </row>
    <row r="133" spans="1:9" x14ac:dyDescent="0.25">
      <c r="A133" s="51">
        <f>'A) Base RI'!A124</f>
        <v>5592</v>
      </c>
      <c r="B133" s="34" t="str">
        <f>'A) Base RI'!B124</f>
        <v>Romanel-sur-Lausanne</v>
      </c>
      <c r="C133" s="33">
        <f>'D) Ecrêtage'!M122</f>
        <v>115829.88928571428</v>
      </c>
      <c r="D133" s="15">
        <f>'A) Base RI'!AN124</f>
        <v>3300</v>
      </c>
      <c r="E133" s="10">
        <f t="shared" si="3"/>
        <v>2141466.4962976365</v>
      </c>
      <c r="F133" s="15">
        <f>'F) Population'!K125</f>
        <v>938531.18712273636</v>
      </c>
      <c r="G133" s="10">
        <f>'G) Solidarité'!I122</f>
        <v>622320.98109334637</v>
      </c>
      <c r="H133" s="15">
        <f t="shared" si="4"/>
        <v>1560852.1682160827</v>
      </c>
      <c r="I133" s="59">
        <f t="shared" si="5"/>
        <v>580614.3280815538</v>
      </c>
    </row>
    <row r="134" spans="1:9" x14ac:dyDescent="0.25">
      <c r="A134" s="51">
        <f>'A) Base RI'!A125</f>
        <v>5601</v>
      </c>
      <c r="B134" s="34" t="str">
        <f>'A) Base RI'!B125</f>
        <v>Chexbres</v>
      </c>
      <c r="C134" s="33">
        <f>'D) Ecrêtage'!M123</f>
        <v>117508.63062500001</v>
      </c>
      <c r="D134" s="15">
        <f>'A) Base RI'!AN125</f>
        <v>2250</v>
      </c>
      <c r="E134" s="10">
        <f t="shared" si="3"/>
        <v>2172503.1169505548</v>
      </c>
      <c r="F134" s="15">
        <f>'F) Population'!K126</f>
        <v>531011.06639839034</v>
      </c>
      <c r="G134" s="10">
        <f>'G) Solidarité'!I123</f>
        <v>0</v>
      </c>
      <c r="H134" s="15">
        <f t="shared" si="4"/>
        <v>531011.06639839034</v>
      </c>
      <c r="I134" s="59">
        <f t="shared" si="5"/>
        <v>1641492.0505521644</v>
      </c>
    </row>
    <row r="135" spans="1:9" x14ac:dyDescent="0.25">
      <c r="A135" s="51">
        <f>'A) Base RI'!A126</f>
        <v>5604</v>
      </c>
      <c r="B135" s="34" t="str">
        <f>'A) Base RI'!B126</f>
        <v>Forel (Lavaux)</v>
      </c>
      <c r="C135" s="33">
        <f>'D) Ecrêtage'!M124</f>
        <v>71631.535147058821</v>
      </c>
      <c r="D135" s="15">
        <f>'A) Base RI'!AN126</f>
        <v>2084</v>
      </c>
      <c r="E135" s="10">
        <f t="shared" si="3"/>
        <v>1324325.9882379256</v>
      </c>
      <c r="F135" s="15">
        <f>'F) Population'!K127</f>
        <v>473612.47484909452</v>
      </c>
      <c r="G135" s="10">
        <f>'G) Solidarité'!I124</f>
        <v>398716.81307541975</v>
      </c>
      <c r="H135" s="15">
        <f t="shared" si="4"/>
        <v>872329.28792451427</v>
      </c>
      <c r="I135" s="59">
        <f t="shared" si="5"/>
        <v>451996.7003134113</v>
      </c>
    </row>
    <row r="136" spans="1:9" x14ac:dyDescent="0.25">
      <c r="A136" s="51">
        <f>'A) Base RI'!A127</f>
        <v>5606</v>
      </c>
      <c r="B136" s="34" t="str">
        <f>'A) Base RI'!B127</f>
        <v>Lutry</v>
      </c>
      <c r="C136" s="33">
        <f>'D) Ecrêtage'!M125</f>
        <v>758715.71300431201</v>
      </c>
      <c r="D136" s="15">
        <f>'A) Base RI'!AN127</f>
        <v>10001</v>
      </c>
      <c r="E136" s="10">
        <f t="shared" si="3"/>
        <v>14027159.048780126</v>
      </c>
      <c r="F136" s="15">
        <f>'F) Population'!K128</f>
        <v>4989873.9436619719</v>
      </c>
      <c r="G136" s="10">
        <f>'G) Solidarité'!I125</f>
        <v>0</v>
      </c>
      <c r="H136" s="15">
        <f t="shared" si="4"/>
        <v>4989873.9436619719</v>
      </c>
      <c r="I136" s="59">
        <f t="shared" si="5"/>
        <v>9037285.1051181555</v>
      </c>
    </row>
    <row r="137" spans="1:9" x14ac:dyDescent="0.25">
      <c r="A137" s="51">
        <f>'A) Base RI'!A128</f>
        <v>5607</v>
      </c>
      <c r="B137" s="34" t="str">
        <f>'A) Base RI'!B128</f>
        <v>Puidoux</v>
      </c>
      <c r="C137" s="33">
        <f>'D) Ecrêtage'!M126</f>
        <v>108525.10310559007</v>
      </c>
      <c r="D137" s="15">
        <f>'A) Base RI'!AN128</f>
        <v>2904</v>
      </c>
      <c r="E137" s="10">
        <f t="shared" si="3"/>
        <v>2006415.3884720223</v>
      </c>
      <c r="F137" s="15">
        <f>'F) Population'!K129</f>
        <v>757147.68611670006</v>
      </c>
      <c r="G137" s="10">
        <f>'G) Solidarité'!I126</f>
        <v>419335.05431070266</v>
      </c>
      <c r="H137" s="15">
        <f t="shared" si="4"/>
        <v>1176482.7404274028</v>
      </c>
      <c r="I137" s="59">
        <f t="shared" si="5"/>
        <v>829932.64804461948</v>
      </c>
    </row>
    <row r="138" spans="1:9" x14ac:dyDescent="0.25">
      <c r="A138" s="51">
        <f>'A) Base RI'!A129</f>
        <v>5609</v>
      </c>
      <c r="B138" s="34" t="str">
        <f>'A) Base RI'!B129</f>
        <v>Rivaz</v>
      </c>
      <c r="C138" s="33">
        <f>'D) Ecrêtage'!M127</f>
        <v>15580.699212598427</v>
      </c>
      <c r="D138" s="15">
        <f>'A) Base RI'!AN129</f>
        <v>351</v>
      </c>
      <c r="E138" s="10">
        <f t="shared" si="3"/>
        <v>288056.4382684392</v>
      </c>
      <c r="F138" s="15">
        <f>'F) Population'!K130</f>
        <v>34676.257545271626</v>
      </c>
      <c r="G138" s="10">
        <f>'G) Solidarité'!I127</f>
        <v>2266.6054608049508</v>
      </c>
      <c r="H138" s="15">
        <f t="shared" si="4"/>
        <v>36942.863006076579</v>
      </c>
      <c r="I138" s="59">
        <f t="shared" si="5"/>
        <v>251113.57526236263</v>
      </c>
    </row>
    <row r="139" spans="1:9" x14ac:dyDescent="0.25">
      <c r="A139" s="51">
        <f>'A) Base RI'!A130</f>
        <v>5610</v>
      </c>
      <c r="B139" s="34" t="str">
        <f>'A) Base RI'!B130</f>
        <v>St-Saphorin (Lavaux)</v>
      </c>
      <c r="C139" s="33">
        <f>'D) Ecrêtage'!M128</f>
        <v>21964.993093148194</v>
      </c>
      <c r="D139" s="15">
        <f>'A) Base RI'!AN130</f>
        <v>389</v>
      </c>
      <c r="E139" s="10">
        <f t="shared" si="3"/>
        <v>406089.45661996014</v>
      </c>
      <c r="F139" s="15">
        <f>'F) Population'!K131</f>
        <v>38430.382293762574</v>
      </c>
      <c r="G139" s="10">
        <f>'G) Solidarité'!I128</f>
        <v>0</v>
      </c>
      <c r="H139" s="15">
        <f t="shared" si="4"/>
        <v>38430.382293762574</v>
      </c>
      <c r="I139" s="59">
        <f t="shared" si="5"/>
        <v>367659.07432619756</v>
      </c>
    </row>
    <row r="140" spans="1:9" x14ac:dyDescent="0.25">
      <c r="A140" s="51">
        <f>'A) Base RI'!A131</f>
        <v>5611</v>
      </c>
      <c r="B140" s="34" t="str">
        <f>'A) Base RI'!B131</f>
        <v>Savigny</v>
      </c>
      <c r="C140" s="33">
        <f>'D) Ecrêtage'!M129</f>
        <v>134510.93620772948</v>
      </c>
      <c r="D140" s="15">
        <f>'A) Base RI'!AN131</f>
        <v>3352</v>
      </c>
      <c r="E140" s="10">
        <f t="shared" si="3"/>
        <v>2486842.2567853364</v>
      </c>
      <c r="F140" s="15">
        <f>'F) Population'!K132</f>
        <v>964217.30382293765</v>
      </c>
      <c r="G140" s="10">
        <f>'G) Solidarité'!I129</f>
        <v>295553.64211494557</v>
      </c>
      <c r="H140" s="15">
        <f t="shared" si="4"/>
        <v>1259770.9459378831</v>
      </c>
      <c r="I140" s="59">
        <f t="shared" si="5"/>
        <v>1227071.3108474533</v>
      </c>
    </row>
    <row r="141" spans="1:9" x14ac:dyDescent="0.25">
      <c r="A141" s="51">
        <f>'A) Base RI'!A132</f>
        <v>5613</v>
      </c>
      <c r="B141" s="34" t="str">
        <f>'A) Base RI'!B132</f>
        <v>Bourg-en-Lavaux</v>
      </c>
      <c r="C141" s="33">
        <f>'D) Ecrêtage'!M130</f>
        <v>322026.63656055502</v>
      </c>
      <c r="D141" s="15">
        <f>'A) Base RI'!AN132</f>
        <v>5288</v>
      </c>
      <c r="E141" s="10">
        <f t="shared" si="3"/>
        <v>5953638.1961723613</v>
      </c>
      <c r="F141" s="15">
        <f>'F) Population'!K133</f>
        <v>1948983.5010060361</v>
      </c>
      <c r="G141" s="10">
        <f>'G) Solidarité'!I130</f>
        <v>0</v>
      </c>
      <c r="H141" s="15">
        <f t="shared" si="4"/>
        <v>1948983.5010060361</v>
      </c>
      <c r="I141" s="59">
        <f t="shared" si="5"/>
        <v>4004654.6951663252</v>
      </c>
    </row>
    <row r="142" spans="1:9" x14ac:dyDescent="0.25">
      <c r="A142" s="51">
        <f>'A) Base RI'!A133</f>
        <v>5621</v>
      </c>
      <c r="B142" s="34" t="str">
        <f>'A) Base RI'!B133</f>
        <v>Aclens</v>
      </c>
      <c r="C142" s="33">
        <f>'D) Ecrêtage'!M131</f>
        <v>32448.080278851183</v>
      </c>
      <c r="D142" s="15">
        <f>'A) Base RI'!AN133</f>
        <v>545</v>
      </c>
      <c r="E142" s="10">
        <f t="shared" si="3"/>
        <v>599901.08956191421</v>
      </c>
      <c r="F142" s="15">
        <f>'F) Population'!K134</f>
        <v>53842.052313883301</v>
      </c>
      <c r="G142" s="10">
        <f>'G) Solidarité'!I131</f>
        <v>0</v>
      </c>
      <c r="H142" s="15">
        <f t="shared" si="4"/>
        <v>53842.052313883301</v>
      </c>
      <c r="I142" s="59">
        <f t="shared" si="5"/>
        <v>546059.03724803089</v>
      </c>
    </row>
    <row r="143" spans="1:9" x14ac:dyDescent="0.25">
      <c r="A143" s="51">
        <f>'A) Base RI'!A134</f>
        <v>5622</v>
      </c>
      <c r="B143" s="34" t="str">
        <f>'A) Base RI'!B134</f>
        <v>Bremblens</v>
      </c>
      <c r="C143" s="33">
        <f>'D) Ecrêtage'!M132</f>
        <v>31043.054707464271</v>
      </c>
      <c r="D143" s="15">
        <f>'A) Base RI'!AN134</f>
        <v>547</v>
      </c>
      <c r="E143" s="10">
        <f t="shared" si="3"/>
        <v>573924.93430422631</v>
      </c>
      <c r="F143" s="15">
        <f>'F) Population'!K135</f>
        <v>54039.637826961771</v>
      </c>
      <c r="G143" s="10">
        <f>'G) Solidarité'!I132</f>
        <v>0</v>
      </c>
      <c r="H143" s="15">
        <f t="shared" si="4"/>
        <v>54039.637826961771</v>
      </c>
      <c r="I143" s="59">
        <f t="shared" si="5"/>
        <v>519885.29647726455</v>
      </c>
    </row>
    <row r="144" spans="1:9" x14ac:dyDescent="0.25">
      <c r="A144" s="51">
        <f>'A) Base RI'!A135</f>
        <v>5623</v>
      </c>
      <c r="B144" s="34" t="str">
        <f>'A) Base RI'!B135</f>
        <v>Buchillon</v>
      </c>
      <c r="C144" s="33">
        <f>'D) Ecrêtage'!M133</f>
        <v>62211.128546879416</v>
      </c>
      <c r="D144" s="15">
        <f>'A) Base RI'!AN135</f>
        <v>638</v>
      </c>
      <c r="E144" s="10">
        <f t="shared" si="3"/>
        <v>1150161.2261010651</v>
      </c>
      <c r="F144" s="15">
        <f>'F) Population'!K136</f>
        <v>63029.778672032196</v>
      </c>
      <c r="G144" s="10">
        <f>'G) Solidarité'!I133</f>
        <v>0</v>
      </c>
      <c r="H144" s="15">
        <f t="shared" si="4"/>
        <v>63029.778672032196</v>
      </c>
      <c r="I144" s="59">
        <f t="shared" si="5"/>
        <v>1087131.4474290328</v>
      </c>
    </row>
    <row r="145" spans="1:9" x14ac:dyDescent="0.25">
      <c r="A145" s="51">
        <f>'A) Base RI'!A136</f>
        <v>5624</v>
      </c>
      <c r="B145" s="34" t="str">
        <f>'A) Base RI'!B136</f>
        <v>Bussigny</v>
      </c>
      <c r="C145" s="33">
        <f>'D) Ecrêtage'!M134</f>
        <v>336696.75822580646</v>
      </c>
      <c r="D145" s="15">
        <f>'A) Base RI'!AN136</f>
        <v>8677</v>
      </c>
      <c r="E145" s="10">
        <f t="shared" ref="E145:E208" si="6">C145*E$15</f>
        <v>6224859.8492057519</v>
      </c>
      <c r="F145" s="15">
        <f>'F) Population'!K137</f>
        <v>3957835.4124748488</v>
      </c>
      <c r="G145" s="10">
        <f>'G) Solidarité'!I134</f>
        <v>793218.13520473603</v>
      </c>
      <c r="H145" s="15">
        <f t="shared" ref="H145:H208" si="7">F145+G145</f>
        <v>4751053.5476795845</v>
      </c>
      <c r="I145" s="59">
        <f t="shared" ref="I145:I208" si="8">E145-H145</f>
        <v>1473806.3015261674</v>
      </c>
    </row>
    <row r="146" spans="1:9" x14ac:dyDescent="0.25">
      <c r="A146" s="51">
        <f>'A) Base RI'!A137</f>
        <v>5625</v>
      </c>
      <c r="B146" s="34" t="str">
        <f>'A) Base RI'!B137</f>
        <v>Bussy-Chardonney</v>
      </c>
      <c r="C146" s="33">
        <f>'D) Ecrêtage'!M135</f>
        <v>13792.360683760684</v>
      </c>
      <c r="D146" s="15">
        <f>'A) Base RI'!AN137</f>
        <v>371</v>
      </c>
      <c r="E146" s="10">
        <f t="shared" si="6"/>
        <v>254993.58146040322</v>
      </c>
      <c r="F146" s="15">
        <f>'F) Population'!K138</f>
        <v>36652.112676056335</v>
      </c>
      <c r="G146" s="10">
        <f>'G) Solidarité'!I135</f>
        <v>68262.046835589557</v>
      </c>
      <c r="H146" s="15">
        <f t="shared" si="7"/>
        <v>104914.15951164589</v>
      </c>
      <c r="I146" s="59">
        <f t="shared" si="8"/>
        <v>150079.42194875731</v>
      </c>
    </row>
    <row r="147" spans="1:9" x14ac:dyDescent="0.25">
      <c r="A147" s="51">
        <f>'A) Base RI'!A138</f>
        <v>5627</v>
      </c>
      <c r="B147" s="34" t="str">
        <f>'A) Base RI'!B138</f>
        <v>Chavannes-près-Renens</v>
      </c>
      <c r="C147" s="33">
        <f>'D) Ecrêtage'!M136</f>
        <v>175193.96054852317</v>
      </c>
      <c r="D147" s="15">
        <f>'A) Base RI'!AN138</f>
        <v>7653</v>
      </c>
      <c r="E147" s="10">
        <f t="shared" si="6"/>
        <v>3238991.2412238112</v>
      </c>
      <c r="F147" s="15">
        <f>'F) Population'!K139</f>
        <v>3350852.7162977867</v>
      </c>
      <c r="G147" s="10">
        <f>'G) Solidarité'!I136</f>
        <v>4153324.6197798909</v>
      </c>
      <c r="H147" s="15">
        <f t="shared" si="7"/>
        <v>7504177.3360776771</v>
      </c>
      <c r="I147" s="59">
        <f t="shared" si="8"/>
        <v>-4265186.0948538659</v>
      </c>
    </row>
    <row r="148" spans="1:9" x14ac:dyDescent="0.25">
      <c r="A148" s="51">
        <f>'A) Base RI'!A139</f>
        <v>5628</v>
      </c>
      <c r="B148" s="34" t="str">
        <f>'A) Base RI'!B139</f>
        <v>Chigny</v>
      </c>
      <c r="C148" s="33">
        <f>'D) Ecrêtage'!M137</f>
        <v>19325.492137498935</v>
      </c>
      <c r="D148" s="15">
        <f>'A) Base RI'!AN139</f>
        <v>338</v>
      </c>
      <c r="E148" s="10">
        <f t="shared" si="6"/>
        <v>357290.28312229872</v>
      </c>
      <c r="F148" s="15">
        <f>'F) Population'!K140</f>
        <v>33391.951710261572</v>
      </c>
      <c r="G148" s="10">
        <f>'G) Solidarité'!I137</f>
        <v>0</v>
      </c>
      <c r="H148" s="15">
        <f t="shared" si="7"/>
        <v>33391.951710261572</v>
      </c>
      <c r="I148" s="59">
        <f t="shared" si="8"/>
        <v>323898.33141203714</v>
      </c>
    </row>
    <row r="149" spans="1:9" x14ac:dyDescent="0.25">
      <c r="A149" s="51">
        <f>'A) Base RI'!A140</f>
        <v>5629</v>
      </c>
      <c r="B149" s="34" t="str">
        <f>'A) Base RI'!B140</f>
        <v>Clarmont</v>
      </c>
      <c r="C149" s="33">
        <f>'D) Ecrêtage'!M138</f>
        <v>7511.8584000000001</v>
      </c>
      <c r="D149" s="15">
        <f>'A) Base RI'!AN140</f>
        <v>189</v>
      </c>
      <c r="E149" s="10">
        <f t="shared" si="6"/>
        <v>138879.46528941355</v>
      </c>
      <c r="F149" s="15">
        <f>'F) Population'!K141</f>
        <v>18671.830985915494</v>
      </c>
      <c r="G149" s="10">
        <f>'G) Solidarité'!I138</f>
        <v>21306.66769476487</v>
      </c>
      <c r="H149" s="15">
        <f t="shared" si="7"/>
        <v>39978.498680680364</v>
      </c>
      <c r="I149" s="59">
        <f t="shared" si="8"/>
        <v>98900.966608733186</v>
      </c>
    </row>
    <row r="150" spans="1:9" x14ac:dyDescent="0.25">
      <c r="A150" s="51">
        <f>'A) Base RI'!A141</f>
        <v>5631</v>
      </c>
      <c r="B150" s="34" t="str">
        <f>'A) Base RI'!B141</f>
        <v>Denens</v>
      </c>
      <c r="C150" s="33">
        <f>'D) Ecrêtage'!M139</f>
        <v>44860.345540429065</v>
      </c>
      <c r="D150" s="15">
        <f>'A) Base RI'!AN141</f>
        <v>774</v>
      </c>
      <c r="E150" s="10">
        <f t="shared" si="6"/>
        <v>829379.42511710769</v>
      </c>
      <c r="F150" s="15">
        <f>'F) Population'!K142</f>
        <v>76465.593561368209</v>
      </c>
      <c r="G150" s="10">
        <f>'G) Solidarité'!I139</f>
        <v>0</v>
      </c>
      <c r="H150" s="15">
        <f t="shared" si="7"/>
        <v>76465.593561368209</v>
      </c>
      <c r="I150" s="59">
        <f t="shared" si="8"/>
        <v>752913.83155573951</v>
      </c>
    </row>
    <row r="151" spans="1:9" x14ac:dyDescent="0.25">
      <c r="A151" s="51">
        <f>'A) Base RI'!A142</f>
        <v>5632</v>
      </c>
      <c r="B151" s="34" t="str">
        <f>'A) Base RI'!B142</f>
        <v>Denges</v>
      </c>
      <c r="C151" s="33">
        <f>'D) Ecrêtage'!M140</f>
        <v>67894.99080645162</v>
      </c>
      <c r="D151" s="15">
        <f>'A) Base RI'!AN142</f>
        <v>1614</v>
      </c>
      <c r="E151" s="10">
        <f t="shared" si="6"/>
        <v>1255244.6434599527</v>
      </c>
      <c r="F151" s="15">
        <f>'F) Population'!K143</f>
        <v>311098.39034205233</v>
      </c>
      <c r="G151" s="10">
        <f>'G) Solidarité'!I140</f>
        <v>67165.61142867626</v>
      </c>
      <c r="H151" s="15">
        <f t="shared" si="7"/>
        <v>378264.00177072862</v>
      </c>
      <c r="I151" s="59">
        <f t="shared" si="8"/>
        <v>876980.64168922405</v>
      </c>
    </row>
    <row r="152" spans="1:9" x14ac:dyDescent="0.25">
      <c r="A152" s="51">
        <f>'A) Base RI'!A143</f>
        <v>5633</v>
      </c>
      <c r="B152" s="34" t="str">
        <f>'A) Base RI'!B143</f>
        <v>Echandens</v>
      </c>
      <c r="C152" s="33">
        <f>'D) Ecrêtage'!M141</f>
        <v>131889.87370967743</v>
      </c>
      <c r="D152" s="15">
        <f>'A) Base RI'!AN143</f>
        <v>2757</v>
      </c>
      <c r="E152" s="10">
        <f t="shared" si="6"/>
        <v>2438383.9740493889</v>
      </c>
      <c r="F152" s="15">
        <f>'F) Population'!K144</f>
        <v>706318.81287726341</v>
      </c>
      <c r="G152" s="10">
        <f>'G) Solidarité'!I141</f>
        <v>0</v>
      </c>
      <c r="H152" s="15">
        <f t="shared" si="7"/>
        <v>706318.81287726341</v>
      </c>
      <c r="I152" s="59">
        <f t="shared" si="8"/>
        <v>1732065.1611721255</v>
      </c>
    </row>
    <row r="153" spans="1:9" x14ac:dyDescent="0.25">
      <c r="A153" s="51">
        <f>'A) Base RI'!A144</f>
        <v>5634</v>
      </c>
      <c r="B153" s="34" t="str">
        <f>'A) Base RI'!B144</f>
        <v>Echichens</v>
      </c>
      <c r="C153" s="33">
        <f>'D) Ecrêtage'!M142</f>
        <v>127167.81867647056</v>
      </c>
      <c r="D153" s="15">
        <f>'A) Base RI'!AN144</f>
        <v>2712</v>
      </c>
      <c r="E153" s="10">
        <f t="shared" si="6"/>
        <v>2351082.477780642</v>
      </c>
      <c r="F153" s="15">
        <f>'F) Population'!K145</f>
        <v>690758.953722334</v>
      </c>
      <c r="G153" s="10">
        <f>'G) Solidarité'!I142</f>
        <v>0</v>
      </c>
      <c r="H153" s="15">
        <f t="shared" si="7"/>
        <v>690758.953722334</v>
      </c>
      <c r="I153" s="59">
        <f t="shared" si="8"/>
        <v>1660323.524058308</v>
      </c>
    </row>
    <row r="154" spans="1:9" x14ac:dyDescent="0.25">
      <c r="A154" s="51">
        <f>'A) Base RI'!A145</f>
        <v>5635</v>
      </c>
      <c r="B154" s="34" t="str">
        <f>'A) Base RI'!B145</f>
        <v>Ecublens</v>
      </c>
      <c r="C154" s="33">
        <f>'D) Ecrêtage'!M143</f>
        <v>453953.99228353141</v>
      </c>
      <c r="D154" s="15">
        <f>'A) Base RI'!AN145</f>
        <v>12560</v>
      </c>
      <c r="E154" s="10">
        <f t="shared" si="6"/>
        <v>8392715.138817234</v>
      </c>
      <c r="F154" s="15">
        <f>'F) Population'!K146</f>
        <v>7221750.5030181082</v>
      </c>
      <c r="G154" s="10">
        <f>'G) Solidarité'!I143</f>
        <v>1658215.8397029322</v>
      </c>
      <c r="H154" s="15">
        <f t="shared" si="7"/>
        <v>8879966.3427210413</v>
      </c>
      <c r="I154" s="59">
        <f t="shared" si="8"/>
        <v>-487251.20390380733</v>
      </c>
    </row>
    <row r="155" spans="1:9" x14ac:dyDescent="0.25">
      <c r="A155" s="51">
        <f>'A) Base RI'!A146</f>
        <v>5636</v>
      </c>
      <c r="B155" s="34" t="str">
        <f>'A) Base RI'!B146</f>
        <v>Etoy</v>
      </c>
      <c r="C155" s="33">
        <f>'D) Ecrêtage'!M144</f>
        <v>157303.40508196724</v>
      </c>
      <c r="D155" s="15">
        <f>'A) Base RI'!AN146</f>
        <v>2908</v>
      </c>
      <c r="E155" s="10">
        <f t="shared" si="6"/>
        <v>2908230.1106724311</v>
      </c>
      <c r="F155" s="15">
        <f>'F) Population'!K147</f>
        <v>758530.78470824938</v>
      </c>
      <c r="G155" s="10">
        <f>'G) Solidarité'!I144</f>
        <v>0</v>
      </c>
      <c r="H155" s="15">
        <f t="shared" si="7"/>
        <v>758530.78470824938</v>
      </c>
      <c r="I155" s="59">
        <f t="shared" si="8"/>
        <v>2149699.3259641817</v>
      </c>
    </row>
    <row r="156" spans="1:9" x14ac:dyDescent="0.25">
      <c r="A156" s="51">
        <f>'A) Base RI'!A147</f>
        <v>5637</v>
      </c>
      <c r="B156" s="34" t="str">
        <f>'A) Base RI'!B147</f>
        <v>Lavigny</v>
      </c>
      <c r="C156" s="33">
        <f>'D) Ecrêtage'!M145</f>
        <v>36259.562058165546</v>
      </c>
      <c r="D156" s="15">
        <f>'A) Base RI'!AN147</f>
        <v>1007</v>
      </c>
      <c r="E156" s="10">
        <f t="shared" si="6"/>
        <v>670367.87997312867</v>
      </c>
      <c r="F156" s="15">
        <f>'F) Population'!K148</f>
        <v>101213.17907444669</v>
      </c>
      <c r="G156" s="10">
        <f>'G) Solidarité'!I145</f>
        <v>194962.81113862348</v>
      </c>
      <c r="H156" s="15">
        <f t="shared" si="7"/>
        <v>296175.99021307018</v>
      </c>
      <c r="I156" s="59">
        <f t="shared" si="8"/>
        <v>374191.88976005849</v>
      </c>
    </row>
    <row r="157" spans="1:9" x14ac:dyDescent="0.25">
      <c r="A157" s="51">
        <f>'A) Base RI'!A148</f>
        <v>5638</v>
      </c>
      <c r="B157" s="34" t="str">
        <f>'A) Base RI'!B148</f>
        <v>Lonay</v>
      </c>
      <c r="C157" s="33">
        <f>'D) Ecrêtage'!M146</f>
        <v>150321.62938264804</v>
      </c>
      <c r="D157" s="15">
        <f>'A) Base RI'!AN148</f>
        <v>2492</v>
      </c>
      <c r="E157" s="10">
        <f t="shared" si="6"/>
        <v>2779150.830385136</v>
      </c>
      <c r="F157" s="15">
        <f>'F) Population'!K149</f>
        <v>614688.53118712269</v>
      </c>
      <c r="G157" s="10">
        <f>'G) Solidarité'!I146</f>
        <v>0</v>
      </c>
      <c r="H157" s="15">
        <f t="shared" si="7"/>
        <v>614688.53118712269</v>
      </c>
      <c r="I157" s="59">
        <f t="shared" si="8"/>
        <v>2164462.2991980133</v>
      </c>
    </row>
    <row r="158" spans="1:9" x14ac:dyDescent="0.25">
      <c r="A158" s="51">
        <f>'A) Base RI'!A149</f>
        <v>5639</v>
      </c>
      <c r="B158" s="34" t="str">
        <f>'A) Base RI'!B149</f>
        <v>Lully</v>
      </c>
      <c r="C158" s="33">
        <f>'D) Ecrêtage'!M147</f>
        <v>49975.06593843337</v>
      </c>
      <c r="D158" s="15">
        <f>'A) Base RI'!AN149</f>
        <v>795</v>
      </c>
      <c r="E158" s="10">
        <f t="shared" si="6"/>
        <v>923940.53052608273</v>
      </c>
      <c r="F158" s="15">
        <f>'F) Population'!K150</f>
        <v>78540.241448692148</v>
      </c>
      <c r="G158" s="10">
        <f>'G) Solidarité'!I147</f>
        <v>0</v>
      </c>
      <c r="H158" s="15">
        <f t="shared" si="7"/>
        <v>78540.241448692148</v>
      </c>
      <c r="I158" s="59">
        <f t="shared" si="8"/>
        <v>845400.28907739057</v>
      </c>
    </row>
    <row r="159" spans="1:9" x14ac:dyDescent="0.25">
      <c r="A159" s="51">
        <f>'A) Base RI'!A150</f>
        <v>5640</v>
      </c>
      <c r="B159" s="34" t="str">
        <f>'A) Base RI'!B150</f>
        <v>Lussy-sur-Morges</v>
      </c>
      <c r="C159" s="33">
        <f>'D) Ecrêtage'!M148</f>
        <v>50651.70710935448</v>
      </c>
      <c r="D159" s="15">
        <f>'A) Base RI'!AN150</f>
        <v>667</v>
      </c>
      <c r="E159" s="10">
        <f t="shared" si="6"/>
        <v>936450.29295854899</v>
      </c>
      <c r="F159" s="15">
        <f>'F) Population'!K151</f>
        <v>65894.768611670021</v>
      </c>
      <c r="G159" s="10">
        <f>'G) Solidarité'!I148</f>
        <v>0</v>
      </c>
      <c r="H159" s="15">
        <f t="shared" si="7"/>
        <v>65894.768611670021</v>
      </c>
      <c r="I159" s="59">
        <f t="shared" si="8"/>
        <v>870555.52434687898</v>
      </c>
    </row>
    <row r="160" spans="1:9" x14ac:dyDescent="0.25">
      <c r="A160" s="51">
        <f>'A) Base RI'!A151</f>
        <v>5642</v>
      </c>
      <c r="B160" s="34" t="str">
        <f>'A) Base RI'!B151</f>
        <v>Morges</v>
      </c>
      <c r="C160" s="33">
        <f>'D) Ecrêtage'!M149</f>
        <v>777988.51795620425</v>
      </c>
      <c r="D160" s="15">
        <f>'A) Base RI'!AN151</f>
        <v>15839</v>
      </c>
      <c r="E160" s="10">
        <f t="shared" si="6"/>
        <v>14383475.249621447</v>
      </c>
      <c r="F160" s="15">
        <f>'F) Population'!K152</f>
        <v>10502608.551307846</v>
      </c>
      <c r="G160" s="10">
        <f>'G) Solidarité'!I149</f>
        <v>0</v>
      </c>
      <c r="H160" s="15">
        <f t="shared" si="7"/>
        <v>10502608.551307846</v>
      </c>
      <c r="I160" s="59">
        <f t="shared" si="8"/>
        <v>3880866.6983136013</v>
      </c>
    </row>
    <row r="161" spans="1:9" x14ac:dyDescent="0.25">
      <c r="A161" s="51">
        <f>'A) Base RI'!A152</f>
        <v>5643</v>
      </c>
      <c r="B161" s="34" t="str">
        <f>'A) Base RI'!B152</f>
        <v>Préverenges</v>
      </c>
      <c r="C161" s="33">
        <f>'D) Ecrêtage'!M150</f>
        <v>264736.09703124996</v>
      </c>
      <c r="D161" s="15">
        <f>'A) Base RI'!AN152</f>
        <v>5291</v>
      </c>
      <c r="E161" s="10">
        <f t="shared" si="6"/>
        <v>4894448.9686475322</v>
      </c>
      <c r="F161" s="15">
        <f>'F) Population'!K153</f>
        <v>1950761.7706237424</v>
      </c>
      <c r="G161" s="10">
        <f>'G) Solidarité'!I150</f>
        <v>0</v>
      </c>
      <c r="H161" s="15">
        <f t="shared" si="7"/>
        <v>1950761.7706237424</v>
      </c>
      <c r="I161" s="59">
        <f t="shared" si="8"/>
        <v>2943687.1980237896</v>
      </c>
    </row>
    <row r="162" spans="1:9" x14ac:dyDescent="0.25">
      <c r="A162" s="51">
        <f>'A) Base RI'!A153</f>
        <v>5644</v>
      </c>
      <c r="B162" s="34" t="str">
        <f>'A) Base RI'!B153</f>
        <v>Reverolle</v>
      </c>
      <c r="C162" s="33">
        <f>'D) Ecrêtage'!M151</f>
        <v>15137.442236842104</v>
      </c>
      <c r="D162" s="15">
        <f>'A) Base RI'!AN153</f>
        <v>382</v>
      </c>
      <c r="E162" s="10">
        <f t="shared" si="6"/>
        <v>279861.48989469977</v>
      </c>
      <c r="F162" s="15">
        <f>'F) Population'!K154</f>
        <v>37738.832997987927</v>
      </c>
      <c r="G162" s="10">
        <f>'G) Solidarité'!I151</f>
        <v>45258.203901083878</v>
      </c>
      <c r="H162" s="15">
        <f t="shared" si="7"/>
        <v>82997.036899071798</v>
      </c>
      <c r="I162" s="59">
        <f t="shared" si="8"/>
        <v>196864.45299562797</v>
      </c>
    </row>
    <row r="163" spans="1:9" x14ac:dyDescent="0.25">
      <c r="A163" s="51">
        <f>'A) Base RI'!A154</f>
        <v>5645</v>
      </c>
      <c r="B163" s="34" t="str">
        <f>'A) Base RI'!B154</f>
        <v>Romanel-sur-Morges</v>
      </c>
      <c r="C163" s="33">
        <f>'D) Ecrêtage'!M152</f>
        <v>26740.464147907049</v>
      </c>
      <c r="D163" s="15">
        <f>'A) Base RI'!AN154</f>
        <v>470</v>
      </c>
      <c r="E163" s="10">
        <f t="shared" si="6"/>
        <v>494378.5099106853</v>
      </c>
      <c r="F163" s="15">
        <f>'F) Population'!K155</f>
        <v>46432.595573440645</v>
      </c>
      <c r="G163" s="10">
        <f>'G) Solidarité'!I152</f>
        <v>0</v>
      </c>
      <c r="H163" s="15">
        <f t="shared" si="7"/>
        <v>46432.595573440645</v>
      </c>
      <c r="I163" s="59">
        <f t="shared" si="8"/>
        <v>447945.91433724464</v>
      </c>
    </row>
    <row r="164" spans="1:9" x14ac:dyDescent="0.25">
      <c r="A164" s="51">
        <f>'A) Base RI'!A155</f>
        <v>5646</v>
      </c>
      <c r="B164" s="34" t="str">
        <f>'A) Base RI'!B155</f>
        <v>Saint-Prex</v>
      </c>
      <c r="C164" s="33">
        <f>'D) Ecrêtage'!M153</f>
        <v>369808.23845823808</v>
      </c>
      <c r="D164" s="15">
        <f>'A) Base RI'!AN155</f>
        <v>5695</v>
      </c>
      <c r="E164" s="10">
        <f t="shared" si="6"/>
        <v>6837025.8971734671</v>
      </c>
      <c r="F164" s="15">
        <f>'F) Population'!K156</f>
        <v>2190235.4124748493</v>
      </c>
      <c r="G164" s="10">
        <f>'G) Solidarité'!I153</f>
        <v>0</v>
      </c>
      <c r="H164" s="15">
        <f t="shared" si="7"/>
        <v>2190235.4124748493</v>
      </c>
      <c r="I164" s="59">
        <f t="shared" si="8"/>
        <v>4646790.4846986178</v>
      </c>
    </row>
    <row r="165" spans="1:9" x14ac:dyDescent="0.25">
      <c r="A165" s="51">
        <f>'A) Base RI'!A156</f>
        <v>5648</v>
      </c>
      <c r="B165" s="34" t="str">
        <f>'A) Base RI'!B156</f>
        <v>Saint-Sulpice</v>
      </c>
      <c r="C165" s="33">
        <f>'D) Ecrêtage'!M154</f>
        <v>334205.15465588256</v>
      </c>
      <c r="D165" s="15">
        <f>'A) Base RI'!AN156</f>
        <v>4524</v>
      </c>
      <c r="E165" s="10">
        <f t="shared" si="6"/>
        <v>6178795.0070484197</v>
      </c>
      <c r="F165" s="15">
        <f>'F) Population'!K157</f>
        <v>1543142.8571428573</v>
      </c>
      <c r="G165" s="10">
        <f>'G) Solidarité'!I154</f>
        <v>0</v>
      </c>
      <c r="H165" s="15">
        <f t="shared" si="7"/>
        <v>1543142.8571428573</v>
      </c>
      <c r="I165" s="59">
        <f t="shared" si="8"/>
        <v>4635652.1499055624</v>
      </c>
    </row>
    <row r="166" spans="1:9" x14ac:dyDescent="0.25">
      <c r="A166" s="51">
        <f>'A) Base RI'!A157</f>
        <v>5649</v>
      </c>
      <c r="B166" s="34" t="str">
        <f>'A) Base RI'!B157</f>
        <v>Tolochenaz</v>
      </c>
      <c r="C166" s="33">
        <f>'D) Ecrêtage'!M155</f>
        <v>195848.93852904905</v>
      </c>
      <c r="D166" s="15">
        <f>'A) Base RI'!AN157</f>
        <v>1883</v>
      </c>
      <c r="E166" s="10">
        <f t="shared" si="6"/>
        <v>3620861.0988212395</v>
      </c>
      <c r="F166" s="15">
        <f>'F) Population'!K158</f>
        <v>404111.77062374243</v>
      </c>
      <c r="G166" s="10">
        <f>'G) Solidarité'!I155</f>
        <v>0</v>
      </c>
      <c r="H166" s="15">
        <f t="shared" si="7"/>
        <v>404111.77062374243</v>
      </c>
      <c r="I166" s="59">
        <f t="shared" si="8"/>
        <v>3216749.3281974969</v>
      </c>
    </row>
    <row r="167" spans="1:9" x14ac:dyDescent="0.25">
      <c r="A167" s="51">
        <f>'A) Base RI'!A158</f>
        <v>5650</v>
      </c>
      <c r="B167" s="34" t="str">
        <f>'A) Base RI'!B158</f>
        <v>Vaux-sur-Morges</v>
      </c>
      <c r="C167" s="33">
        <f>'D) Ecrêtage'!M156</f>
        <v>103424.65367092534</v>
      </c>
      <c r="D167" s="15">
        <f>'A) Base RI'!AN158</f>
        <v>199</v>
      </c>
      <c r="E167" s="10">
        <f t="shared" si="6"/>
        <v>1912118.1250648834</v>
      </c>
      <c r="F167" s="15">
        <f>'F) Population'!K159</f>
        <v>19659.758551307848</v>
      </c>
      <c r="G167" s="10">
        <f>'G) Solidarité'!I156</f>
        <v>0</v>
      </c>
      <c r="H167" s="15">
        <f t="shared" si="7"/>
        <v>19659.758551307848</v>
      </c>
      <c r="I167" s="59">
        <f t="shared" si="8"/>
        <v>1892458.3665135754</v>
      </c>
    </row>
    <row r="168" spans="1:9" x14ac:dyDescent="0.25">
      <c r="A168" s="51">
        <f>'A) Base RI'!A159</f>
        <v>5651</v>
      </c>
      <c r="B168" s="34" t="str">
        <f>'A) Base RI'!B159</f>
        <v>Villars-Sainte-Croix</v>
      </c>
      <c r="C168" s="33">
        <f>'D) Ecrêtage'!M157</f>
        <v>52872.416721397552</v>
      </c>
      <c r="D168" s="15">
        <f>'A) Base RI'!AN159</f>
        <v>935</v>
      </c>
      <c r="E168" s="10">
        <f t="shared" si="6"/>
        <v>977506.83942960645</v>
      </c>
      <c r="F168" s="15">
        <f>'F) Population'!K160</f>
        <v>92371.227364185106</v>
      </c>
      <c r="G168" s="10">
        <f>'G) Solidarité'!I157</f>
        <v>0</v>
      </c>
      <c r="H168" s="15">
        <f t="shared" si="7"/>
        <v>92371.227364185106</v>
      </c>
      <c r="I168" s="59">
        <f t="shared" si="8"/>
        <v>885135.6120654213</v>
      </c>
    </row>
    <row r="169" spans="1:9" x14ac:dyDescent="0.25">
      <c r="A169" s="51">
        <f>'A) Base RI'!A160</f>
        <v>5652</v>
      </c>
      <c r="B169" s="34" t="str">
        <f>'A) Base RI'!B160</f>
        <v>Villars-sous-Yens</v>
      </c>
      <c r="C169" s="33">
        <f>'D) Ecrêtage'!M158</f>
        <v>25892.335109649121</v>
      </c>
      <c r="D169" s="15">
        <f>'A) Base RI'!AN160</f>
        <v>614</v>
      </c>
      <c r="E169" s="10">
        <f t="shared" si="6"/>
        <v>478698.27460038103</v>
      </c>
      <c r="F169" s="15">
        <f>'F) Population'!K161</f>
        <v>60658.752515090542</v>
      </c>
      <c r="G169" s="10">
        <f>'G) Solidarité'!I158</f>
        <v>36933.93971361743</v>
      </c>
      <c r="H169" s="15">
        <f t="shared" si="7"/>
        <v>97592.69222870798</v>
      </c>
      <c r="I169" s="59">
        <f t="shared" si="8"/>
        <v>381105.58237167308</v>
      </c>
    </row>
    <row r="170" spans="1:9" x14ac:dyDescent="0.25">
      <c r="A170" s="51">
        <f>'A) Base RI'!A161</f>
        <v>5653</v>
      </c>
      <c r="B170" s="34" t="str">
        <f>'A) Base RI'!B161</f>
        <v>Vufflens-le-Château</v>
      </c>
      <c r="C170" s="33">
        <f>'D) Ecrêtage'!M159</f>
        <v>56018.487471928405</v>
      </c>
      <c r="D170" s="15">
        <f>'A) Base RI'!AN161</f>
        <v>884</v>
      </c>
      <c r="E170" s="10">
        <f t="shared" si="6"/>
        <v>1035671.4906158414</v>
      </c>
      <c r="F170" s="15">
        <f>'F) Population'!K162</f>
        <v>87332.796780684104</v>
      </c>
      <c r="G170" s="10">
        <f>'G) Solidarité'!I159</f>
        <v>0</v>
      </c>
      <c r="H170" s="15">
        <f t="shared" si="7"/>
        <v>87332.796780684104</v>
      </c>
      <c r="I170" s="59">
        <f t="shared" si="8"/>
        <v>948338.6938351572</v>
      </c>
    </row>
    <row r="171" spans="1:9" x14ac:dyDescent="0.25">
      <c r="A171" s="51">
        <f>'A) Base RI'!A162</f>
        <v>5654</v>
      </c>
      <c r="B171" s="34" t="str">
        <f>'A) Base RI'!B162</f>
        <v>Vullierens</v>
      </c>
      <c r="C171" s="33">
        <f>'D) Ecrêtage'!M160</f>
        <v>18691.767368421053</v>
      </c>
      <c r="D171" s="15">
        <f>'A) Base RI'!AN162</f>
        <v>499</v>
      </c>
      <c r="E171" s="10">
        <f t="shared" si="6"/>
        <v>345573.96042508265</v>
      </c>
      <c r="F171" s="15">
        <f>'F) Population'!K163</f>
        <v>49297.585513078469</v>
      </c>
      <c r="G171" s="10">
        <f>'G) Solidarité'!I160</f>
        <v>83934.948577992458</v>
      </c>
      <c r="H171" s="15">
        <f t="shared" si="7"/>
        <v>133232.53409107093</v>
      </c>
      <c r="I171" s="59">
        <f t="shared" si="8"/>
        <v>212341.42633401172</v>
      </c>
    </row>
    <row r="172" spans="1:9" x14ac:dyDescent="0.25">
      <c r="A172" s="51">
        <f>'A) Base RI'!A163</f>
        <v>5655</v>
      </c>
      <c r="B172" s="34" t="str">
        <f>'A) Base RI'!B163</f>
        <v>Yens</v>
      </c>
      <c r="C172" s="33">
        <f>'D) Ecrêtage'!M161</f>
        <v>72322.592328767118</v>
      </c>
      <c r="D172" s="15">
        <f>'A) Base RI'!AN163</f>
        <v>1395</v>
      </c>
      <c r="E172" s="10">
        <f t="shared" si="6"/>
        <v>1337102.2743138263</v>
      </c>
      <c r="F172" s="15">
        <f>'F) Population'!K164</f>
        <v>235373.74245472837</v>
      </c>
      <c r="G172" s="10">
        <f>'G) Solidarité'!I161</f>
        <v>0</v>
      </c>
      <c r="H172" s="15">
        <f t="shared" si="7"/>
        <v>235373.74245472837</v>
      </c>
      <c r="I172" s="59">
        <f t="shared" si="8"/>
        <v>1101728.531859098</v>
      </c>
    </row>
    <row r="173" spans="1:9" x14ac:dyDescent="0.25">
      <c r="A173" s="51">
        <f>'A) Base RI'!A164</f>
        <v>5661</v>
      </c>
      <c r="B173" s="34" t="str">
        <f>'A) Base RI'!B164</f>
        <v>Boulens</v>
      </c>
      <c r="C173" s="33">
        <f>'D) Ecrêtage'!M162</f>
        <v>9059.2982278481013</v>
      </c>
      <c r="D173" s="15">
        <f>'A) Base RI'!AN164</f>
        <v>377</v>
      </c>
      <c r="E173" s="10">
        <f t="shared" si="6"/>
        <v>167488.57962776243</v>
      </c>
      <c r="F173" s="15">
        <f>'F) Population'!K165</f>
        <v>37244.86921529175</v>
      </c>
      <c r="G173" s="10">
        <f>'G) Solidarité'!I162</f>
        <v>193970.61679341548</v>
      </c>
      <c r="H173" s="15">
        <f t="shared" si="7"/>
        <v>231215.48600870723</v>
      </c>
      <c r="I173" s="59">
        <f t="shared" si="8"/>
        <v>-63726.906380944798</v>
      </c>
    </row>
    <row r="174" spans="1:9" x14ac:dyDescent="0.25">
      <c r="A174" s="51">
        <f>'A) Base RI'!A165</f>
        <v>5663</v>
      </c>
      <c r="B174" s="34" t="str">
        <f>'A) Base RI'!B165</f>
        <v>Bussy-sur-Moudon</v>
      </c>
      <c r="C174" s="33">
        <f>'D) Ecrêtage'!M163</f>
        <v>5679.6416249999993</v>
      </c>
      <c r="D174" s="15">
        <f>'A) Base RI'!AN165</f>
        <v>209</v>
      </c>
      <c r="E174" s="10">
        <f t="shared" si="6"/>
        <v>105005.38613926692</v>
      </c>
      <c r="F174" s="15">
        <f>'F) Population'!K166</f>
        <v>20647.686116700203</v>
      </c>
      <c r="G174" s="10">
        <f>'G) Solidarité'!I163</f>
        <v>93567.255433732716</v>
      </c>
      <c r="H174" s="15">
        <f t="shared" si="7"/>
        <v>114214.94155043292</v>
      </c>
      <c r="I174" s="59">
        <f t="shared" si="8"/>
        <v>-9209.5554111660022</v>
      </c>
    </row>
    <row r="175" spans="1:9" x14ac:dyDescent="0.25">
      <c r="A175" s="51">
        <f>'A) Base RI'!A166</f>
        <v>5665</v>
      </c>
      <c r="B175" s="34" t="str">
        <f>'A) Base RI'!B166</f>
        <v>Chavannes-sur-Moudon</v>
      </c>
      <c r="C175" s="33">
        <f>'D) Ecrêtage'!M164</f>
        <v>5041.8972602739723</v>
      </c>
      <c r="D175" s="15">
        <f>'A) Base RI'!AN166</f>
        <v>220</v>
      </c>
      <c r="E175" s="10">
        <f t="shared" si="6"/>
        <v>93214.749036138441</v>
      </c>
      <c r="F175" s="15">
        <f>'F) Population'!K167</f>
        <v>21734.406438631791</v>
      </c>
      <c r="G175" s="10">
        <f>'G) Solidarité'!I164</f>
        <v>101829.12261403544</v>
      </c>
      <c r="H175" s="15">
        <f t="shared" si="7"/>
        <v>123563.52905266723</v>
      </c>
      <c r="I175" s="59">
        <f t="shared" si="8"/>
        <v>-30348.780016528792</v>
      </c>
    </row>
    <row r="176" spans="1:9" x14ac:dyDescent="0.25">
      <c r="A176" s="51">
        <f>'A) Base RI'!A167</f>
        <v>5669</v>
      </c>
      <c r="B176" s="34" t="str">
        <f>'A) Base RI'!B167</f>
        <v>Curtilles</v>
      </c>
      <c r="C176" s="33">
        <f>'D) Ecrêtage'!M165</f>
        <v>9002.5637333333325</v>
      </c>
      <c r="D176" s="15">
        <f>'A) Base RI'!AN167</f>
        <v>318</v>
      </c>
      <c r="E176" s="10">
        <f t="shared" si="6"/>
        <v>166439.67057728351</v>
      </c>
      <c r="F176" s="15">
        <f>'F) Population'!K168</f>
        <v>31416.09657947686</v>
      </c>
      <c r="G176" s="10">
        <f>'G) Solidarité'!I165</f>
        <v>117067.34924204119</v>
      </c>
      <c r="H176" s="15">
        <f t="shared" si="7"/>
        <v>148483.44582151805</v>
      </c>
      <c r="I176" s="59">
        <f t="shared" si="8"/>
        <v>17956.224755765463</v>
      </c>
    </row>
    <row r="177" spans="1:9" x14ac:dyDescent="0.25">
      <c r="A177" s="51">
        <f>'A) Base RI'!A168</f>
        <v>5671</v>
      </c>
      <c r="B177" s="34" t="str">
        <f>'A) Base RI'!B168</f>
        <v>Dompierre</v>
      </c>
      <c r="C177" s="33">
        <f>'D) Ecrêtage'!M166</f>
        <v>6375.2653750000009</v>
      </c>
      <c r="D177" s="15">
        <f>'A) Base RI'!AN168</f>
        <v>259</v>
      </c>
      <c r="E177" s="10">
        <f t="shared" si="6"/>
        <v>117866.09906785686</v>
      </c>
      <c r="F177" s="15">
        <f>'F) Population'!K169</f>
        <v>25587.323943661973</v>
      </c>
      <c r="G177" s="10">
        <f>'G) Solidarité'!I166</f>
        <v>132803.34617952199</v>
      </c>
      <c r="H177" s="15">
        <f t="shared" si="7"/>
        <v>158390.67012318395</v>
      </c>
      <c r="I177" s="59">
        <f t="shared" si="8"/>
        <v>-40524.571055327091</v>
      </c>
    </row>
    <row r="178" spans="1:9" x14ac:dyDescent="0.25">
      <c r="A178" s="51">
        <f>'A) Base RI'!A169</f>
        <v>5673</v>
      </c>
      <c r="B178" s="34" t="str">
        <f>'A) Base RI'!B169</f>
        <v>Hermenches</v>
      </c>
      <c r="C178" s="33">
        <f>'D) Ecrêtage'!M167</f>
        <v>8890.2024444444451</v>
      </c>
      <c r="D178" s="15">
        <f>'A) Base RI'!AN169</f>
        <v>379</v>
      </c>
      <c r="E178" s="10">
        <f t="shared" si="6"/>
        <v>164362.33167002746</v>
      </c>
      <c r="F178" s="15">
        <f>'F) Population'!K170</f>
        <v>37442.45472837022</v>
      </c>
      <c r="G178" s="10">
        <f>'G) Solidarité'!I167</f>
        <v>180602.82635394137</v>
      </c>
      <c r="H178" s="15">
        <f t="shared" si="7"/>
        <v>218045.28108231159</v>
      </c>
      <c r="I178" s="59">
        <f t="shared" si="8"/>
        <v>-53682.949412284128</v>
      </c>
    </row>
    <row r="179" spans="1:9" x14ac:dyDescent="0.25">
      <c r="A179" s="51">
        <f>'A) Base RI'!A170</f>
        <v>5674</v>
      </c>
      <c r="B179" s="34" t="str">
        <f>'A) Base RI'!B170</f>
        <v>Lovatens</v>
      </c>
      <c r="C179" s="33">
        <f>'D) Ecrêtage'!M168</f>
        <v>3625.6310666666668</v>
      </c>
      <c r="D179" s="15">
        <f>'A) Base RI'!AN170</f>
        <v>141</v>
      </c>
      <c r="E179" s="10">
        <f t="shared" si="6"/>
        <v>67030.776814876168</v>
      </c>
      <c r="F179" s="15">
        <f>'F) Population'!K171</f>
        <v>13929.778672032193</v>
      </c>
      <c r="G179" s="10">
        <f>'G) Solidarité'!I168</f>
        <v>60083.255067729631</v>
      </c>
      <c r="H179" s="15">
        <f t="shared" si="7"/>
        <v>74013.033739761828</v>
      </c>
      <c r="I179" s="59">
        <f t="shared" si="8"/>
        <v>-6982.2569248856598</v>
      </c>
    </row>
    <row r="180" spans="1:9" x14ac:dyDescent="0.25">
      <c r="A180" s="51">
        <f>'A) Base RI'!A171</f>
        <v>5675</v>
      </c>
      <c r="B180" s="34" t="str">
        <f>'A) Base RI'!B171</f>
        <v>Lucens</v>
      </c>
      <c r="C180" s="33">
        <f>'D) Ecrêtage'!M169</f>
        <v>86340.116763085374</v>
      </c>
      <c r="D180" s="15">
        <f>'A) Base RI'!AN171</f>
        <v>4157</v>
      </c>
      <c r="E180" s="10">
        <f t="shared" si="6"/>
        <v>1596258.6900044375</v>
      </c>
      <c r="F180" s="15">
        <f>'F) Population'!K172</f>
        <v>1361858.14889336</v>
      </c>
      <c r="G180" s="10">
        <f>'G) Solidarité'!I169</f>
        <v>1727224.3208243083</v>
      </c>
      <c r="H180" s="15">
        <f t="shared" si="7"/>
        <v>3089082.4697176684</v>
      </c>
      <c r="I180" s="59">
        <f t="shared" si="8"/>
        <v>-1492823.7797132309</v>
      </c>
    </row>
    <row r="181" spans="1:9" x14ac:dyDescent="0.25">
      <c r="A181" s="51">
        <f>'A) Base RI'!A172</f>
        <v>5678</v>
      </c>
      <c r="B181" s="34" t="str">
        <f>'A) Base RI'!B172</f>
        <v>Moudon</v>
      </c>
      <c r="C181" s="33">
        <f>'D) Ecrêtage'!M170</f>
        <v>119887.03426666667</v>
      </c>
      <c r="D181" s="15">
        <f>'A) Base RI'!AN172</f>
        <v>6185</v>
      </c>
      <c r="E181" s="10">
        <f t="shared" si="6"/>
        <v>2216475.1154106241</v>
      </c>
      <c r="F181" s="15">
        <f>'F) Population'!K173</f>
        <v>2480686.1167002013</v>
      </c>
      <c r="G181" s="10">
        <f>'G) Solidarité'!I170</f>
        <v>3510011.6635345053</v>
      </c>
      <c r="H181" s="15">
        <f t="shared" si="7"/>
        <v>5990697.7802347066</v>
      </c>
      <c r="I181" s="59">
        <f t="shared" si="8"/>
        <v>-3774222.6648240825</v>
      </c>
    </row>
    <row r="182" spans="1:9" x14ac:dyDescent="0.25">
      <c r="A182" s="51">
        <f>'A) Base RI'!A173</f>
        <v>5680</v>
      </c>
      <c r="B182" s="34" t="str">
        <f>'A) Base RI'!B173</f>
        <v>Ogens</v>
      </c>
      <c r="C182" s="33">
        <f>'D) Ecrêtage'!M171</f>
        <v>7440.7528632478625</v>
      </c>
      <c r="D182" s="15">
        <f>'A) Base RI'!AN173</f>
        <v>304</v>
      </c>
      <c r="E182" s="10">
        <f t="shared" si="6"/>
        <v>137564.86397540933</v>
      </c>
      <c r="F182" s="15">
        <f>'F) Population'!K174</f>
        <v>30032.997987927567</v>
      </c>
      <c r="G182" s="10">
        <f>'G) Solidarité'!I171</f>
        <v>149199.88742174776</v>
      </c>
      <c r="H182" s="15">
        <f t="shared" si="7"/>
        <v>179232.88540967533</v>
      </c>
      <c r="I182" s="59">
        <f t="shared" si="8"/>
        <v>-41668.021434266004</v>
      </c>
    </row>
    <row r="183" spans="1:9" x14ac:dyDescent="0.25">
      <c r="A183" s="51">
        <f>'A) Base RI'!A174</f>
        <v>5683</v>
      </c>
      <c r="B183" s="34" t="str">
        <f>'A) Base RI'!B174</f>
        <v>Prévonloup</v>
      </c>
      <c r="C183" s="33">
        <f>'D) Ecrêtage'!M172</f>
        <v>3896.046081081081</v>
      </c>
      <c r="D183" s="15">
        <f>'A) Base RI'!AN174</f>
        <v>160</v>
      </c>
      <c r="E183" s="10">
        <f t="shared" si="6"/>
        <v>72030.217779858009</v>
      </c>
      <c r="F183" s="15">
        <f>'F) Population'!K175</f>
        <v>15806.841046277666</v>
      </c>
      <c r="G183" s="10">
        <f>'G) Solidarité'!I172</f>
        <v>71116.687750611833</v>
      </c>
      <c r="H183" s="15">
        <f t="shared" si="7"/>
        <v>86923.528796889499</v>
      </c>
      <c r="I183" s="59">
        <f t="shared" si="8"/>
        <v>-14893.31101703149</v>
      </c>
    </row>
    <row r="184" spans="1:9" x14ac:dyDescent="0.25">
      <c r="A184" s="51">
        <f>'A) Base RI'!A175</f>
        <v>5684</v>
      </c>
      <c r="B184" s="34" t="str">
        <f>'A) Base RI'!B175</f>
        <v>Rossenges</v>
      </c>
      <c r="C184" s="33">
        <f>'D) Ecrêtage'!M173</f>
        <v>2935.9523333333332</v>
      </c>
      <c r="D184" s="15">
        <f>'A) Base RI'!AN175</f>
        <v>63</v>
      </c>
      <c r="E184" s="10">
        <f t="shared" si="6"/>
        <v>54279.975534221914</v>
      </c>
      <c r="F184" s="15">
        <f>'F) Population'!K176</f>
        <v>6223.9436619718308</v>
      </c>
      <c r="G184" s="10">
        <f>'G) Solidarité'!I173</f>
        <v>0</v>
      </c>
      <c r="H184" s="15">
        <f t="shared" si="7"/>
        <v>6223.9436619718308</v>
      </c>
      <c r="I184" s="59">
        <f t="shared" si="8"/>
        <v>48056.031872250082</v>
      </c>
    </row>
    <row r="185" spans="1:9" x14ac:dyDescent="0.25">
      <c r="A185" s="51">
        <f>'A) Base RI'!A176</f>
        <v>5688</v>
      </c>
      <c r="B185" s="34" t="str">
        <f>'A) Base RI'!B176</f>
        <v>Syens</v>
      </c>
      <c r="C185" s="33">
        <f>'D) Ecrêtage'!M174</f>
        <v>6288.5417989418002</v>
      </c>
      <c r="D185" s="15">
        <f>'A) Base RI'!AN176</f>
        <v>150</v>
      </c>
      <c r="E185" s="10">
        <f t="shared" si="6"/>
        <v>116262.75097080691</v>
      </c>
      <c r="F185" s="15">
        <f>'F) Population'!K177</f>
        <v>14818.913480885312</v>
      </c>
      <c r="G185" s="10">
        <f>'G) Solidarité'!I174</f>
        <v>9766.6755026563005</v>
      </c>
      <c r="H185" s="15">
        <f t="shared" si="7"/>
        <v>24585.588983541613</v>
      </c>
      <c r="I185" s="59">
        <f t="shared" si="8"/>
        <v>91677.161987265295</v>
      </c>
    </row>
    <row r="186" spans="1:9" x14ac:dyDescent="0.25">
      <c r="A186" s="51">
        <f>'A) Base RI'!A177</f>
        <v>5690</v>
      </c>
      <c r="B186" s="34" t="str">
        <f>'A) Base RI'!B177</f>
        <v>Villars-le-Comte</v>
      </c>
      <c r="C186" s="33">
        <f>'D) Ecrêtage'!M175</f>
        <v>3582.5831666666668</v>
      </c>
      <c r="D186" s="15">
        <f>'A) Base RI'!AN177</f>
        <v>142</v>
      </c>
      <c r="E186" s="10">
        <f t="shared" si="6"/>
        <v>66234.905937726493</v>
      </c>
      <c r="F186" s="15">
        <f>'F) Population'!K178</f>
        <v>14028.571428571429</v>
      </c>
      <c r="G186" s="10">
        <f>'G) Solidarité'!I175</f>
        <v>54048.20587926844</v>
      </c>
      <c r="H186" s="15">
        <f t="shared" si="7"/>
        <v>68076.777307839875</v>
      </c>
      <c r="I186" s="59">
        <f t="shared" si="8"/>
        <v>-1841.871370113382</v>
      </c>
    </row>
    <row r="187" spans="1:9" x14ac:dyDescent="0.25">
      <c r="A187" s="51">
        <f>'A) Base RI'!A178</f>
        <v>5692</v>
      </c>
      <c r="B187" s="34" t="str">
        <f>'A) Base RI'!B178</f>
        <v>Vucherens</v>
      </c>
      <c r="C187" s="33">
        <f>'D) Ecrêtage'!M176</f>
        <v>17338.328227848098</v>
      </c>
      <c r="D187" s="15">
        <f>'A) Base RI'!AN178</f>
        <v>583</v>
      </c>
      <c r="E187" s="10">
        <f t="shared" si="6"/>
        <v>320551.53666047397</v>
      </c>
      <c r="F187" s="15">
        <f>'F) Population'!K179</f>
        <v>57596.177062374249</v>
      </c>
      <c r="G187" s="10">
        <f>'G) Solidarité'!I176</f>
        <v>217469.49875791228</v>
      </c>
      <c r="H187" s="15">
        <f t="shared" si="7"/>
        <v>275065.6758202865</v>
      </c>
      <c r="I187" s="59">
        <f t="shared" si="8"/>
        <v>45485.860840187466</v>
      </c>
    </row>
    <row r="188" spans="1:9" x14ac:dyDescent="0.25">
      <c r="A188" s="51">
        <f>'A) Base RI'!A179</f>
        <v>5693</v>
      </c>
      <c r="B188" s="34" t="str">
        <f>'A) Base RI'!B179</f>
        <v>Montanaire</v>
      </c>
      <c r="C188" s="33">
        <f>'D) Ecrêtage'!M177</f>
        <v>71023.934305555566</v>
      </c>
      <c r="D188" s="15">
        <f>'A) Base RI'!AN179</f>
        <v>2606</v>
      </c>
      <c r="E188" s="10">
        <f t="shared" si="6"/>
        <v>1313092.6455038066</v>
      </c>
      <c r="F188" s="15">
        <f>'F) Population'!K180</f>
        <v>654106.84104627767</v>
      </c>
      <c r="G188" s="10">
        <f>'G) Solidarité'!I177</f>
        <v>940790.6545479754</v>
      </c>
      <c r="H188" s="15">
        <f t="shared" si="7"/>
        <v>1594897.4955942531</v>
      </c>
      <c r="I188" s="59">
        <f t="shared" si="8"/>
        <v>-281804.85009044642</v>
      </c>
    </row>
    <row r="189" spans="1:9" x14ac:dyDescent="0.25">
      <c r="A189" s="51">
        <f>'A) Base RI'!A180</f>
        <v>5701</v>
      </c>
      <c r="B189" s="34" t="str">
        <f>'A) Base RI'!B180</f>
        <v>Arnex-sur-Nyon</v>
      </c>
      <c r="C189" s="33">
        <f>'D) Ecrêtage'!M178</f>
        <v>14061.940305841415</v>
      </c>
      <c r="D189" s="15">
        <f>'A) Base RI'!AN180</f>
        <v>224</v>
      </c>
      <c r="E189" s="10">
        <f t="shared" si="6"/>
        <v>259977.57766665414</v>
      </c>
      <c r="F189" s="15">
        <f>'F) Population'!K181</f>
        <v>22129.577464788734</v>
      </c>
      <c r="G189" s="10">
        <f>'G) Solidarité'!I178</f>
        <v>0</v>
      </c>
      <c r="H189" s="15">
        <f t="shared" si="7"/>
        <v>22129.577464788734</v>
      </c>
      <c r="I189" s="59">
        <f t="shared" si="8"/>
        <v>237848.00020186539</v>
      </c>
    </row>
    <row r="190" spans="1:9" x14ac:dyDescent="0.25">
      <c r="A190" s="51">
        <f>'A) Base RI'!A181</f>
        <v>5702</v>
      </c>
      <c r="B190" s="34" t="str">
        <f>'A) Base RI'!B181</f>
        <v>Arzier-Le Muids</v>
      </c>
      <c r="C190" s="33">
        <f>'D) Ecrêtage'!M179</f>
        <v>154163.71357205033</v>
      </c>
      <c r="D190" s="15">
        <f>'A) Base RI'!AN181</f>
        <v>2653</v>
      </c>
      <c r="E190" s="10">
        <f t="shared" si="6"/>
        <v>2850183.3990796017</v>
      </c>
      <c r="F190" s="15">
        <f>'F) Population'!K182</f>
        <v>670358.24949698173</v>
      </c>
      <c r="G190" s="10">
        <f>'G) Solidarité'!I179</f>
        <v>0</v>
      </c>
      <c r="H190" s="15">
        <f t="shared" si="7"/>
        <v>670358.24949698173</v>
      </c>
      <c r="I190" s="59">
        <f t="shared" si="8"/>
        <v>2179825.1495826198</v>
      </c>
    </row>
    <row r="191" spans="1:9" x14ac:dyDescent="0.25">
      <c r="A191" s="51">
        <f>'A) Base RI'!A182</f>
        <v>5703</v>
      </c>
      <c r="B191" s="34" t="str">
        <f>'A) Base RI'!B182</f>
        <v>Bassins</v>
      </c>
      <c r="C191" s="33">
        <f>'D) Ecrêtage'!M180</f>
        <v>56627.812818532817</v>
      </c>
      <c r="D191" s="15">
        <f>'A) Base RI'!AN182</f>
        <v>1356</v>
      </c>
      <c r="E191" s="10">
        <f t="shared" si="6"/>
        <v>1046936.7160524267</v>
      </c>
      <c r="F191" s="15">
        <f>'F) Population'!K183</f>
        <v>221888.53118712275</v>
      </c>
      <c r="G191" s="10">
        <f>'G) Solidarité'!I180</f>
        <v>89389.711893557687</v>
      </c>
      <c r="H191" s="15">
        <f t="shared" si="7"/>
        <v>311278.24308068043</v>
      </c>
      <c r="I191" s="59">
        <f t="shared" si="8"/>
        <v>735658.47297174623</v>
      </c>
    </row>
    <row r="192" spans="1:9" x14ac:dyDescent="0.25">
      <c r="A192" s="51">
        <f>'A) Base RI'!A183</f>
        <v>5704</v>
      </c>
      <c r="B192" s="34" t="str">
        <f>'A) Base RI'!B183</f>
        <v>Begnins</v>
      </c>
      <c r="C192" s="33">
        <f>'D) Ecrêtage'!M181</f>
        <v>123086.41985171527</v>
      </c>
      <c r="D192" s="15">
        <f>'A) Base RI'!AN183</f>
        <v>1910</v>
      </c>
      <c r="E192" s="10">
        <f t="shared" si="6"/>
        <v>2275625.4528698884</v>
      </c>
      <c r="F192" s="15">
        <f>'F) Population'!K184</f>
        <v>413447.68611670018</v>
      </c>
      <c r="G192" s="10">
        <f>'G) Solidarité'!I181</f>
        <v>0</v>
      </c>
      <c r="H192" s="15">
        <f t="shared" si="7"/>
        <v>413447.68611670018</v>
      </c>
      <c r="I192" s="59">
        <f t="shared" si="8"/>
        <v>1862177.7667531883</v>
      </c>
    </row>
    <row r="193" spans="1:9" x14ac:dyDescent="0.25">
      <c r="A193" s="51">
        <f>'A) Base RI'!A184</f>
        <v>5705</v>
      </c>
      <c r="B193" s="34" t="str">
        <f>'A) Base RI'!B184</f>
        <v>Bogis-Bossey</v>
      </c>
      <c r="C193" s="33">
        <f>'D) Ecrêtage'!M182</f>
        <v>53789.536206675177</v>
      </c>
      <c r="D193" s="15">
        <f>'A) Base RI'!AN184</f>
        <v>893</v>
      </c>
      <c r="E193" s="10">
        <f t="shared" si="6"/>
        <v>994462.57221097231</v>
      </c>
      <c r="F193" s="15">
        <f>'F) Population'!K185</f>
        <v>88221.931589537227</v>
      </c>
      <c r="G193" s="10">
        <f>'G) Solidarité'!I182</f>
        <v>0</v>
      </c>
      <c r="H193" s="15">
        <f t="shared" si="7"/>
        <v>88221.931589537227</v>
      </c>
      <c r="I193" s="59">
        <f t="shared" si="8"/>
        <v>906240.64062143513</v>
      </c>
    </row>
    <row r="194" spans="1:9" x14ac:dyDescent="0.25">
      <c r="A194" s="51">
        <f>'A) Base RI'!A185</f>
        <v>5706</v>
      </c>
      <c r="B194" s="34" t="str">
        <f>'A) Base RI'!B185</f>
        <v>Borex</v>
      </c>
      <c r="C194" s="33">
        <f>'D) Ecrêtage'!M183</f>
        <v>69662.629283993607</v>
      </c>
      <c r="D194" s="15">
        <f>'A) Base RI'!AN185</f>
        <v>1126</v>
      </c>
      <c r="E194" s="10">
        <f t="shared" si="6"/>
        <v>1287924.7970935761</v>
      </c>
      <c r="F194" s="15">
        <f>'F) Population'!K186</f>
        <v>142360.36217303824</v>
      </c>
      <c r="G194" s="10">
        <f>'G) Solidarité'!I183</f>
        <v>0</v>
      </c>
      <c r="H194" s="15">
        <f t="shared" si="7"/>
        <v>142360.36217303824</v>
      </c>
      <c r="I194" s="59">
        <f t="shared" si="8"/>
        <v>1145564.4349205378</v>
      </c>
    </row>
    <row r="195" spans="1:9" x14ac:dyDescent="0.25">
      <c r="A195" s="51">
        <f>'A) Base RI'!A186</f>
        <v>5707</v>
      </c>
      <c r="B195" s="34" t="str">
        <f>'A) Base RI'!B186</f>
        <v>Chavannes-de-Bogis</v>
      </c>
      <c r="C195" s="33">
        <f>'D) Ecrêtage'!M184</f>
        <v>81931.09381401616</v>
      </c>
      <c r="D195" s="15">
        <f>'A) Base RI'!AN186</f>
        <v>1290</v>
      </c>
      <c r="E195" s="10">
        <f t="shared" si="6"/>
        <v>1514744.5403746353</v>
      </c>
      <c r="F195" s="15">
        <f>'F) Population'!K187</f>
        <v>199067.40442655934</v>
      </c>
      <c r="G195" s="10">
        <f>'G) Solidarité'!I184</f>
        <v>0</v>
      </c>
      <c r="H195" s="15">
        <f t="shared" si="7"/>
        <v>199067.40442655934</v>
      </c>
      <c r="I195" s="59">
        <f t="shared" si="8"/>
        <v>1315677.1359480759</v>
      </c>
    </row>
    <row r="196" spans="1:9" x14ac:dyDescent="0.25">
      <c r="A196" s="51">
        <f>'A) Base RI'!A187</f>
        <v>5708</v>
      </c>
      <c r="B196" s="34" t="str">
        <f>'A) Base RI'!B187</f>
        <v>Chavannes-des-Bois</v>
      </c>
      <c r="C196" s="33">
        <f>'D) Ecrêtage'!M185</f>
        <v>56145.839673991715</v>
      </c>
      <c r="D196" s="15">
        <f>'A) Base RI'!AN187</f>
        <v>942</v>
      </c>
      <c r="E196" s="10">
        <f t="shared" si="6"/>
        <v>1038025.9819792544</v>
      </c>
      <c r="F196" s="15">
        <f>'F) Population'!K188</f>
        <v>93062.776659959753</v>
      </c>
      <c r="G196" s="10">
        <f>'G) Solidarité'!I185</f>
        <v>0</v>
      </c>
      <c r="H196" s="15">
        <f t="shared" si="7"/>
        <v>93062.776659959753</v>
      </c>
      <c r="I196" s="59">
        <f t="shared" si="8"/>
        <v>944963.20531929471</v>
      </c>
    </row>
    <row r="197" spans="1:9" x14ac:dyDescent="0.25">
      <c r="A197" s="51">
        <f>'A) Base RI'!A188</f>
        <v>5709</v>
      </c>
      <c r="B197" s="34" t="str">
        <f>'A) Base RI'!B188</f>
        <v>Chéserex</v>
      </c>
      <c r="C197" s="33">
        <f>'D) Ecrêtage'!M186</f>
        <v>71031.174983110643</v>
      </c>
      <c r="D197" s="15">
        <f>'A) Base RI'!AN188</f>
        <v>1219</v>
      </c>
      <c r="E197" s="10">
        <f t="shared" si="6"/>
        <v>1313226.5113694335</v>
      </c>
      <c r="F197" s="15">
        <f>'F) Population'!K189</f>
        <v>174517.40442655934</v>
      </c>
      <c r="G197" s="10">
        <f>'G) Solidarité'!I186</f>
        <v>0</v>
      </c>
      <c r="H197" s="15">
        <f t="shared" si="7"/>
        <v>174517.40442655934</v>
      </c>
      <c r="I197" s="59">
        <f t="shared" si="8"/>
        <v>1138709.1069428741</v>
      </c>
    </row>
    <row r="198" spans="1:9" x14ac:dyDescent="0.25">
      <c r="A198" s="51">
        <f>'A) Base RI'!A189</f>
        <v>5710</v>
      </c>
      <c r="B198" s="34" t="str">
        <f>'A) Base RI'!B189</f>
        <v>Coinsins</v>
      </c>
      <c r="C198" s="33">
        <f>'D) Ecrêtage'!M187</f>
        <v>62595.279457764242</v>
      </c>
      <c r="D198" s="15">
        <f>'A) Base RI'!AN189</f>
        <v>484</v>
      </c>
      <c r="E198" s="10">
        <f t="shared" si="6"/>
        <v>1157263.419759844</v>
      </c>
      <c r="F198" s="15">
        <f>'F) Population'!K190</f>
        <v>47815.694164989938</v>
      </c>
      <c r="G198" s="10">
        <f>'G) Solidarité'!I187</f>
        <v>0</v>
      </c>
      <c r="H198" s="15">
        <f t="shared" si="7"/>
        <v>47815.694164989938</v>
      </c>
      <c r="I198" s="59">
        <f t="shared" si="8"/>
        <v>1109447.725594854</v>
      </c>
    </row>
    <row r="199" spans="1:9" x14ac:dyDescent="0.25">
      <c r="A199" s="51">
        <f>'A) Base RI'!A190</f>
        <v>5711</v>
      </c>
      <c r="B199" s="34" t="str">
        <f>'A) Base RI'!B190</f>
        <v>Commugny</v>
      </c>
      <c r="C199" s="33">
        <f>'D) Ecrêtage'!M188</f>
        <v>227503.4761721325</v>
      </c>
      <c r="D199" s="15">
        <f>'A) Base RI'!AN190</f>
        <v>2858</v>
      </c>
      <c r="E199" s="10">
        <f t="shared" si="6"/>
        <v>4206091.1481330106</v>
      </c>
      <c r="F199" s="15">
        <f>'F) Population'!K191</f>
        <v>741242.05231388332</v>
      </c>
      <c r="G199" s="10">
        <f>'G) Solidarité'!I188</f>
        <v>0</v>
      </c>
      <c r="H199" s="15">
        <f t="shared" si="7"/>
        <v>741242.05231388332</v>
      </c>
      <c r="I199" s="59">
        <f t="shared" si="8"/>
        <v>3464849.0958191273</v>
      </c>
    </row>
    <row r="200" spans="1:9" x14ac:dyDescent="0.25">
      <c r="A200" s="51">
        <f>'A) Base RI'!A191</f>
        <v>5712</v>
      </c>
      <c r="B200" s="34" t="str">
        <f>'A) Base RI'!B191</f>
        <v>Coppet</v>
      </c>
      <c r="C200" s="33">
        <f>'D) Ecrêtage'!M189</f>
        <v>280651.05418461503</v>
      </c>
      <c r="D200" s="15">
        <f>'A) Base RI'!AN191</f>
        <v>3123</v>
      </c>
      <c r="E200" s="10">
        <f t="shared" si="6"/>
        <v>5188685.1778342314</v>
      </c>
      <c r="F200" s="15">
        <f>'F) Population'!K192</f>
        <v>851099.59758551314</v>
      </c>
      <c r="G200" s="10">
        <f>'G) Solidarité'!I189</f>
        <v>0</v>
      </c>
      <c r="H200" s="15">
        <f t="shared" si="7"/>
        <v>851099.59758551314</v>
      </c>
      <c r="I200" s="59">
        <f t="shared" si="8"/>
        <v>4337585.5802487181</v>
      </c>
    </row>
    <row r="201" spans="1:9" x14ac:dyDescent="0.25">
      <c r="A201" s="51">
        <f>'A) Base RI'!A192</f>
        <v>5713</v>
      </c>
      <c r="B201" s="34" t="str">
        <f>'A) Base RI'!B192</f>
        <v>Crans-près-Céligny</v>
      </c>
      <c r="C201" s="33">
        <f>'D) Ecrêtage'!M190</f>
        <v>203382.5009999318</v>
      </c>
      <c r="D201" s="15">
        <f>'A) Base RI'!AN192</f>
        <v>2177</v>
      </c>
      <c r="E201" s="10">
        <f t="shared" si="6"/>
        <v>3760141.8296295558</v>
      </c>
      <c r="F201" s="15">
        <f>'F) Population'!K193</f>
        <v>505769.51710261567</v>
      </c>
      <c r="G201" s="10">
        <f>'G) Solidarité'!I190</f>
        <v>0</v>
      </c>
      <c r="H201" s="15">
        <f t="shared" si="7"/>
        <v>505769.51710261567</v>
      </c>
      <c r="I201" s="59">
        <f t="shared" si="8"/>
        <v>3254372.3125269404</v>
      </c>
    </row>
    <row r="202" spans="1:9" x14ac:dyDescent="0.25">
      <c r="A202" s="51">
        <f>'A) Base RI'!A193</f>
        <v>5714</v>
      </c>
      <c r="B202" s="34" t="str">
        <f>'A) Base RI'!B193</f>
        <v>Crassier</v>
      </c>
      <c r="C202" s="33">
        <f>'D) Ecrêtage'!M191</f>
        <v>78039.512063475704</v>
      </c>
      <c r="D202" s="15">
        <f>'A) Base RI'!AN193</f>
        <v>1161</v>
      </c>
      <c r="E202" s="10">
        <f t="shared" si="6"/>
        <v>1442796.8592728325</v>
      </c>
      <c r="F202" s="15">
        <f>'F) Population'!K194</f>
        <v>154462.47484909458</v>
      </c>
      <c r="G202" s="10">
        <f>'G) Solidarité'!I191</f>
        <v>0</v>
      </c>
      <c r="H202" s="15">
        <f t="shared" si="7"/>
        <v>154462.47484909458</v>
      </c>
      <c r="I202" s="59">
        <f t="shared" si="8"/>
        <v>1288334.3844237379</v>
      </c>
    </row>
    <row r="203" spans="1:9" x14ac:dyDescent="0.25">
      <c r="A203" s="51">
        <f>'A) Base RI'!A194</f>
        <v>5715</v>
      </c>
      <c r="B203" s="34" t="str">
        <f>'A) Base RI'!B194</f>
        <v>Duillier</v>
      </c>
      <c r="C203" s="33">
        <f>'D) Ecrêtage'!M192</f>
        <v>59384.712424242425</v>
      </c>
      <c r="D203" s="15">
        <f>'A) Base RI'!AN194</f>
        <v>1078</v>
      </c>
      <c r="E203" s="10">
        <f t="shared" si="6"/>
        <v>1097906.3593430331</v>
      </c>
      <c r="F203" s="15">
        <f>'F) Population'!K195</f>
        <v>125763.17907444669</v>
      </c>
      <c r="G203" s="10">
        <f>'G) Solidarité'!I192</f>
        <v>0</v>
      </c>
      <c r="H203" s="15">
        <f t="shared" si="7"/>
        <v>125763.17907444669</v>
      </c>
      <c r="I203" s="59">
        <f t="shared" si="8"/>
        <v>972143.18026858638</v>
      </c>
    </row>
    <row r="204" spans="1:9" x14ac:dyDescent="0.25">
      <c r="A204" s="51">
        <f>'A) Base RI'!A195</f>
        <v>5716</v>
      </c>
      <c r="B204" s="34" t="str">
        <f>'A) Base RI'!B195</f>
        <v>Eysins</v>
      </c>
      <c r="C204" s="33">
        <f>'D) Ecrêtage'!M193</f>
        <v>123435.81252189125</v>
      </c>
      <c r="D204" s="15">
        <f>'A) Base RI'!AN195</f>
        <v>1603</v>
      </c>
      <c r="E204" s="10">
        <f t="shared" si="6"/>
        <v>2282085.0351232067</v>
      </c>
      <c r="F204" s="15">
        <f>'F) Population'!K196</f>
        <v>307294.86921529169</v>
      </c>
      <c r="G204" s="10">
        <f>'G) Solidarité'!I193</f>
        <v>0</v>
      </c>
      <c r="H204" s="15">
        <f t="shared" si="7"/>
        <v>307294.86921529169</v>
      </c>
      <c r="I204" s="59">
        <f t="shared" si="8"/>
        <v>1974790.165907915</v>
      </c>
    </row>
    <row r="205" spans="1:9" x14ac:dyDescent="0.25">
      <c r="A205" s="51">
        <f>'A) Base RI'!A196</f>
        <v>5717</v>
      </c>
      <c r="B205" s="34" t="str">
        <f>'A) Base RI'!B196</f>
        <v>Founex</v>
      </c>
      <c r="C205" s="33">
        <f>'D) Ecrêtage'!M194</f>
        <v>306169.11911949283</v>
      </c>
      <c r="D205" s="15">
        <f>'A) Base RI'!AN196</f>
        <v>3788</v>
      </c>
      <c r="E205" s="10">
        <f t="shared" si="6"/>
        <v>5660463.9341239352</v>
      </c>
      <c r="F205" s="15">
        <f>'F) Population'!K197</f>
        <v>1179585.5130784707</v>
      </c>
      <c r="G205" s="10">
        <f>'G) Solidarité'!I194</f>
        <v>0</v>
      </c>
      <c r="H205" s="15">
        <f t="shared" si="7"/>
        <v>1179585.5130784707</v>
      </c>
      <c r="I205" s="59">
        <f t="shared" si="8"/>
        <v>4480878.4210454645</v>
      </c>
    </row>
    <row r="206" spans="1:9" x14ac:dyDescent="0.25">
      <c r="A206" s="51">
        <f>'A) Base RI'!A197</f>
        <v>5718</v>
      </c>
      <c r="B206" s="34" t="str">
        <f>'A) Base RI'!B197</f>
        <v>Genolier</v>
      </c>
      <c r="C206" s="33">
        <f>'D) Ecrêtage'!M195</f>
        <v>160603.19784979385</v>
      </c>
      <c r="D206" s="15">
        <f>'A) Base RI'!AN197</f>
        <v>1945</v>
      </c>
      <c r="E206" s="10">
        <f t="shared" si="6"/>
        <v>2969236.7791636307</v>
      </c>
      <c r="F206" s="15">
        <f>'F) Population'!K198</f>
        <v>425549.79879275651</v>
      </c>
      <c r="G206" s="10">
        <f>'G) Solidarité'!I195</f>
        <v>0</v>
      </c>
      <c r="H206" s="15">
        <f t="shared" si="7"/>
        <v>425549.79879275651</v>
      </c>
      <c r="I206" s="59">
        <f t="shared" si="8"/>
        <v>2543686.9803708741</v>
      </c>
    </row>
    <row r="207" spans="1:9" x14ac:dyDescent="0.25">
      <c r="A207" s="51">
        <f>'A) Base RI'!A198</f>
        <v>5719</v>
      </c>
      <c r="B207" s="34" t="str">
        <f>'A) Base RI'!B198</f>
        <v>Gingins</v>
      </c>
      <c r="C207" s="33">
        <f>'D) Ecrêtage'!M196</f>
        <v>112135.70327468452</v>
      </c>
      <c r="D207" s="15">
        <f>'A) Base RI'!AN198</f>
        <v>1212</v>
      </c>
      <c r="E207" s="10">
        <f t="shared" si="6"/>
        <v>2073168.2735979857</v>
      </c>
      <c r="F207" s="15">
        <f>'F) Population'!K199</f>
        <v>172096.98189134808</v>
      </c>
      <c r="G207" s="10">
        <f>'G) Solidarité'!I196</f>
        <v>0</v>
      </c>
      <c r="H207" s="15">
        <f t="shared" si="7"/>
        <v>172096.98189134808</v>
      </c>
      <c r="I207" s="59">
        <f t="shared" si="8"/>
        <v>1901071.2917066377</v>
      </c>
    </row>
    <row r="208" spans="1:9" x14ac:dyDescent="0.25">
      <c r="A208" s="51">
        <f>'A) Base RI'!A199</f>
        <v>5720</v>
      </c>
      <c r="B208" s="34" t="str">
        <f>'A) Base RI'!B199</f>
        <v>Givrins</v>
      </c>
      <c r="C208" s="33">
        <f>'D) Ecrêtage'!M197</f>
        <v>68221.808847066932</v>
      </c>
      <c r="D208" s="15">
        <f>'A) Base RI'!AN199</f>
        <v>995</v>
      </c>
      <c r="E208" s="10">
        <f t="shared" si="6"/>
        <v>1261286.8652792017</v>
      </c>
      <c r="F208" s="15">
        <f>'F) Population'!K200</f>
        <v>98298.792756539231</v>
      </c>
      <c r="G208" s="10">
        <f>'G) Solidarité'!I197</f>
        <v>0</v>
      </c>
      <c r="H208" s="15">
        <f t="shared" si="7"/>
        <v>98298.792756539231</v>
      </c>
      <c r="I208" s="59">
        <f t="shared" si="8"/>
        <v>1162988.0725226623</v>
      </c>
    </row>
    <row r="209" spans="1:9" x14ac:dyDescent="0.25">
      <c r="A209" s="51">
        <f>'A) Base RI'!A200</f>
        <v>5721</v>
      </c>
      <c r="B209" s="34" t="str">
        <f>'A) Base RI'!B200</f>
        <v>Gland</v>
      </c>
      <c r="C209" s="33">
        <f>'D) Ecrêtage'!M198</f>
        <v>601947.88112000003</v>
      </c>
      <c r="D209" s="15">
        <f>'A) Base RI'!AN200</f>
        <v>13081</v>
      </c>
      <c r="E209" s="10">
        <f t="shared" ref="E209:E272" si="9">C209*E$15</f>
        <v>11128830.631583935</v>
      </c>
      <c r="F209" s="15">
        <f>'F) Population'!K201</f>
        <v>7736460.7645875243</v>
      </c>
      <c r="G209" s="10">
        <f>'G) Solidarité'!I198</f>
        <v>0</v>
      </c>
      <c r="H209" s="15">
        <f t="shared" ref="H209:H272" si="10">F209+G209</f>
        <v>7736460.7645875243</v>
      </c>
      <c r="I209" s="59">
        <f t="shared" ref="I209:I272" si="11">E209-H209</f>
        <v>3392369.8669964103</v>
      </c>
    </row>
    <row r="210" spans="1:9" x14ac:dyDescent="0.25">
      <c r="A210" s="51">
        <f>'A) Base RI'!A201</f>
        <v>5722</v>
      </c>
      <c r="B210" s="34" t="str">
        <f>'A) Base RI'!B201</f>
        <v>Grens</v>
      </c>
      <c r="C210" s="33">
        <f>'D) Ecrêtage'!M199</f>
        <v>24348.700505589088</v>
      </c>
      <c r="D210" s="15">
        <f>'A) Base RI'!AN201</f>
        <v>382</v>
      </c>
      <c r="E210" s="10">
        <f t="shared" si="9"/>
        <v>450159.51135451195</v>
      </c>
      <c r="F210" s="15">
        <f>'F) Population'!K202</f>
        <v>37738.832997987927</v>
      </c>
      <c r="G210" s="10">
        <f>'G) Solidarité'!I199</f>
        <v>0</v>
      </c>
      <c r="H210" s="15">
        <f t="shared" si="10"/>
        <v>37738.832997987927</v>
      </c>
      <c r="I210" s="59">
        <f t="shared" si="11"/>
        <v>412420.67835652403</v>
      </c>
    </row>
    <row r="211" spans="1:9" x14ac:dyDescent="0.25">
      <c r="A211" s="51">
        <f>'A) Base RI'!A202</f>
        <v>5723</v>
      </c>
      <c r="B211" s="34" t="str">
        <f>'A) Base RI'!B202</f>
        <v>Mies</v>
      </c>
      <c r="C211" s="33">
        <f>'D) Ecrêtage'!M200</f>
        <v>320274.23723898944</v>
      </c>
      <c r="D211" s="15">
        <f>'A) Base RI'!AN202</f>
        <v>2037</v>
      </c>
      <c r="E211" s="10">
        <f t="shared" si="9"/>
        <v>5921239.7845153259</v>
      </c>
      <c r="F211" s="15">
        <f>'F) Population'!K203</f>
        <v>457361.06639839034</v>
      </c>
      <c r="G211" s="10">
        <f>'G) Solidarité'!I200</f>
        <v>0</v>
      </c>
      <c r="H211" s="15">
        <f t="shared" si="10"/>
        <v>457361.06639839034</v>
      </c>
      <c r="I211" s="59">
        <f t="shared" si="11"/>
        <v>5463878.7181169353</v>
      </c>
    </row>
    <row r="212" spans="1:9" x14ac:dyDescent="0.25">
      <c r="A212" s="51">
        <f>'A) Base RI'!A203</f>
        <v>5724</v>
      </c>
      <c r="B212" s="34" t="str">
        <f>'A) Base RI'!B203</f>
        <v>Nyon</v>
      </c>
      <c r="C212" s="33">
        <f>'D) Ecrêtage'!M201</f>
        <v>1274788.3959276013</v>
      </c>
      <c r="D212" s="15">
        <f>'A) Base RI'!AN203</f>
        <v>20551</v>
      </c>
      <c r="E212" s="10">
        <f t="shared" si="9"/>
        <v>23568326.418875851</v>
      </c>
      <c r="F212" s="15">
        <f>'F) Population'!K204</f>
        <v>15390478.973843057</v>
      </c>
      <c r="G212" s="10">
        <f>'G) Solidarité'!I201</f>
        <v>0</v>
      </c>
      <c r="H212" s="15">
        <f t="shared" si="10"/>
        <v>15390478.973843057</v>
      </c>
      <c r="I212" s="59">
        <f t="shared" si="11"/>
        <v>8177847.445032794</v>
      </c>
    </row>
    <row r="213" spans="1:9" x14ac:dyDescent="0.25">
      <c r="A213" s="51">
        <f>'A) Base RI'!A204</f>
        <v>5725</v>
      </c>
      <c r="B213" s="34" t="str">
        <f>'A) Base RI'!B204</f>
        <v>Prangins</v>
      </c>
      <c r="C213" s="33">
        <f>'D) Ecrêtage'!M202</f>
        <v>280306.63695050572</v>
      </c>
      <c r="D213" s="15">
        <f>'A) Base RI'!AN204</f>
        <v>4069</v>
      </c>
      <c r="E213" s="10">
        <f t="shared" si="9"/>
        <v>5182317.5815933924</v>
      </c>
      <c r="F213" s="15">
        <f>'F) Population'!K205</f>
        <v>1318389.3360160966</v>
      </c>
      <c r="G213" s="10">
        <f>'G) Solidarité'!I202</f>
        <v>0</v>
      </c>
      <c r="H213" s="15">
        <f t="shared" si="10"/>
        <v>1318389.3360160966</v>
      </c>
      <c r="I213" s="59">
        <f t="shared" si="11"/>
        <v>3863928.2455772958</v>
      </c>
    </row>
    <row r="214" spans="1:9" x14ac:dyDescent="0.25">
      <c r="A214" s="51">
        <f>'A) Base RI'!A205</f>
        <v>5726</v>
      </c>
      <c r="B214" s="34" t="str">
        <f>'A) Base RI'!B205</f>
        <v>La Rippe</v>
      </c>
      <c r="C214" s="33">
        <f>'D) Ecrêtage'!M203</f>
        <v>56867.973846153851</v>
      </c>
      <c r="D214" s="15">
        <f>'A) Base RI'!AN205</f>
        <v>1164</v>
      </c>
      <c r="E214" s="10">
        <f t="shared" si="9"/>
        <v>1051376.8203945647</v>
      </c>
      <c r="F214" s="15">
        <f>'F) Population'!K206</f>
        <v>155499.79879275654</v>
      </c>
      <c r="G214" s="10">
        <f>'G) Solidarité'!I203</f>
        <v>0</v>
      </c>
      <c r="H214" s="15">
        <f t="shared" si="10"/>
        <v>155499.79879275654</v>
      </c>
      <c r="I214" s="59">
        <f t="shared" si="11"/>
        <v>895877.02160180814</v>
      </c>
    </row>
    <row r="215" spans="1:9" x14ac:dyDescent="0.25">
      <c r="A215" s="51">
        <f>'A) Base RI'!A206</f>
        <v>5727</v>
      </c>
      <c r="B215" s="34" t="str">
        <f>'A) Base RI'!B206</f>
        <v>Saint-Cergue</v>
      </c>
      <c r="C215" s="33">
        <f>'D) Ecrêtage'!M204</f>
        <v>100488.23186868687</v>
      </c>
      <c r="D215" s="15">
        <f>'A) Base RI'!AN206</f>
        <v>2559</v>
      </c>
      <c r="E215" s="10">
        <f t="shared" si="9"/>
        <v>1857829.4699753444</v>
      </c>
      <c r="F215" s="15">
        <f>'F) Population'!K207</f>
        <v>637855.43259557337</v>
      </c>
      <c r="G215" s="10">
        <f>'G) Solidarité'!I204</f>
        <v>244503.18730555443</v>
      </c>
      <c r="H215" s="15">
        <f t="shared" si="10"/>
        <v>882358.61990112776</v>
      </c>
      <c r="I215" s="59">
        <f t="shared" si="11"/>
        <v>975470.85007421661</v>
      </c>
    </row>
    <row r="216" spans="1:9" x14ac:dyDescent="0.25">
      <c r="A216" s="51">
        <f>'A) Base RI'!A207</f>
        <v>5728</v>
      </c>
      <c r="B216" s="34" t="str">
        <f>'A) Base RI'!B207</f>
        <v>Signy-Avenex</v>
      </c>
      <c r="C216" s="33">
        <f>'D) Ecrêtage'!M205</f>
        <v>37353.52716698312</v>
      </c>
      <c r="D216" s="15">
        <f>'A) Base RI'!AN207</f>
        <v>567</v>
      </c>
      <c r="E216" s="10">
        <f t="shared" si="9"/>
        <v>690593.13999105711</v>
      </c>
      <c r="F216" s="15">
        <f>'F) Population'!K208</f>
        <v>56015.492957746479</v>
      </c>
      <c r="G216" s="10">
        <f>'G) Solidarité'!I205</f>
        <v>0</v>
      </c>
      <c r="H216" s="15">
        <f t="shared" si="10"/>
        <v>56015.492957746479</v>
      </c>
      <c r="I216" s="59">
        <f t="shared" si="11"/>
        <v>634577.64703331061</v>
      </c>
    </row>
    <row r="217" spans="1:9" x14ac:dyDescent="0.25">
      <c r="A217" s="51">
        <f>'A) Base RI'!A208</f>
        <v>5729</v>
      </c>
      <c r="B217" s="34" t="str">
        <f>'A) Base RI'!B208</f>
        <v>Tannay</v>
      </c>
      <c r="C217" s="33">
        <f>'D) Ecrêtage'!M206</f>
        <v>149071.09635277546</v>
      </c>
      <c r="D217" s="15">
        <f>'A) Base RI'!AN208</f>
        <v>1585</v>
      </c>
      <c r="E217" s="10">
        <f t="shared" si="9"/>
        <v>2756030.9379074695</v>
      </c>
      <c r="F217" s="15">
        <f>'F) Population'!K209</f>
        <v>301070.92555331986</v>
      </c>
      <c r="G217" s="10">
        <f>'G) Solidarité'!I206</f>
        <v>0</v>
      </c>
      <c r="H217" s="15">
        <f t="shared" si="10"/>
        <v>301070.92555331986</v>
      </c>
      <c r="I217" s="59">
        <f t="shared" si="11"/>
        <v>2454960.0123541495</v>
      </c>
    </row>
    <row r="218" spans="1:9" x14ac:dyDescent="0.25">
      <c r="A218" s="51">
        <f>'A) Base RI'!A209</f>
        <v>5730</v>
      </c>
      <c r="B218" s="34" t="str">
        <f>'A) Base RI'!B209</f>
        <v>Trélex</v>
      </c>
      <c r="C218" s="33">
        <f>'D) Ecrêtage'!M207</f>
        <v>98350.258573491388</v>
      </c>
      <c r="D218" s="15">
        <f>'A) Base RI'!AN209</f>
        <v>1405</v>
      </c>
      <c r="E218" s="10">
        <f t="shared" si="9"/>
        <v>1818302.5550324598</v>
      </c>
      <c r="F218" s="15">
        <f>'F) Population'!K210</f>
        <v>238831.48893360159</v>
      </c>
      <c r="G218" s="10">
        <f>'G) Solidarité'!I207</f>
        <v>0</v>
      </c>
      <c r="H218" s="15">
        <f t="shared" si="10"/>
        <v>238831.48893360159</v>
      </c>
      <c r="I218" s="59">
        <f t="shared" si="11"/>
        <v>1579471.0660988581</v>
      </c>
    </row>
    <row r="219" spans="1:9" x14ac:dyDescent="0.25">
      <c r="A219" s="51">
        <f>'A) Base RI'!A210</f>
        <v>5731</v>
      </c>
      <c r="B219" s="34" t="str">
        <f>'A) Base RI'!B210</f>
        <v>Le Vaud</v>
      </c>
      <c r="C219" s="33">
        <f>'D) Ecrêtage'!M208</f>
        <v>50893.333199999994</v>
      </c>
      <c r="D219" s="15">
        <f>'A) Base RI'!AN210</f>
        <v>1283</v>
      </c>
      <c r="E219" s="10">
        <f t="shared" si="9"/>
        <v>940917.48343019327</v>
      </c>
      <c r="F219" s="15">
        <f>'F) Population'!K211</f>
        <v>196646.98189134808</v>
      </c>
      <c r="G219" s="10">
        <f>'G) Solidarité'!I208</f>
        <v>146867.74683006111</v>
      </c>
      <c r="H219" s="15">
        <f t="shared" si="10"/>
        <v>343514.72872140922</v>
      </c>
      <c r="I219" s="59">
        <f t="shared" si="11"/>
        <v>597402.75470878405</v>
      </c>
    </row>
    <row r="220" spans="1:9" x14ac:dyDescent="0.25">
      <c r="A220" s="51">
        <f>'A) Base RI'!A211</f>
        <v>5732</v>
      </c>
      <c r="B220" s="34" t="str">
        <f>'A) Base RI'!B211</f>
        <v>Vich</v>
      </c>
      <c r="C220" s="33">
        <f>'D) Ecrêtage'!M209</f>
        <v>61884.470809538463</v>
      </c>
      <c r="D220" s="15">
        <f>'A) Base RI'!AN211</f>
        <v>1026</v>
      </c>
      <c r="E220" s="10">
        <f t="shared" si="9"/>
        <v>1144121.9679736008</v>
      </c>
      <c r="F220" s="15">
        <f>'F) Population'!K212</f>
        <v>107782.89738430583</v>
      </c>
      <c r="G220" s="10">
        <f>'G) Solidarité'!I209</f>
        <v>0</v>
      </c>
      <c r="H220" s="15">
        <f t="shared" si="10"/>
        <v>107782.89738430583</v>
      </c>
      <c r="I220" s="59">
        <f t="shared" si="11"/>
        <v>1036339.070589295</v>
      </c>
    </row>
    <row r="221" spans="1:9" x14ac:dyDescent="0.25">
      <c r="A221" s="51">
        <f>'A) Base RI'!A212</f>
        <v>5741</v>
      </c>
      <c r="B221" s="34" t="str">
        <f>'A) Base RI'!B212</f>
        <v>L'Abergement</v>
      </c>
      <c r="C221" s="33">
        <f>'D) Ecrêtage'!M210</f>
        <v>6650.8402880658423</v>
      </c>
      <c r="D221" s="15">
        <f>'A) Base RI'!AN212</f>
        <v>237</v>
      </c>
      <c r="E221" s="10">
        <f t="shared" si="9"/>
        <v>122960.93639516334</v>
      </c>
      <c r="F221" s="15">
        <f>'F) Population'!K213</f>
        <v>23413.883299798792</v>
      </c>
      <c r="G221" s="10">
        <f>'G) Solidarité'!I210</f>
        <v>103293.47131430975</v>
      </c>
      <c r="H221" s="15">
        <f t="shared" si="10"/>
        <v>126707.35461410854</v>
      </c>
      <c r="I221" s="59">
        <f t="shared" si="11"/>
        <v>-3746.4182189451967</v>
      </c>
    </row>
    <row r="222" spans="1:9" x14ac:dyDescent="0.25">
      <c r="A222" s="51">
        <f>'A) Base RI'!A213</f>
        <v>5742</v>
      </c>
      <c r="B222" s="34" t="str">
        <f>'A) Base RI'!B213</f>
        <v>Agiez</v>
      </c>
      <c r="C222" s="33">
        <f>'D) Ecrêtage'!M211</f>
        <v>9444.339473684211</v>
      </c>
      <c r="D222" s="15">
        <f>'A) Base RI'!AN213</f>
        <v>314</v>
      </c>
      <c r="E222" s="10">
        <f t="shared" si="9"/>
        <v>174607.23382604826</v>
      </c>
      <c r="F222" s="15">
        <f>'F) Population'!K214</f>
        <v>31020.925553319921</v>
      </c>
      <c r="G222" s="10">
        <f>'G) Solidarité'!I211</f>
        <v>105969.11589531606</v>
      </c>
      <c r="H222" s="15">
        <f t="shared" si="10"/>
        <v>136990.04144863598</v>
      </c>
      <c r="I222" s="59">
        <f t="shared" si="11"/>
        <v>37617.192377412284</v>
      </c>
    </row>
    <row r="223" spans="1:9" x14ac:dyDescent="0.25">
      <c r="A223" s="51">
        <f>'A) Base RI'!A214</f>
        <v>5743</v>
      </c>
      <c r="B223" s="34" t="str">
        <f>'A) Base RI'!B214</f>
        <v>Arnex-sur-Orbe</v>
      </c>
      <c r="C223" s="33">
        <f>'D) Ecrêtage'!M212</f>
        <v>17668.924178082194</v>
      </c>
      <c r="D223" s="15">
        <f>'A) Base RI'!AN214</f>
        <v>642</v>
      </c>
      <c r="E223" s="10">
        <f t="shared" si="9"/>
        <v>326663.60458701488</v>
      </c>
      <c r="F223" s="15">
        <f>'F) Population'!K215</f>
        <v>63424.949698189135</v>
      </c>
      <c r="G223" s="10">
        <f>'G) Solidarité'!I212</f>
        <v>234614.49471961084</v>
      </c>
      <c r="H223" s="15">
        <f t="shared" si="10"/>
        <v>298039.4444178</v>
      </c>
      <c r="I223" s="59">
        <f t="shared" si="11"/>
        <v>28624.160169214883</v>
      </c>
    </row>
    <row r="224" spans="1:9" x14ac:dyDescent="0.25">
      <c r="A224" s="51">
        <f>'A) Base RI'!A215</f>
        <v>5744</v>
      </c>
      <c r="B224" s="34" t="str">
        <f>'A) Base RI'!B215</f>
        <v>Ballaigues</v>
      </c>
      <c r="C224" s="33">
        <f>'D) Ecrêtage'!M213</f>
        <v>60772.767121212128</v>
      </c>
      <c r="D224" s="15">
        <f>'A) Base RI'!AN215</f>
        <v>1095</v>
      </c>
      <c r="E224" s="10">
        <f t="shared" si="9"/>
        <v>1123568.756561225</v>
      </c>
      <c r="F224" s="15">
        <f>'F) Population'!K216</f>
        <v>131641.34808853117</v>
      </c>
      <c r="G224" s="10">
        <f>'G) Solidarité'!I213</f>
        <v>0</v>
      </c>
      <c r="H224" s="15">
        <f t="shared" si="10"/>
        <v>131641.34808853117</v>
      </c>
      <c r="I224" s="59">
        <f t="shared" si="11"/>
        <v>991927.40847269387</v>
      </c>
    </row>
    <row r="225" spans="1:9" x14ac:dyDescent="0.25">
      <c r="A225" s="51">
        <f>'A) Base RI'!A216</f>
        <v>5745</v>
      </c>
      <c r="B225" s="34" t="str">
        <f>'A) Base RI'!B216</f>
        <v>Baulmes</v>
      </c>
      <c r="C225" s="33">
        <f>'D) Ecrêtage'!M214</f>
        <v>25719.773333333334</v>
      </c>
      <c r="D225" s="15">
        <f>'A) Base RI'!AN216</f>
        <v>1053</v>
      </c>
      <c r="E225" s="10">
        <f t="shared" si="9"/>
        <v>475507.94726086041</v>
      </c>
      <c r="F225" s="15">
        <f>'F) Population'!K217</f>
        <v>117118.81287726358</v>
      </c>
      <c r="G225" s="10">
        <f>'G) Solidarité'!I214</f>
        <v>518096.31946063641</v>
      </c>
      <c r="H225" s="15">
        <f t="shared" si="10"/>
        <v>635215.1323379</v>
      </c>
      <c r="I225" s="59">
        <f t="shared" si="11"/>
        <v>-159707.18507703958</v>
      </c>
    </row>
    <row r="226" spans="1:9" x14ac:dyDescent="0.25">
      <c r="A226" s="51">
        <f>'A) Base RI'!A217</f>
        <v>5746</v>
      </c>
      <c r="B226" s="34" t="str">
        <f>'A) Base RI'!B217</f>
        <v>Bavois</v>
      </c>
      <c r="C226" s="33">
        <f>'D) Ecrêtage'!M215</f>
        <v>26078.686575342468</v>
      </c>
      <c r="D226" s="15">
        <f>'A) Base RI'!AN217</f>
        <v>928</v>
      </c>
      <c r="E226" s="10">
        <f t="shared" si="9"/>
        <v>482143.5461341723</v>
      </c>
      <c r="F226" s="15">
        <f>'F) Population'!K218</f>
        <v>91679.67806841046</v>
      </c>
      <c r="G226" s="10">
        <f>'G) Solidarité'!I215</f>
        <v>327735.73361524584</v>
      </c>
      <c r="H226" s="15">
        <f t="shared" si="10"/>
        <v>419415.41168365628</v>
      </c>
      <c r="I226" s="59">
        <f t="shared" si="11"/>
        <v>62728.134450516023</v>
      </c>
    </row>
    <row r="227" spans="1:9" x14ac:dyDescent="0.25">
      <c r="A227" s="51">
        <f>'A) Base RI'!A218</f>
        <v>5747</v>
      </c>
      <c r="B227" s="34" t="str">
        <f>'A) Base RI'!B218</f>
        <v>Bofflens</v>
      </c>
      <c r="C227" s="33">
        <f>'D) Ecrêtage'!M216</f>
        <v>5407.3595652173908</v>
      </c>
      <c r="D227" s="15">
        <f>'A) Base RI'!AN218</f>
        <v>191</v>
      </c>
      <c r="E227" s="10">
        <f t="shared" si="9"/>
        <v>99971.427183050604</v>
      </c>
      <c r="F227" s="15">
        <f>'F) Population'!K219</f>
        <v>18869.416498993964</v>
      </c>
      <c r="G227" s="10">
        <f>'G) Solidarité'!I216</f>
        <v>59510.788688398796</v>
      </c>
      <c r="H227" s="15">
        <f t="shared" si="10"/>
        <v>78380.205187392756</v>
      </c>
      <c r="I227" s="59">
        <f t="shared" si="11"/>
        <v>21591.221995657848</v>
      </c>
    </row>
    <row r="228" spans="1:9" x14ac:dyDescent="0.25">
      <c r="A228" s="51">
        <f>'A) Base RI'!A219</f>
        <v>5748</v>
      </c>
      <c r="B228" s="34" t="str">
        <f>'A) Base RI'!B219</f>
        <v>Bretonnières</v>
      </c>
      <c r="C228" s="33">
        <f>'D) Ecrêtage'!M217</f>
        <v>7687.1286574074074</v>
      </c>
      <c r="D228" s="15">
        <f>'A) Base RI'!AN219</f>
        <v>262</v>
      </c>
      <c r="E228" s="10">
        <f t="shared" si="9"/>
        <v>142119.86710927196</v>
      </c>
      <c r="F228" s="15">
        <f>'F) Population'!K220</f>
        <v>25883.702213279677</v>
      </c>
      <c r="G228" s="10">
        <f>'G) Solidarité'!I217</f>
        <v>83333.963285047357</v>
      </c>
      <c r="H228" s="15">
        <f t="shared" si="10"/>
        <v>109217.66549832703</v>
      </c>
      <c r="I228" s="59">
        <f t="shared" si="11"/>
        <v>32902.201610944932</v>
      </c>
    </row>
    <row r="229" spans="1:9" x14ac:dyDescent="0.25">
      <c r="A229" s="51">
        <f>'A) Base RI'!A220</f>
        <v>5749</v>
      </c>
      <c r="B229" s="34" t="str">
        <f>'A) Base RI'!B220</f>
        <v>Chavornay</v>
      </c>
      <c r="C229" s="33">
        <f>'D) Ecrêtage'!M218</f>
        <v>136661.8213888889</v>
      </c>
      <c r="D229" s="15">
        <f>'A) Base RI'!AN220</f>
        <v>4908</v>
      </c>
      <c r="E229" s="10">
        <f t="shared" si="9"/>
        <v>2526607.8870664323</v>
      </c>
      <c r="F229" s="15">
        <f>'F) Population'!K221</f>
        <v>1732824.949698189</v>
      </c>
      <c r="G229" s="10">
        <f>'G) Solidarité'!I218</f>
        <v>1712159.400760381</v>
      </c>
      <c r="H229" s="15">
        <f t="shared" si="10"/>
        <v>3444984.3504585698</v>
      </c>
      <c r="I229" s="59">
        <f t="shared" si="11"/>
        <v>-918376.46339213755</v>
      </c>
    </row>
    <row r="230" spans="1:9" x14ac:dyDescent="0.25">
      <c r="A230" s="51">
        <f>'A) Base RI'!A221</f>
        <v>5750</v>
      </c>
      <c r="B230" s="34" t="str">
        <f>'A) Base RI'!B221</f>
        <v>Les Clées</v>
      </c>
      <c r="C230" s="33">
        <f>'D) Ecrêtage'!M219</f>
        <v>5052.5065833333338</v>
      </c>
      <c r="D230" s="15">
        <f>'A) Base RI'!AN221</f>
        <v>181</v>
      </c>
      <c r="E230" s="10">
        <f t="shared" si="9"/>
        <v>93410.894521730501</v>
      </c>
      <c r="F230" s="15">
        <f>'F) Population'!K222</f>
        <v>17881.488933601609</v>
      </c>
      <c r="G230" s="10">
        <f>'G) Solidarité'!I219</f>
        <v>77632.505615629547</v>
      </c>
      <c r="H230" s="15">
        <f t="shared" si="10"/>
        <v>95513.994549231153</v>
      </c>
      <c r="I230" s="59">
        <f t="shared" si="11"/>
        <v>-2103.1000275006518</v>
      </c>
    </row>
    <row r="231" spans="1:9" x14ac:dyDescent="0.25">
      <c r="A231" s="51">
        <f>'A) Base RI'!A222</f>
        <v>5752</v>
      </c>
      <c r="B231" s="34" t="str">
        <f>'A) Base RI'!B222</f>
        <v>Croy</v>
      </c>
      <c r="C231" s="33">
        <f>'D) Ecrêtage'!M220</f>
        <v>11188.496891891893</v>
      </c>
      <c r="D231" s="15">
        <f>'A) Base RI'!AN222</f>
        <v>379</v>
      </c>
      <c r="E231" s="10">
        <f t="shared" si="9"/>
        <v>206853.26892453292</v>
      </c>
      <c r="F231" s="15">
        <f>'F) Population'!K223</f>
        <v>37442.45472837022</v>
      </c>
      <c r="G231" s="10">
        <f>'G) Solidarité'!I220</f>
        <v>125847.27621130423</v>
      </c>
      <c r="H231" s="15">
        <f t="shared" si="10"/>
        <v>163289.73093967445</v>
      </c>
      <c r="I231" s="59">
        <f t="shared" si="11"/>
        <v>43563.537984858471</v>
      </c>
    </row>
    <row r="232" spans="1:9" x14ac:dyDescent="0.25">
      <c r="A232" s="51">
        <f>'A) Base RI'!A223</f>
        <v>5754</v>
      </c>
      <c r="B232" s="34" t="str">
        <f>'A) Base RI'!B223</f>
        <v>Juriens</v>
      </c>
      <c r="C232" s="33">
        <f>'D) Ecrêtage'!M221</f>
        <v>8136.8400000000011</v>
      </c>
      <c r="D232" s="15">
        <f>'A) Base RI'!AN223</f>
        <v>309</v>
      </c>
      <c r="E232" s="10">
        <f t="shared" si="9"/>
        <v>150434.14401228755</v>
      </c>
      <c r="F232" s="15">
        <f>'F) Population'!K224</f>
        <v>30526.961770623744</v>
      </c>
      <c r="G232" s="10">
        <f>'G) Solidarité'!I221</f>
        <v>141350.65155842202</v>
      </c>
      <c r="H232" s="15">
        <f t="shared" si="10"/>
        <v>171877.61332904577</v>
      </c>
      <c r="I232" s="59">
        <f t="shared" si="11"/>
        <v>-21443.469316758215</v>
      </c>
    </row>
    <row r="233" spans="1:9" x14ac:dyDescent="0.25">
      <c r="A233" s="51">
        <f>'A) Base RI'!A224</f>
        <v>5755</v>
      </c>
      <c r="B233" s="34" t="str">
        <f>'A) Base RI'!B224</f>
        <v>Lignerolle</v>
      </c>
      <c r="C233" s="33">
        <f>'D) Ecrêtage'!M222</f>
        <v>9412.5036607142865</v>
      </c>
      <c r="D233" s="15">
        <f>'A) Base RI'!AN224</f>
        <v>417</v>
      </c>
      <c r="E233" s="10">
        <f t="shared" si="9"/>
        <v>174018.6523530113</v>
      </c>
      <c r="F233" s="15">
        <f>'F) Population'!K225</f>
        <v>41196.579476861167</v>
      </c>
      <c r="G233" s="10">
        <f>'G) Solidarité'!I222</f>
        <v>235467.25602648841</v>
      </c>
      <c r="H233" s="15">
        <f t="shared" si="10"/>
        <v>276663.83550334955</v>
      </c>
      <c r="I233" s="59">
        <f t="shared" si="11"/>
        <v>-102645.18315033824</v>
      </c>
    </row>
    <row r="234" spans="1:9" x14ac:dyDescent="0.25">
      <c r="A234" s="51">
        <f>'A) Base RI'!A225</f>
        <v>5756</v>
      </c>
      <c r="B234" s="34" t="str">
        <f>'A) Base RI'!B225</f>
        <v>Montcherand</v>
      </c>
      <c r="C234" s="33">
        <f>'D) Ecrêtage'!M223</f>
        <v>18721.546388888888</v>
      </c>
      <c r="D234" s="15">
        <f>'A) Base RI'!AN225</f>
        <v>482</v>
      </c>
      <c r="E234" s="10">
        <f t="shared" si="9"/>
        <v>346124.51585613488</v>
      </c>
      <c r="F234" s="15">
        <f>'F) Population'!K226</f>
        <v>47618.108651911469</v>
      </c>
      <c r="G234" s="10">
        <f>'G) Solidarité'!I223</f>
        <v>59045.378491418276</v>
      </c>
      <c r="H234" s="15">
        <f t="shared" si="10"/>
        <v>106663.48714332975</v>
      </c>
      <c r="I234" s="59">
        <f t="shared" si="11"/>
        <v>239461.02871280513</v>
      </c>
    </row>
    <row r="235" spans="1:9" x14ac:dyDescent="0.25">
      <c r="A235" s="51">
        <f>'A) Base RI'!A226</f>
        <v>5757</v>
      </c>
      <c r="B235" s="34" t="str">
        <f>'A) Base RI'!B226</f>
        <v>Orbe</v>
      </c>
      <c r="C235" s="33">
        <f>'D) Ecrêtage'!M224</f>
        <v>205952.941948052</v>
      </c>
      <c r="D235" s="15">
        <f>'A) Base RI'!AN226</f>
        <v>6985</v>
      </c>
      <c r="E235" s="10">
        <f t="shared" si="9"/>
        <v>3807664.2196193547</v>
      </c>
      <c r="F235" s="15">
        <f>'F) Population'!K227</f>
        <v>2954891.3480885308</v>
      </c>
      <c r="G235" s="10">
        <f>'G) Solidarité'!I224</f>
        <v>2517175.7876095637</v>
      </c>
      <c r="H235" s="15">
        <f t="shared" si="10"/>
        <v>5472067.135698095</v>
      </c>
      <c r="I235" s="59">
        <f t="shared" si="11"/>
        <v>-1664402.9160787403</v>
      </c>
    </row>
    <row r="236" spans="1:9" x14ac:dyDescent="0.25">
      <c r="A236" s="51">
        <f>'A) Base RI'!A227</f>
        <v>5758</v>
      </c>
      <c r="B236" s="34" t="str">
        <f>'A) Base RI'!B227</f>
        <v>La Praz</v>
      </c>
      <c r="C236" s="33">
        <f>'D) Ecrêtage'!M225</f>
        <v>3230.1663052208837</v>
      </c>
      <c r="D236" s="15">
        <f>'A) Base RI'!AN227</f>
        <v>160</v>
      </c>
      <c r="E236" s="10">
        <f t="shared" si="9"/>
        <v>59719.412344747732</v>
      </c>
      <c r="F236" s="15">
        <f>'F) Population'!K228</f>
        <v>15806.841046277666</v>
      </c>
      <c r="G236" s="10">
        <f>'G) Solidarité'!I225</f>
        <v>107681.31470316477</v>
      </c>
      <c r="H236" s="15">
        <f t="shared" si="10"/>
        <v>123488.15574944243</v>
      </c>
      <c r="I236" s="59">
        <f t="shared" si="11"/>
        <v>-63768.743404694702</v>
      </c>
    </row>
    <row r="237" spans="1:9" x14ac:dyDescent="0.25">
      <c r="A237" s="51">
        <f>'A) Base RI'!A228</f>
        <v>5759</v>
      </c>
      <c r="B237" s="34" t="str">
        <f>'A) Base RI'!B228</f>
        <v>Premier</v>
      </c>
      <c r="C237" s="33">
        <f>'D) Ecrêtage'!M226</f>
        <v>4732.7107407407411</v>
      </c>
      <c r="D237" s="15">
        <f>'A) Base RI'!AN228</f>
        <v>210</v>
      </c>
      <c r="E237" s="10">
        <f t="shared" si="9"/>
        <v>87498.499311906431</v>
      </c>
      <c r="F237" s="15">
        <f>'F) Population'!K229</f>
        <v>20746.478873239437</v>
      </c>
      <c r="G237" s="10">
        <f>'G) Solidarité'!I226</f>
        <v>121756.42818169045</v>
      </c>
      <c r="H237" s="15">
        <f t="shared" si="10"/>
        <v>142502.90705492988</v>
      </c>
      <c r="I237" s="59">
        <f t="shared" si="11"/>
        <v>-55004.407743023447</v>
      </c>
    </row>
    <row r="238" spans="1:9" x14ac:dyDescent="0.25">
      <c r="A238" s="51">
        <f>'A) Base RI'!A229</f>
        <v>5760</v>
      </c>
      <c r="B238" s="34" t="str">
        <f>'A) Base RI'!B229</f>
        <v>Rances</v>
      </c>
      <c r="C238" s="33">
        <f>'D) Ecrêtage'!M227</f>
        <v>10468.899999999998</v>
      </c>
      <c r="D238" s="15">
        <f>'A) Base RI'!AN229</f>
        <v>485</v>
      </c>
      <c r="E238" s="10">
        <f t="shared" si="9"/>
        <v>193549.33982359697</v>
      </c>
      <c r="F238" s="15">
        <f>'F) Population'!K230</f>
        <v>47914.486921529176</v>
      </c>
      <c r="G238" s="10">
        <f>'G) Solidarité'!I227</f>
        <v>271901.76138768654</v>
      </c>
      <c r="H238" s="15">
        <f t="shared" si="10"/>
        <v>319816.24830921571</v>
      </c>
      <c r="I238" s="59">
        <f t="shared" si="11"/>
        <v>-126266.90848561874</v>
      </c>
    </row>
    <row r="239" spans="1:9" x14ac:dyDescent="0.25">
      <c r="A239" s="51">
        <f>'A) Base RI'!A230</f>
        <v>5761</v>
      </c>
      <c r="B239" s="34" t="str">
        <f>'A) Base RI'!B230</f>
        <v>Romainmôtier-Envy</v>
      </c>
      <c r="C239" s="33">
        <f>'D) Ecrêtage'!M228</f>
        <v>12891.998383838385</v>
      </c>
      <c r="D239" s="15">
        <f>'A) Base RI'!AN230</f>
        <v>551</v>
      </c>
      <c r="E239" s="10">
        <f t="shared" si="9"/>
        <v>238347.65602869441</v>
      </c>
      <c r="F239" s="15">
        <f>'F) Population'!K231</f>
        <v>54434.80885311871</v>
      </c>
      <c r="G239" s="10">
        <f>'G) Solidarité'!I228</f>
        <v>307110.56018441333</v>
      </c>
      <c r="H239" s="15">
        <f t="shared" si="10"/>
        <v>361545.36903753201</v>
      </c>
      <c r="I239" s="59">
        <f t="shared" si="11"/>
        <v>-123197.7130088376</v>
      </c>
    </row>
    <row r="240" spans="1:9" x14ac:dyDescent="0.25">
      <c r="A240" s="51">
        <f>'A) Base RI'!A231</f>
        <v>5762</v>
      </c>
      <c r="B240" s="34" t="str">
        <f>'A) Base RI'!B231</f>
        <v>Sergey</v>
      </c>
      <c r="C240" s="33">
        <f>'D) Ecrêtage'!M229</f>
        <v>4039.8601282051286</v>
      </c>
      <c r="D240" s="15">
        <f>'A) Base RI'!AN231</f>
        <v>137</v>
      </c>
      <c r="E240" s="10">
        <f t="shared" si="9"/>
        <v>74689.05623262946</v>
      </c>
      <c r="F240" s="15">
        <f>'F) Population'!K232</f>
        <v>13534.607645875252</v>
      </c>
      <c r="G240" s="10">
        <f>'G) Solidarité'!I229</f>
        <v>50651.272761610504</v>
      </c>
      <c r="H240" s="15">
        <f t="shared" si="10"/>
        <v>64185.880407485754</v>
      </c>
      <c r="I240" s="59">
        <f t="shared" si="11"/>
        <v>10503.175825143706</v>
      </c>
    </row>
    <row r="241" spans="1:9" x14ac:dyDescent="0.25">
      <c r="A241" s="51">
        <f>'A) Base RI'!A232</f>
        <v>5763</v>
      </c>
      <c r="B241" s="34" t="str">
        <f>'A) Base RI'!B232</f>
        <v>Valeyres-sous-Rances</v>
      </c>
      <c r="C241" s="33">
        <f>'D) Ecrêtage'!M230</f>
        <v>20051.556615384616</v>
      </c>
      <c r="D241" s="15">
        <f>'A) Base RI'!AN232</f>
        <v>631</v>
      </c>
      <c r="E241" s="10">
        <f t="shared" si="9"/>
        <v>370713.78514869482</v>
      </c>
      <c r="F241" s="15">
        <f>'F) Population'!K233</f>
        <v>62338.229376257543</v>
      </c>
      <c r="G241" s="10">
        <f>'G) Solidarité'!I230</f>
        <v>137773.73513759737</v>
      </c>
      <c r="H241" s="15">
        <f t="shared" si="10"/>
        <v>200111.96451385491</v>
      </c>
      <c r="I241" s="59">
        <f t="shared" si="11"/>
        <v>170601.82063483991</v>
      </c>
    </row>
    <row r="242" spans="1:9" x14ac:dyDescent="0.25">
      <c r="A242" s="51">
        <f>'A) Base RI'!A233</f>
        <v>5764</v>
      </c>
      <c r="B242" s="34" t="str">
        <f>'A) Base RI'!B233</f>
        <v>Vallorbe</v>
      </c>
      <c r="C242" s="33">
        <f>'D) Ecrêtage'!M231</f>
        <v>83366.268356164379</v>
      </c>
      <c r="D242" s="15">
        <f>'A) Base RI'!AN233</f>
        <v>3851</v>
      </c>
      <c r="E242" s="10">
        <f t="shared" si="9"/>
        <v>1541278.0907155899</v>
      </c>
      <c r="F242" s="15">
        <f>'F) Population'!K234</f>
        <v>1210705.23138833</v>
      </c>
      <c r="G242" s="10">
        <f>'G) Solidarité'!I231</f>
        <v>1885937.9607734657</v>
      </c>
      <c r="H242" s="15">
        <f t="shared" si="10"/>
        <v>3096643.1921617957</v>
      </c>
      <c r="I242" s="59">
        <f t="shared" si="11"/>
        <v>-1555365.1014462058</v>
      </c>
    </row>
    <row r="243" spans="1:9" x14ac:dyDescent="0.25">
      <c r="A243" s="51">
        <f>'A) Base RI'!A234</f>
        <v>5765</v>
      </c>
      <c r="B243" s="34" t="str">
        <f>'A) Base RI'!B234</f>
        <v>Vaulion</v>
      </c>
      <c r="C243" s="33">
        <f>'D) Ecrêtage'!M232</f>
        <v>9587.663333333332</v>
      </c>
      <c r="D243" s="15">
        <f>'A) Base RI'!AN234</f>
        <v>482</v>
      </c>
      <c r="E243" s="10">
        <f t="shared" si="9"/>
        <v>177257.00967795792</v>
      </c>
      <c r="F243" s="15">
        <f>'F) Population'!K235</f>
        <v>47618.108651911469</v>
      </c>
      <c r="G243" s="10">
        <f>'G) Solidarité'!I232</f>
        <v>312675.89170956012</v>
      </c>
      <c r="H243" s="15">
        <f t="shared" si="10"/>
        <v>360294.00036147161</v>
      </c>
      <c r="I243" s="59">
        <f t="shared" si="11"/>
        <v>-183036.99068351369</v>
      </c>
    </row>
    <row r="244" spans="1:9" x14ac:dyDescent="0.25">
      <c r="A244" s="51">
        <f>'A) Base RI'!A235</f>
        <v>5766</v>
      </c>
      <c r="B244" s="34" t="str">
        <f>'A) Base RI'!B235</f>
        <v>Vuiteboeuf</v>
      </c>
      <c r="C244" s="33">
        <f>'D) Ecrêtage'!M233</f>
        <v>13049.547402597404</v>
      </c>
      <c r="D244" s="15">
        <f>'A) Base RI'!AN235</f>
        <v>574</v>
      </c>
      <c r="E244" s="10">
        <f t="shared" si="9"/>
        <v>241260.42705245654</v>
      </c>
      <c r="F244" s="15">
        <f>'F) Population'!K236</f>
        <v>56707.042253521126</v>
      </c>
      <c r="G244" s="10">
        <f>'G) Solidarité'!I233</f>
        <v>298071.96994550584</v>
      </c>
      <c r="H244" s="15">
        <f t="shared" si="10"/>
        <v>354779.012199027</v>
      </c>
      <c r="I244" s="59">
        <f t="shared" si="11"/>
        <v>-113518.58514657046</v>
      </c>
    </row>
    <row r="245" spans="1:9" x14ac:dyDescent="0.25">
      <c r="A245" s="51">
        <f>'A) Base RI'!A236</f>
        <v>5785</v>
      </c>
      <c r="B245" s="34" t="str">
        <f>'A) Base RI'!B236</f>
        <v>Corcelles-le-Jorat</v>
      </c>
      <c r="C245" s="33">
        <f>'D) Ecrêtage'!M234</f>
        <v>15263.245714285717</v>
      </c>
      <c r="D245" s="15">
        <f>'A) Base RI'!AN236</f>
        <v>460</v>
      </c>
      <c r="E245" s="10">
        <f t="shared" si="9"/>
        <v>282187.3483905039</v>
      </c>
      <c r="F245" s="15">
        <f>'F) Population'!K237</f>
        <v>45444.668008048291</v>
      </c>
      <c r="G245" s="10">
        <f>'G) Solidarité'!I234</f>
        <v>125745.86484855156</v>
      </c>
      <c r="H245" s="15">
        <f t="shared" si="10"/>
        <v>171190.53285659984</v>
      </c>
      <c r="I245" s="59">
        <f t="shared" si="11"/>
        <v>110996.81553390407</v>
      </c>
    </row>
    <row r="246" spans="1:9" x14ac:dyDescent="0.25">
      <c r="A246" s="51">
        <f>'A) Base RI'!A237</f>
        <v>5788</v>
      </c>
      <c r="B246" s="34" t="str">
        <f>'A) Base RI'!B237</f>
        <v>Essertes</v>
      </c>
      <c r="C246" s="33">
        <f>'D) Ecrêtage'!M235</f>
        <v>11561.131666666668</v>
      </c>
      <c r="D246" s="15">
        <f>'A) Base RI'!AN237</f>
        <v>346</v>
      </c>
      <c r="E246" s="10">
        <f t="shared" si="9"/>
        <v>213742.55191061288</v>
      </c>
      <c r="F246" s="15">
        <f>'F) Population'!K238</f>
        <v>34182.293762575449</v>
      </c>
      <c r="G246" s="10">
        <f>'G) Solidarité'!I235</f>
        <v>81040.789470194431</v>
      </c>
      <c r="H246" s="15">
        <f t="shared" si="10"/>
        <v>115223.08323276989</v>
      </c>
      <c r="I246" s="59">
        <f t="shared" si="11"/>
        <v>98519.46867784299</v>
      </c>
    </row>
    <row r="247" spans="1:9" x14ac:dyDescent="0.25">
      <c r="A247" s="51">
        <f>'A) Base RI'!A238</f>
        <v>5790</v>
      </c>
      <c r="B247" s="34" t="str">
        <f>'A) Base RI'!B238</f>
        <v>Maracon</v>
      </c>
      <c r="C247" s="33">
        <f>'D) Ecrêtage'!M236</f>
        <v>12108.806973684212</v>
      </c>
      <c r="D247" s="15">
        <f>'A) Base RI'!AN238</f>
        <v>477</v>
      </c>
      <c r="E247" s="10">
        <f t="shared" si="9"/>
        <v>223867.98955075955</v>
      </c>
      <c r="F247" s="15">
        <f>'F) Population'!K239</f>
        <v>47124.144869215292</v>
      </c>
      <c r="G247" s="10">
        <f>'G) Solidarité'!I236</f>
        <v>212308.85236444316</v>
      </c>
      <c r="H247" s="15">
        <f t="shared" si="10"/>
        <v>259432.99723365845</v>
      </c>
      <c r="I247" s="59">
        <f t="shared" si="11"/>
        <v>-35565.007682898897</v>
      </c>
    </row>
    <row r="248" spans="1:9" x14ac:dyDescent="0.25">
      <c r="A248" s="51">
        <f>'A) Base RI'!A239</f>
        <v>5792</v>
      </c>
      <c r="B248" s="34" t="str">
        <f>'A) Base RI'!B239</f>
        <v>Montpreveyres</v>
      </c>
      <c r="C248" s="33">
        <f>'D) Ecrêtage'!M237</f>
        <v>17523.35194805195</v>
      </c>
      <c r="D248" s="15">
        <f>'A) Base RI'!AN239</f>
        <v>648</v>
      </c>
      <c r="E248" s="10">
        <f t="shared" si="9"/>
        <v>323972.26079549879</v>
      </c>
      <c r="F248" s="15">
        <f>'F) Population'!K240</f>
        <v>64017.706237424551</v>
      </c>
      <c r="G248" s="10">
        <f>'G) Solidarité'!I237</f>
        <v>270784.04330325464</v>
      </c>
      <c r="H248" s="15">
        <f t="shared" si="10"/>
        <v>334801.74954067921</v>
      </c>
      <c r="I248" s="59">
        <f t="shared" si="11"/>
        <v>-10829.488745180424</v>
      </c>
    </row>
    <row r="249" spans="1:9" x14ac:dyDescent="0.25">
      <c r="A249" s="51">
        <f>'A) Base RI'!A240</f>
        <v>5798</v>
      </c>
      <c r="B249" s="34" t="str">
        <f>'A) Base RI'!B240</f>
        <v>Ropraz</v>
      </c>
      <c r="C249" s="33">
        <f>'D) Ecrêtage'!M238</f>
        <v>14095.640645161293</v>
      </c>
      <c r="D249" s="15">
        <f>'A) Base RI'!AN240</f>
        <v>450</v>
      </c>
      <c r="E249" s="10">
        <f t="shared" si="9"/>
        <v>260600.63055924015</v>
      </c>
      <c r="F249" s="15">
        <f>'F) Population'!K241</f>
        <v>44456.740442655937</v>
      </c>
      <c r="G249" s="10">
        <f>'G) Solidarité'!I238</f>
        <v>144547.30533982726</v>
      </c>
      <c r="H249" s="15">
        <f t="shared" si="10"/>
        <v>189004.04578248318</v>
      </c>
      <c r="I249" s="59">
        <f t="shared" si="11"/>
        <v>71596.584776756965</v>
      </c>
    </row>
    <row r="250" spans="1:9" x14ac:dyDescent="0.25">
      <c r="A250" s="51">
        <f>'A) Base RI'!A241</f>
        <v>5799</v>
      </c>
      <c r="B250" s="34" t="str">
        <f>'A) Base RI'!B241</f>
        <v>Servion</v>
      </c>
      <c r="C250" s="33">
        <f>'D) Ecrêtage'!M239</f>
        <v>65741.847101449268</v>
      </c>
      <c r="D250" s="15">
        <f>'A) Base RI'!AN241</f>
        <v>1904</v>
      </c>
      <c r="E250" s="10">
        <f t="shared" si="9"/>
        <v>1215437.2575217416</v>
      </c>
      <c r="F250" s="15">
        <f>'F) Population'!K242</f>
        <v>411373.03822937625</v>
      </c>
      <c r="G250" s="10">
        <f>'G) Solidarité'!I239</f>
        <v>369451.48205489363</v>
      </c>
      <c r="H250" s="15">
        <f t="shared" si="10"/>
        <v>780824.52028426994</v>
      </c>
      <c r="I250" s="59">
        <f t="shared" si="11"/>
        <v>434612.73723747162</v>
      </c>
    </row>
    <row r="251" spans="1:9" x14ac:dyDescent="0.25">
      <c r="A251" s="51">
        <f>'A) Base RI'!A242</f>
        <v>5803</v>
      </c>
      <c r="B251" s="34" t="str">
        <f>'A) Base RI'!B242</f>
        <v>Vulliens</v>
      </c>
      <c r="C251" s="33">
        <f>'D) Ecrêtage'!M240</f>
        <v>15644.362692307694</v>
      </c>
      <c r="D251" s="15">
        <f>'A) Base RI'!AN242</f>
        <v>515</v>
      </c>
      <c r="E251" s="10">
        <f t="shared" si="9"/>
        <v>289233.45060675568</v>
      </c>
      <c r="F251" s="15">
        <f>'F) Population'!K243</f>
        <v>50878.269617706239</v>
      </c>
      <c r="G251" s="10">
        <f>'G) Solidarité'!I240</f>
        <v>179339.85205130687</v>
      </c>
      <c r="H251" s="15">
        <f t="shared" si="10"/>
        <v>230218.12166901311</v>
      </c>
      <c r="I251" s="59">
        <f t="shared" si="11"/>
        <v>59015.328937742568</v>
      </c>
    </row>
    <row r="252" spans="1:9" x14ac:dyDescent="0.25">
      <c r="A252" s="51">
        <f>'A) Base RI'!A243</f>
        <v>5804</v>
      </c>
      <c r="B252" s="34" t="str">
        <f>'A) Base RI'!B243</f>
        <v>Jorat-Menthue</v>
      </c>
      <c r="C252" s="33">
        <f>'D) Ecrêtage'!M241</f>
        <v>47020.955555555549</v>
      </c>
      <c r="D252" s="15">
        <f>'A) Base RI'!AN243</f>
        <v>1532</v>
      </c>
      <c r="E252" s="10">
        <f t="shared" si="9"/>
        <v>869324.84842270648</v>
      </c>
      <c r="F252" s="15">
        <f>'F) Population'!K244</f>
        <v>282744.86921529169</v>
      </c>
      <c r="G252" s="10">
        <f>'G) Solidarité'!I241</f>
        <v>444636.34993698675</v>
      </c>
      <c r="H252" s="15">
        <f t="shared" si="10"/>
        <v>727381.2191522785</v>
      </c>
      <c r="I252" s="59">
        <f t="shared" si="11"/>
        <v>141943.62927042798</v>
      </c>
    </row>
    <row r="253" spans="1:9" x14ac:dyDescent="0.25">
      <c r="A253" s="51">
        <f>'A) Base RI'!A244</f>
        <v>5805</v>
      </c>
      <c r="B253" s="34" t="str">
        <f>'A) Base RI'!B244</f>
        <v>Oron</v>
      </c>
      <c r="C253" s="33">
        <f>'D) Ecrêtage'!M242</f>
        <v>148409.14060606057</v>
      </c>
      <c r="D253" s="15">
        <f>'A) Base RI'!AN244</f>
        <v>5463</v>
      </c>
      <c r="E253" s="10">
        <f t="shared" si="9"/>
        <v>2743792.6800418766</v>
      </c>
      <c r="F253" s="15">
        <f>'F) Population'!K245</f>
        <v>2052715.8953722334</v>
      </c>
      <c r="G253" s="10">
        <f>'G) Solidarité'!I242</f>
        <v>1820333.1903760487</v>
      </c>
      <c r="H253" s="15">
        <f t="shared" si="10"/>
        <v>3873049.0857482823</v>
      </c>
      <c r="I253" s="59">
        <f t="shared" si="11"/>
        <v>-1129256.4057064056</v>
      </c>
    </row>
    <row r="254" spans="1:9" x14ac:dyDescent="0.25">
      <c r="A254" s="51">
        <f>'A) Base RI'!A245</f>
        <v>5806</v>
      </c>
      <c r="B254" s="34" t="str">
        <f>'A) Base RI'!B245</f>
        <v>Jorat-Mézières</v>
      </c>
      <c r="C254" s="33">
        <f>'D) Ecrêtage'!M243</f>
        <v>86246.382763157875</v>
      </c>
      <c r="D254" s="15">
        <f>'A) Base RI'!AN245</f>
        <v>2850</v>
      </c>
      <c r="E254" s="10">
        <f t="shared" si="9"/>
        <v>1594525.7329788671</v>
      </c>
      <c r="F254" s="15">
        <f>'F) Population'!K246</f>
        <v>738475.85513078468</v>
      </c>
      <c r="G254" s="10">
        <f>'G) Solidarité'!I243</f>
        <v>949770.49157781864</v>
      </c>
      <c r="H254" s="15">
        <f t="shared" si="10"/>
        <v>1688246.3467086032</v>
      </c>
      <c r="I254" s="59">
        <f t="shared" si="11"/>
        <v>-93720.613729736069</v>
      </c>
    </row>
    <row r="255" spans="1:9" x14ac:dyDescent="0.25">
      <c r="A255" s="51">
        <f>'A) Base RI'!A246</f>
        <v>5812</v>
      </c>
      <c r="B255" s="34" t="str">
        <f>'A) Base RI'!B246</f>
        <v>Champtauroz</v>
      </c>
      <c r="C255" s="33">
        <f>'D) Ecrêtage'!M244</f>
        <v>2413.8557792207789</v>
      </c>
      <c r="D255" s="15">
        <f>'A) Base RI'!AN246</f>
        <v>128</v>
      </c>
      <c r="E255" s="10">
        <f t="shared" si="9"/>
        <v>44627.438651391843</v>
      </c>
      <c r="F255" s="15">
        <f>'F) Population'!K247</f>
        <v>12645.472837022133</v>
      </c>
      <c r="G255" s="10">
        <f>'G) Solidarité'!I244</f>
        <v>78149.109911341526</v>
      </c>
      <c r="H255" s="15">
        <f t="shared" si="10"/>
        <v>90794.582748363653</v>
      </c>
      <c r="I255" s="59">
        <f t="shared" si="11"/>
        <v>-46167.14409697181</v>
      </c>
    </row>
    <row r="256" spans="1:9" x14ac:dyDescent="0.25">
      <c r="A256" s="51">
        <f>'A) Base RI'!A247</f>
        <v>5813</v>
      </c>
      <c r="B256" s="34" t="str">
        <f>'A) Base RI'!B247</f>
        <v>Chevroux</v>
      </c>
      <c r="C256" s="33">
        <f>'D) Ecrêtage'!M245</f>
        <v>13303.445833333333</v>
      </c>
      <c r="D256" s="15">
        <f>'A) Base RI'!AN247</f>
        <v>470</v>
      </c>
      <c r="E256" s="10">
        <f t="shared" si="9"/>
        <v>245954.50891885956</v>
      </c>
      <c r="F256" s="15">
        <f>'F) Population'!K248</f>
        <v>46432.595573440645</v>
      </c>
      <c r="G256" s="10">
        <f>'G) Solidarité'!I245</f>
        <v>150766.57850678836</v>
      </c>
      <c r="H256" s="15">
        <f t="shared" si="10"/>
        <v>197199.17408022902</v>
      </c>
      <c r="I256" s="59">
        <f t="shared" si="11"/>
        <v>48755.334838630544</v>
      </c>
    </row>
    <row r="257" spans="1:9" x14ac:dyDescent="0.25">
      <c r="A257" s="51">
        <f>'A) Base RI'!A248</f>
        <v>5816</v>
      </c>
      <c r="B257" s="34" t="str">
        <f>'A) Base RI'!B248</f>
        <v>Corcelles-près-Payerne</v>
      </c>
      <c r="C257" s="33">
        <f>'D) Ecrêtage'!M246</f>
        <v>57954.816904761909</v>
      </c>
      <c r="D257" s="15">
        <f>'A) Base RI'!AN248</f>
        <v>2448</v>
      </c>
      <c r="E257" s="10">
        <f t="shared" si="9"/>
        <v>1071470.4077328187</v>
      </c>
      <c r="F257" s="15">
        <f>'F) Population'!K249</f>
        <v>599474.44668008038</v>
      </c>
      <c r="G257" s="10">
        <f>'G) Solidarité'!I246</f>
        <v>1064123.9571640987</v>
      </c>
      <c r="H257" s="15">
        <f t="shared" si="10"/>
        <v>1663598.4038441791</v>
      </c>
      <c r="I257" s="59">
        <f t="shared" si="11"/>
        <v>-592127.99611136038</v>
      </c>
    </row>
    <row r="258" spans="1:9" x14ac:dyDescent="0.25">
      <c r="A258" s="51">
        <f>'A) Base RI'!A249</f>
        <v>5817</v>
      </c>
      <c r="B258" s="34" t="str">
        <f>'A) Base RI'!B249</f>
        <v>Grandcour</v>
      </c>
      <c r="C258" s="33">
        <f>'D) Ecrêtage'!M247</f>
        <v>22248.358742138364</v>
      </c>
      <c r="D258" s="15">
        <f>'A) Base RI'!AN249</f>
        <v>890</v>
      </c>
      <c r="E258" s="10">
        <f t="shared" si="9"/>
        <v>411328.32930866024</v>
      </c>
      <c r="F258" s="15">
        <f>'F) Population'!K250</f>
        <v>87925.55331991952</v>
      </c>
      <c r="G258" s="10">
        <f>'G) Solidarité'!I247</f>
        <v>442105.37480331404</v>
      </c>
      <c r="H258" s="15">
        <f t="shared" si="10"/>
        <v>530030.92812323361</v>
      </c>
      <c r="I258" s="59">
        <f t="shared" si="11"/>
        <v>-118702.59881457337</v>
      </c>
    </row>
    <row r="259" spans="1:9" x14ac:dyDescent="0.25">
      <c r="A259" s="51">
        <f>'A) Base RI'!A250</f>
        <v>5819</v>
      </c>
      <c r="B259" s="34" t="str">
        <f>'A) Base RI'!B250</f>
        <v>Henniez</v>
      </c>
      <c r="C259" s="33">
        <f>'D) Ecrêtage'!M248</f>
        <v>14874.063333333332</v>
      </c>
      <c r="D259" s="15">
        <f>'A) Base RI'!AN250</f>
        <v>359</v>
      </c>
      <c r="E259" s="10">
        <f t="shared" si="9"/>
        <v>274992.13276094309</v>
      </c>
      <c r="F259" s="15">
        <f>'F) Population'!K251</f>
        <v>35466.599597585511</v>
      </c>
      <c r="G259" s="10">
        <f>'G) Solidarité'!I248</f>
        <v>22808.526966622863</v>
      </c>
      <c r="H259" s="15">
        <f t="shared" si="10"/>
        <v>58275.126564208374</v>
      </c>
      <c r="I259" s="59">
        <f t="shared" si="11"/>
        <v>216717.00619673473</v>
      </c>
    </row>
    <row r="260" spans="1:9" x14ac:dyDescent="0.25">
      <c r="A260" s="51">
        <f>'A) Base RI'!A251</f>
        <v>5821</v>
      </c>
      <c r="B260" s="34" t="str">
        <f>'A) Base RI'!B251</f>
        <v>Missy</v>
      </c>
      <c r="C260" s="33">
        <f>'D) Ecrêtage'!M249</f>
        <v>7639.0673611111124</v>
      </c>
      <c r="D260" s="15">
        <f>'A) Base RI'!AN251</f>
        <v>352</v>
      </c>
      <c r="E260" s="10">
        <f t="shared" si="9"/>
        <v>141231.30840977019</v>
      </c>
      <c r="F260" s="15">
        <f>'F) Population'!K252</f>
        <v>34775.050301810865</v>
      </c>
      <c r="G260" s="10">
        <f>'G) Solidarité'!I249</f>
        <v>167302.50711192045</v>
      </c>
      <c r="H260" s="15">
        <f t="shared" si="10"/>
        <v>202077.55741373132</v>
      </c>
      <c r="I260" s="59">
        <f t="shared" si="11"/>
        <v>-60846.249003961129</v>
      </c>
    </row>
    <row r="261" spans="1:9" x14ac:dyDescent="0.25">
      <c r="A261" s="51">
        <f>'A) Base RI'!A252</f>
        <v>5822</v>
      </c>
      <c r="B261" s="34" t="str">
        <f>'A) Base RI'!B252</f>
        <v>Payerne</v>
      </c>
      <c r="C261" s="33">
        <f>'D) Ecrêtage'!M250</f>
        <v>246397.68826666669</v>
      </c>
      <c r="D261" s="15">
        <f>'A) Base RI'!AN252</f>
        <v>9716</v>
      </c>
      <c r="E261" s="10">
        <f t="shared" si="9"/>
        <v>4555407.9127772534</v>
      </c>
      <c r="F261" s="15">
        <f>'F) Population'!K253</f>
        <v>4750548.4909456745</v>
      </c>
      <c r="G261" s="10">
        <f>'G) Solidarité'!I250</f>
        <v>4216959.2943409747</v>
      </c>
      <c r="H261" s="15">
        <f t="shared" si="10"/>
        <v>8967507.7852866501</v>
      </c>
      <c r="I261" s="59">
        <f t="shared" si="11"/>
        <v>-4412099.8725093966</v>
      </c>
    </row>
    <row r="262" spans="1:9" x14ac:dyDescent="0.25">
      <c r="A262" s="51">
        <f>'A) Base RI'!A253</f>
        <v>5827</v>
      </c>
      <c r="B262" s="34" t="str">
        <f>'A) Base RI'!B253</f>
        <v>Trey</v>
      </c>
      <c r="C262" s="33">
        <f>'D) Ecrêtage'!M251</f>
        <v>6752.2672499999999</v>
      </c>
      <c r="D262" s="15">
        <f>'A) Base RI'!AN253</f>
        <v>268</v>
      </c>
      <c r="E262" s="10">
        <f t="shared" si="9"/>
        <v>124836.12113498025</v>
      </c>
      <c r="F262" s="15">
        <f>'F) Population'!K254</f>
        <v>26476.458752515089</v>
      </c>
      <c r="G262" s="10">
        <f>'G) Solidarité'!I251</f>
        <v>133467.43712367004</v>
      </c>
      <c r="H262" s="15">
        <f t="shared" si="10"/>
        <v>159943.89587618512</v>
      </c>
      <c r="I262" s="59">
        <f t="shared" si="11"/>
        <v>-35107.774741204878</v>
      </c>
    </row>
    <row r="263" spans="1:9" x14ac:dyDescent="0.25">
      <c r="A263" s="51">
        <f>'A) Base RI'!A254</f>
        <v>5828</v>
      </c>
      <c r="B263" s="34" t="str">
        <f>'A) Base RI'!B254</f>
        <v>Treytorrens (Payerne)</v>
      </c>
      <c r="C263" s="33">
        <f>'D) Ecrêtage'!M252</f>
        <v>2280.7091269841271</v>
      </c>
      <c r="D263" s="15">
        <f>'A) Base RI'!AN254</f>
        <v>122</v>
      </c>
      <c r="E263" s="10">
        <f t="shared" si="9"/>
        <v>42165.819317925481</v>
      </c>
      <c r="F263" s="15">
        <f>'F) Population'!K255</f>
        <v>12052.716297786721</v>
      </c>
      <c r="G263" s="10">
        <f>'G) Solidarité'!I252</f>
        <v>89204.5904214279</v>
      </c>
      <c r="H263" s="15">
        <f t="shared" si="10"/>
        <v>101257.30671921463</v>
      </c>
      <c r="I263" s="59">
        <f t="shared" si="11"/>
        <v>-59091.487401289145</v>
      </c>
    </row>
    <row r="264" spans="1:9" x14ac:dyDescent="0.25">
      <c r="A264" s="51">
        <f>'A) Base RI'!A255</f>
        <v>5830</v>
      </c>
      <c r="B264" s="34" t="str">
        <f>'A) Base RI'!B255</f>
        <v>Villarzel</v>
      </c>
      <c r="C264" s="33">
        <f>'D) Ecrêtage'!M253</f>
        <v>10522.833037974684</v>
      </c>
      <c r="D264" s="15">
        <f>'A) Base RI'!AN255</f>
        <v>417</v>
      </c>
      <c r="E264" s="10">
        <f t="shared" si="9"/>
        <v>194546.45546083502</v>
      </c>
      <c r="F264" s="15">
        <f>'F) Population'!K256</f>
        <v>41196.579476861167</v>
      </c>
      <c r="G264" s="10">
        <f>'G) Solidarité'!I253</f>
        <v>202102.96909348224</v>
      </c>
      <c r="H264" s="15">
        <f t="shared" si="10"/>
        <v>243299.54857034341</v>
      </c>
      <c r="I264" s="59">
        <f t="shared" si="11"/>
        <v>-48753.093109508394</v>
      </c>
    </row>
    <row r="265" spans="1:9" x14ac:dyDescent="0.25">
      <c r="A265" s="51">
        <f>'A) Base RI'!A256</f>
        <v>5831</v>
      </c>
      <c r="B265" s="34" t="str">
        <f>'A) Base RI'!B256</f>
        <v>Valbroye</v>
      </c>
      <c r="C265" s="33">
        <f>'D) Ecrêtage'!M254</f>
        <v>82821.588904109609</v>
      </c>
      <c r="D265" s="15">
        <f>'A) Base RI'!AN256</f>
        <v>3035</v>
      </c>
      <c r="E265" s="10">
        <f t="shared" si="9"/>
        <v>1531208.0405326025</v>
      </c>
      <c r="F265" s="15">
        <f>'F) Population'!K257</f>
        <v>807630.7847082495</v>
      </c>
      <c r="G265" s="10">
        <f>'G) Solidarité'!I254</f>
        <v>1124073.9185045909</v>
      </c>
      <c r="H265" s="15">
        <f t="shared" si="10"/>
        <v>1931704.7032128405</v>
      </c>
      <c r="I265" s="59">
        <f t="shared" si="11"/>
        <v>-400496.66268023802</v>
      </c>
    </row>
    <row r="266" spans="1:9" x14ac:dyDescent="0.25">
      <c r="A266" s="51">
        <f>'A) Base RI'!A257</f>
        <v>5841</v>
      </c>
      <c r="B266" s="34" t="str">
        <f>'A) Base RI'!B257</f>
        <v>Château-d'Oex</v>
      </c>
      <c r="C266" s="33">
        <f>'D) Ecrêtage'!M255</f>
        <v>112619.72</v>
      </c>
      <c r="D266" s="15">
        <f>'A) Base RI'!AN257</f>
        <v>3433</v>
      </c>
      <c r="E266" s="10">
        <f t="shared" si="9"/>
        <v>2082116.7894543211</v>
      </c>
      <c r="F266" s="15">
        <f>'F) Population'!K258</f>
        <v>1004228.370221328</v>
      </c>
      <c r="G266" s="10">
        <f>'G) Solidarité'!I255</f>
        <v>1125697.1622596798</v>
      </c>
      <c r="H266" s="15">
        <f t="shared" si="10"/>
        <v>2129925.5324810077</v>
      </c>
      <c r="I266" s="59">
        <f t="shared" si="11"/>
        <v>-47808.743026686599</v>
      </c>
    </row>
    <row r="267" spans="1:9" x14ac:dyDescent="0.25">
      <c r="A267" s="51">
        <f>'A) Base RI'!A258</f>
        <v>5842</v>
      </c>
      <c r="B267" s="34" t="str">
        <f>'A) Base RI'!B258</f>
        <v>Rossinière</v>
      </c>
      <c r="C267" s="33">
        <f>'D) Ecrêtage'!M256</f>
        <v>12532.166460905351</v>
      </c>
      <c r="D267" s="15">
        <f>'A) Base RI'!AN258</f>
        <v>545</v>
      </c>
      <c r="E267" s="10">
        <f t="shared" si="9"/>
        <v>231695.07255467668</v>
      </c>
      <c r="F267" s="15">
        <f>'F) Population'!K259</f>
        <v>53842.052313883301</v>
      </c>
      <c r="G267" s="10">
        <f>'G) Solidarité'!I256</f>
        <v>309483.15731324081</v>
      </c>
      <c r="H267" s="15">
        <f t="shared" si="10"/>
        <v>363325.20962712413</v>
      </c>
      <c r="I267" s="59">
        <f t="shared" si="11"/>
        <v>-131630.13707244745</v>
      </c>
    </row>
    <row r="268" spans="1:9" x14ac:dyDescent="0.25">
      <c r="A268" s="51">
        <f>'A) Base RI'!A259</f>
        <v>5843</v>
      </c>
      <c r="B268" s="34" t="str">
        <f>'A) Base RI'!B259</f>
        <v>Rougemont</v>
      </c>
      <c r="C268" s="33">
        <f>'D) Ecrêtage'!M257</f>
        <v>76653.566465504657</v>
      </c>
      <c r="D268" s="15">
        <f>'A) Base RI'!AN259</f>
        <v>882</v>
      </c>
      <c r="E268" s="10">
        <f t="shared" si="9"/>
        <v>1417173.4551407157</v>
      </c>
      <c r="F268" s="15">
        <f>'F) Population'!K260</f>
        <v>87135.211267605628</v>
      </c>
      <c r="G268" s="10">
        <f>'G) Solidarité'!I257</f>
        <v>0</v>
      </c>
      <c r="H268" s="15">
        <f t="shared" si="10"/>
        <v>87135.211267605628</v>
      </c>
      <c r="I268" s="59">
        <f t="shared" si="11"/>
        <v>1330038.24387311</v>
      </c>
    </row>
    <row r="269" spans="1:9" x14ac:dyDescent="0.25">
      <c r="A269" s="51">
        <f>'A) Base RI'!A260</f>
        <v>5851</v>
      </c>
      <c r="B269" s="34" t="str">
        <f>'A) Base RI'!B260</f>
        <v>Allaman</v>
      </c>
      <c r="C269" s="33">
        <f>'D) Ecrêtage'!M258</f>
        <v>27674.221391195879</v>
      </c>
      <c r="D269" s="15">
        <f>'A) Base RI'!AN260</f>
        <v>442</v>
      </c>
      <c r="E269" s="10">
        <f t="shared" si="9"/>
        <v>511641.84206535819</v>
      </c>
      <c r="F269" s="15">
        <f>'F) Population'!K261</f>
        <v>43666.398390342052</v>
      </c>
      <c r="G269" s="10">
        <f>'G) Solidarité'!I258</f>
        <v>0</v>
      </c>
      <c r="H269" s="15">
        <f t="shared" si="10"/>
        <v>43666.398390342052</v>
      </c>
      <c r="I269" s="59">
        <f t="shared" si="11"/>
        <v>467975.44367501611</v>
      </c>
    </row>
    <row r="270" spans="1:9" x14ac:dyDescent="0.25">
      <c r="A270" s="51">
        <f>'A) Base RI'!A261</f>
        <v>5852</v>
      </c>
      <c r="B270" s="34" t="str">
        <f>'A) Base RI'!B261</f>
        <v>Bursinel</v>
      </c>
      <c r="C270" s="33">
        <f>'D) Ecrêtage'!M259</f>
        <v>35727.740437901746</v>
      </c>
      <c r="D270" s="15">
        <f>'A) Base RI'!AN261</f>
        <v>488</v>
      </c>
      <c r="E270" s="10">
        <f t="shared" si="9"/>
        <v>660535.54577316751</v>
      </c>
      <c r="F270" s="15">
        <f>'F) Population'!K262</f>
        <v>48210.865191146884</v>
      </c>
      <c r="G270" s="10">
        <f>'G) Solidarité'!I259</f>
        <v>0</v>
      </c>
      <c r="H270" s="15">
        <f t="shared" si="10"/>
        <v>48210.865191146884</v>
      </c>
      <c r="I270" s="59">
        <f t="shared" si="11"/>
        <v>612324.68058202066</v>
      </c>
    </row>
    <row r="271" spans="1:9" x14ac:dyDescent="0.25">
      <c r="A271" s="51">
        <f>'A) Base RI'!A262</f>
        <v>5853</v>
      </c>
      <c r="B271" s="34" t="str">
        <f>'A) Base RI'!B262</f>
        <v>Bursins</v>
      </c>
      <c r="C271" s="33">
        <f>'D) Ecrêtage'!M260</f>
        <v>36130.042112676056</v>
      </c>
      <c r="D271" s="15">
        <f>'A) Base RI'!AN262</f>
        <v>745</v>
      </c>
      <c r="E271" s="10">
        <f t="shared" si="9"/>
        <v>667973.31130369077</v>
      </c>
      <c r="F271" s="15">
        <f>'F) Population'!K263</f>
        <v>73600.603621730377</v>
      </c>
      <c r="G271" s="10">
        <f>'G) Solidarité'!I260</f>
        <v>0</v>
      </c>
      <c r="H271" s="15">
        <f t="shared" si="10"/>
        <v>73600.603621730377</v>
      </c>
      <c r="I271" s="59">
        <f t="shared" si="11"/>
        <v>594372.70768196043</v>
      </c>
    </row>
    <row r="272" spans="1:9" x14ac:dyDescent="0.25">
      <c r="A272" s="51">
        <f>'A) Base RI'!A263</f>
        <v>5854</v>
      </c>
      <c r="B272" s="34" t="str">
        <f>'A) Base RI'!B263</f>
        <v>Burtigny</v>
      </c>
      <c r="C272" s="33">
        <f>'D) Ecrêtage'!M261</f>
        <v>10180.844041666667</v>
      </c>
      <c r="D272" s="15">
        <f>'A) Base RI'!AN263</f>
        <v>361</v>
      </c>
      <c r="E272" s="10">
        <f t="shared" si="9"/>
        <v>188223.7525539058</v>
      </c>
      <c r="F272" s="15">
        <f>'F) Population'!K264</f>
        <v>35664.185110663981</v>
      </c>
      <c r="G272" s="10">
        <f>'G) Solidarité'!I261</f>
        <v>152199.75704183261</v>
      </c>
      <c r="H272" s="15">
        <f t="shared" si="10"/>
        <v>187863.9421524966</v>
      </c>
      <c r="I272" s="59">
        <f t="shared" si="11"/>
        <v>359.81040140919504</v>
      </c>
    </row>
    <row r="273" spans="1:9" x14ac:dyDescent="0.25">
      <c r="A273" s="51">
        <f>'A) Base RI'!A264</f>
        <v>5855</v>
      </c>
      <c r="B273" s="34" t="str">
        <f>'A) Base RI'!B264</f>
        <v>Dully</v>
      </c>
      <c r="C273" s="33">
        <f>'D) Ecrêtage'!M262</f>
        <v>64936.025638405044</v>
      </c>
      <c r="D273" s="15">
        <f>'A) Base RI'!AN264</f>
        <v>640</v>
      </c>
      <c r="E273" s="10">
        <f t="shared" ref="E273:E324" si="12">C273*E$15</f>
        <v>1200539.2059415474</v>
      </c>
      <c r="F273" s="15">
        <f>'F) Population'!K265</f>
        <v>63227.364185110666</v>
      </c>
      <c r="G273" s="10">
        <f>'G) Solidarité'!I262</f>
        <v>0</v>
      </c>
      <c r="H273" s="15">
        <f t="shared" ref="H273:H324" si="13">F273+G273</f>
        <v>63227.364185110666</v>
      </c>
      <c r="I273" s="59">
        <f t="shared" ref="I273:I324" si="14">E273-H273</f>
        <v>1137311.8417564367</v>
      </c>
    </row>
    <row r="274" spans="1:9" x14ac:dyDescent="0.25">
      <c r="A274" s="51">
        <f>'A) Base RI'!A265</f>
        <v>5856</v>
      </c>
      <c r="B274" s="34" t="str">
        <f>'A) Base RI'!B265</f>
        <v>Essertines-sur-Rolle</v>
      </c>
      <c r="C274" s="33">
        <f>'D) Ecrêtage'!M263</f>
        <v>34355.55787330318</v>
      </c>
      <c r="D274" s="15">
        <f>'A) Base RI'!AN265</f>
        <v>696</v>
      </c>
      <c r="E274" s="10">
        <f t="shared" si="12"/>
        <v>635166.59301829326</v>
      </c>
      <c r="F274" s="15">
        <f>'F) Population'!K266</f>
        <v>68759.758551307852</v>
      </c>
      <c r="G274" s="10">
        <f>'G) Solidarité'!I263</f>
        <v>0</v>
      </c>
      <c r="H274" s="15">
        <f t="shared" si="13"/>
        <v>68759.758551307852</v>
      </c>
      <c r="I274" s="59">
        <f t="shared" si="14"/>
        <v>566406.83446698543</v>
      </c>
    </row>
    <row r="275" spans="1:9" x14ac:dyDescent="0.25">
      <c r="A275" s="51">
        <f>'A) Base RI'!A266</f>
        <v>5857</v>
      </c>
      <c r="B275" s="34" t="str">
        <f>'A) Base RI'!B266</f>
        <v>Gilly</v>
      </c>
      <c r="C275" s="33">
        <f>'D) Ecrêtage'!M264</f>
        <v>75717.72720559244</v>
      </c>
      <c r="D275" s="15">
        <f>'A) Base RI'!AN266</f>
        <v>1294</v>
      </c>
      <c r="E275" s="10">
        <f t="shared" si="12"/>
        <v>1399871.6305997409</v>
      </c>
      <c r="F275" s="15">
        <f>'F) Population'!K267</f>
        <v>200450.50301810866</v>
      </c>
      <c r="G275" s="10">
        <f>'G) Solidarité'!I264</f>
        <v>0</v>
      </c>
      <c r="H275" s="15">
        <f t="shared" si="13"/>
        <v>200450.50301810866</v>
      </c>
      <c r="I275" s="59">
        <f t="shared" si="14"/>
        <v>1199421.1275816322</v>
      </c>
    </row>
    <row r="276" spans="1:9" x14ac:dyDescent="0.25">
      <c r="A276" s="51">
        <f>'A) Base RI'!A267</f>
        <v>5858</v>
      </c>
      <c r="B276" s="34" t="str">
        <f>'A) Base RI'!B267</f>
        <v>Luins</v>
      </c>
      <c r="C276" s="33">
        <f>'D) Ecrêtage'!M265</f>
        <v>34125.208220571811</v>
      </c>
      <c r="D276" s="15">
        <f>'A) Base RI'!AN267</f>
        <v>608</v>
      </c>
      <c r="E276" s="10">
        <f t="shared" si="12"/>
        <v>630907.88167185278</v>
      </c>
      <c r="F276" s="15">
        <f>'F) Population'!K268</f>
        <v>60065.995975855134</v>
      </c>
      <c r="G276" s="10">
        <f>'G) Solidarité'!I265</f>
        <v>0</v>
      </c>
      <c r="H276" s="15">
        <f t="shared" si="13"/>
        <v>60065.995975855134</v>
      </c>
      <c r="I276" s="59">
        <f t="shared" si="14"/>
        <v>570841.88569599763</v>
      </c>
    </row>
    <row r="277" spans="1:9" x14ac:dyDescent="0.25">
      <c r="A277" s="51">
        <f>'A) Base RI'!A268</f>
        <v>5859</v>
      </c>
      <c r="B277" s="34" t="str">
        <f>'A) Base RI'!B268</f>
        <v>Mont-sur-Rolle</v>
      </c>
      <c r="C277" s="33">
        <f>'D) Ecrêtage'!M266</f>
        <v>136889.24374999999</v>
      </c>
      <c r="D277" s="15">
        <f>'A) Base RI'!AN268</f>
        <v>2701</v>
      </c>
      <c r="E277" s="10">
        <f t="shared" si="12"/>
        <v>2530812.4785568635</v>
      </c>
      <c r="F277" s="15">
        <f>'F) Population'!K269</f>
        <v>686955.43259557337</v>
      </c>
      <c r="G277" s="10">
        <f>'G) Solidarité'!I266</f>
        <v>0</v>
      </c>
      <c r="H277" s="15">
        <f t="shared" si="13"/>
        <v>686955.43259557337</v>
      </c>
      <c r="I277" s="59">
        <f t="shared" si="14"/>
        <v>1843857.0459612901</v>
      </c>
    </row>
    <row r="278" spans="1:9" x14ac:dyDescent="0.25">
      <c r="A278" s="51">
        <f>'A) Base RI'!A269</f>
        <v>5860</v>
      </c>
      <c r="B278" s="34" t="str">
        <f>'A) Base RI'!B269</f>
        <v>Perroy</v>
      </c>
      <c r="C278" s="33">
        <f>'D) Ecrêtage'!M267</f>
        <v>86978.06496820855</v>
      </c>
      <c r="D278" s="15">
        <f>'A) Base RI'!AN269</f>
        <v>1514</v>
      </c>
      <c r="E278" s="10">
        <f t="shared" si="12"/>
        <v>1608053.0957149933</v>
      </c>
      <c r="F278" s="15">
        <f>'F) Population'!K270</f>
        <v>276520.92555331992</v>
      </c>
      <c r="G278" s="10">
        <f>'G) Solidarité'!I267</f>
        <v>0</v>
      </c>
      <c r="H278" s="15">
        <f t="shared" si="13"/>
        <v>276520.92555331992</v>
      </c>
      <c r="I278" s="59">
        <f t="shared" si="14"/>
        <v>1331532.1701616733</v>
      </c>
    </row>
    <row r="279" spans="1:9" x14ac:dyDescent="0.25">
      <c r="A279" s="51">
        <f>'A) Base RI'!A270</f>
        <v>5861</v>
      </c>
      <c r="B279" s="34" t="str">
        <f>'A) Base RI'!B270</f>
        <v>Rolle</v>
      </c>
      <c r="C279" s="33">
        <f>'D) Ecrêtage'!M268</f>
        <v>670582.11002585792</v>
      </c>
      <c r="D279" s="15">
        <f>'A) Base RI'!AN270</f>
        <v>6225</v>
      </c>
      <c r="E279" s="10">
        <f t="shared" si="12"/>
        <v>12397742.331383381</v>
      </c>
      <c r="F279" s="15">
        <f>'F) Population'!K271</f>
        <v>2504396.3782696174</v>
      </c>
      <c r="G279" s="10">
        <f>'G) Solidarité'!I268</f>
        <v>0</v>
      </c>
      <c r="H279" s="15">
        <f t="shared" si="13"/>
        <v>2504396.3782696174</v>
      </c>
      <c r="I279" s="59">
        <f t="shared" si="14"/>
        <v>9893345.9531137645</v>
      </c>
    </row>
    <row r="280" spans="1:9" x14ac:dyDescent="0.25">
      <c r="A280" s="51">
        <f>'A) Base RI'!A271</f>
        <v>5862</v>
      </c>
      <c r="B280" s="34" t="str">
        <f>'A) Base RI'!B271</f>
        <v>Tartegnin</v>
      </c>
      <c r="C280" s="33">
        <f>'D) Ecrêtage'!M269</f>
        <v>10629.942633744855</v>
      </c>
      <c r="D280" s="15">
        <f>'A) Base RI'!AN271</f>
        <v>235</v>
      </c>
      <c r="E280" s="10">
        <f t="shared" si="12"/>
        <v>196526.70090687892</v>
      </c>
      <c r="F280" s="15">
        <f>'F) Population'!K272</f>
        <v>23216.297786720323</v>
      </c>
      <c r="G280" s="10">
        <f>'G) Solidarité'!I269</f>
        <v>0</v>
      </c>
      <c r="H280" s="15">
        <f t="shared" si="13"/>
        <v>23216.297786720323</v>
      </c>
      <c r="I280" s="59">
        <f t="shared" si="14"/>
        <v>173310.40312015859</v>
      </c>
    </row>
    <row r="281" spans="1:9" x14ac:dyDescent="0.25">
      <c r="A281" s="51">
        <f>'A) Base RI'!A272</f>
        <v>5863</v>
      </c>
      <c r="B281" s="34" t="str">
        <f>'A) Base RI'!B272</f>
        <v>Vinzel</v>
      </c>
      <c r="C281" s="33">
        <f>'D) Ecrêtage'!M270</f>
        <v>22339.690641687634</v>
      </c>
      <c r="D281" s="15">
        <f>'A) Base RI'!AN272</f>
        <v>371</v>
      </c>
      <c r="E281" s="10">
        <f t="shared" si="12"/>
        <v>413016.87622978818</v>
      </c>
      <c r="F281" s="15">
        <f>'F) Population'!K273</f>
        <v>36652.112676056335</v>
      </c>
      <c r="G281" s="10">
        <f>'G) Solidarité'!I270</f>
        <v>0</v>
      </c>
      <c r="H281" s="15">
        <f t="shared" si="13"/>
        <v>36652.112676056335</v>
      </c>
      <c r="I281" s="59">
        <f t="shared" si="14"/>
        <v>376364.76355373184</v>
      </c>
    </row>
    <row r="282" spans="1:9" x14ac:dyDescent="0.25">
      <c r="A282" s="51">
        <f>'A) Base RI'!A273</f>
        <v>5871</v>
      </c>
      <c r="B282" s="34" t="str">
        <f>'A) Base RI'!B273</f>
        <v>L'Abbaye</v>
      </c>
      <c r="C282" s="33">
        <f>'D) Ecrêtage'!M271</f>
        <v>47794.781759379046</v>
      </c>
      <c r="D282" s="15">
        <f>'A) Base RI'!AN273</f>
        <v>1492</v>
      </c>
      <c r="E282" s="10">
        <f t="shared" si="12"/>
        <v>883631.37068275653</v>
      </c>
      <c r="F282" s="15">
        <f>'F) Population'!K274</f>
        <v>268913.88329979882</v>
      </c>
      <c r="G282" s="10">
        <f>'G) Solidarité'!I271</f>
        <v>451637.67191631574</v>
      </c>
      <c r="H282" s="15">
        <f t="shared" si="13"/>
        <v>720551.5552161145</v>
      </c>
      <c r="I282" s="59">
        <f t="shared" si="14"/>
        <v>163079.81546664203</v>
      </c>
    </row>
    <row r="283" spans="1:9" x14ac:dyDescent="0.25">
      <c r="A283" s="51">
        <f>'A) Base RI'!A274</f>
        <v>5872</v>
      </c>
      <c r="B283" s="34" t="str">
        <f>'A) Base RI'!B274</f>
        <v>Le Chenit</v>
      </c>
      <c r="C283" s="33">
        <f>'D) Ecrêtage'!M272</f>
        <v>222566.8809866097</v>
      </c>
      <c r="D283" s="15">
        <f>'A) Base RI'!AN274</f>
        <v>4612</v>
      </c>
      <c r="E283" s="10">
        <f t="shared" si="12"/>
        <v>4114823.2270396496</v>
      </c>
      <c r="F283" s="15">
        <f>'F) Population'!K275</f>
        <v>1586611.6700201207</v>
      </c>
      <c r="G283" s="10">
        <f>'G) Solidarité'!I272</f>
        <v>0</v>
      </c>
      <c r="H283" s="15">
        <f t="shared" si="13"/>
        <v>1586611.6700201207</v>
      </c>
      <c r="I283" s="59">
        <f t="shared" si="14"/>
        <v>2528211.5570195289</v>
      </c>
    </row>
    <row r="284" spans="1:9" x14ac:dyDescent="0.25">
      <c r="A284" s="51">
        <f>'A) Base RI'!A275</f>
        <v>5873</v>
      </c>
      <c r="B284" s="34" t="str">
        <f>'A) Base RI'!B275</f>
        <v>Le Lieu</v>
      </c>
      <c r="C284" s="33">
        <f>'D) Ecrêtage'!M273</f>
        <v>33457.98871794872</v>
      </c>
      <c r="D284" s="15">
        <f>'A) Base RI'!AN275</f>
        <v>869</v>
      </c>
      <c r="E284" s="10">
        <f t="shared" si="12"/>
        <v>618572.30732783116</v>
      </c>
      <c r="F284" s="15">
        <f>'F) Population'!K276</f>
        <v>85850.90543259558</v>
      </c>
      <c r="G284" s="10">
        <f>'G) Solidarité'!I273</f>
        <v>91711.89460430319</v>
      </c>
      <c r="H284" s="15">
        <f t="shared" si="13"/>
        <v>177562.80003689876</v>
      </c>
      <c r="I284" s="59">
        <f t="shared" si="14"/>
        <v>441009.50729093241</v>
      </c>
    </row>
    <row r="285" spans="1:9" x14ac:dyDescent="0.25">
      <c r="A285" s="51">
        <f>'A) Base RI'!A276</f>
        <v>5881</v>
      </c>
      <c r="B285" s="34" t="str">
        <f>'A) Base RI'!B276</f>
        <v>Blonay</v>
      </c>
      <c r="C285" s="33">
        <f>'D) Ecrêtage'!M274</f>
        <v>339692.04942857131</v>
      </c>
      <c r="D285" s="15">
        <f>'A) Base RI'!AN276</f>
        <v>6183</v>
      </c>
      <c r="E285" s="10">
        <f t="shared" si="12"/>
        <v>6280236.8835526807</v>
      </c>
      <c r="F285" s="15">
        <f>'F) Population'!K277</f>
        <v>2479500.6036217301</v>
      </c>
      <c r="G285" s="10">
        <f>'G) Solidarité'!I274</f>
        <v>0</v>
      </c>
      <c r="H285" s="15">
        <f t="shared" si="13"/>
        <v>2479500.6036217301</v>
      </c>
      <c r="I285" s="59">
        <f t="shared" si="14"/>
        <v>3800736.2799309506</v>
      </c>
    </row>
    <row r="286" spans="1:9" x14ac:dyDescent="0.25">
      <c r="A286" s="51">
        <f>'A) Base RI'!A277</f>
        <v>5882</v>
      </c>
      <c r="B286" s="34" t="str">
        <f>'A) Base RI'!B277</f>
        <v>Chardonne</v>
      </c>
      <c r="C286" s="33">
        <f>'D) Ecrêtage'!M275</f>
        <v>157386.77911764712</v>
      </c>
      <c r="D286" s="15">
        <f>'A) Base RI'!AN277</f>
        <v>2921</v>
      </c>
      <c r="E286" s="10">
        <f t="shared" si="12"/>
        <v>2909771.5323656625</v>
      </c>
      <c r="F286" s="15">
        <f>'F) Population'!K278</f>
        <v>763025.85513078468</v>
      </c>
      <c r="G286" s="10">
        <f>'G) Solidarité'!I275</f>
        <v>0</v>
      </c>
      <c r="H286" s="15">
        <f t="shared" si="13"/>
        <v>763025.85513078468</v>
      </c>
      <c r="I286" s="59">
        <f t="shared" si="14"/>
        <v>2146745.6772348778</v>
      </c>
    </row>
    <row r="287" spans="1:9" x14ac:dyDescent="0.25">
      <c r="A287" s="51">
        <f>'A) Base RI'!A278</f>
        <v>5883</v>
      </c>
      <c r="B287" s="34" t="str">
        <f>'A) Base RI'!B278</f>
        <v>Corseaux</v>
      </c>
      <c r="C287" s="33">
        <f>'D) Ecrêtage'!M276</f>
        <v>145458.17277547249</v>
      </c>
      <c r="D287" s="15">
        <f>'A) Base RI'!AN278</f>
        <v>2289</v>
      </c>
      <c r="E287" s="10">
        <f t="shared" si="12"/>
        <v>2689235.0975402775</v>
      </c>
      <c r="F287" s="15">
        <f>'F) Population'!K279</f>
        <v>544496.27766599599</v>
      </c>
      <c r="G287" s="10">
        <f>'G) Solidarité'!I276</f>
        <v>0</v>
      </c>
      <c r="H287" s="15">
        <f t="shared" si="13"/>
        <v>544496.27766599599</v>
      </c>
      <c r="I287" s="59">
        <f t="shared" si="14"/>
        <v>2144738.8198742815</v>
      </c>
    </row>
    <row r="288" spans="1:9" x14ac:dyDescent="0.25">
      <c r="A288" s="51">
        <f>'A) Base RI'!A279</f>
        <v>5884</v>
      </c>
      <c r="B288" s="34" t="str">
        <f>'A) Base RI'!B279</f>
        <v>Corsier-sur-Vevey</v>
      </c>
      <c r="C288" s="33">
        <f>'D) Ecrêtage'!M277</f>
        <v>131937.87883838385</v>
      </c>
      <c r="D288" s="15">
        <f>'A) Base RI'!AN279</f>
        <v>3396</v>
      </c>
      <c r="E288" s="10">
        <f t="shared" si="12"/>
        <v>2439271.4943207903</v>
      </c>
      <c r="F288" s="15">
        <f>'F) Population'!K280</f>
        <v>985951.71026156936</v>
      </c>
      <c r="G288" s="10">
        <f>'G) Solidarité'!I277</f>
        <v>349003.32822282915</v>
      </c>
      <c r="H288" s="15">
        <f t="shared" si="13"/>
        <v>1334955.0384843985</v>
      </c>
      <c r="I288" s="59">
        <f t="shared" si="14"/>
        <v>1104316.4558363918</v>
      </c>
    </row>
    <row r="289" spans="1:9" x14ac:dyDescent="0.25">
      <c r="A289" s="51">
        <f>'A) Base RI'!A280</f>
        <v>5885</v>
      </c>
      <c r="B289" s="34" t="str">
        <f>'A) Base RI'!B280</f>
        <v>Jongny</v>
      </c>
      <c r="C289" s="33">
        <f>'D) Ecrêtage'!M278</f>
        <v>92192.244285459863</v>
      </c>
      <c r="D289" s="15">
        <f>'A) Base RI'!AN280</f>
        <v>1549</v>
      </c>
      <c r="E289" s="10">
        <f t="shared" si="12"/>
        <v>1704453.0006310632</v>
      </c>
      <c r="F289" s="15">
        <f>'F) Population'!K281</f>
        <v>288623.03822937625</v>
      </c>
      <c r="G289" s="10">
        <f>'G) Solidarité'!I278</f>
        <v>0</v>
      </c>
      <c r="H289" s="15">
        <f t="shared" si="13"/>
        <v>288623.03822937625</v>
      </c>
      <c r="I289" s="59">
        <f t="shared" si="14"/>
        <v>1415829.9624016869</v>
      </c>
    </row>
    <row r="290" spans="1:9" x14ac:dyDescent="0.25">
      <c r="A290" s="51">
        <f>'A) Base RI'!A281</f>
        <v>5886</v>
      </c>
      <c r="B290" s="34" t="str">
        <f>'A) Base RI'!B281</f>
        <v>Montreux</v>
      </c>
      <c r="C290" s="33">
        <f>'D) Ecrêtage'!M279</f>
        <v>1128562.492051282</v>
      </c>
      <c r="D290" s="15">
        <f>'A) Base RI'!AN281</f>
        <v>26653</v>
      </c>
      <c r="E290" s="10">
        <f t="shared" si="12"/>
        <v>20864897.485523701</v>
      </c>
      <c r="F290" s="15">
        <f>'F) Population'!K282</f>
        <v>21720229.678068407</v>
      </c>
      <c r="G290" s="10">
        <f>'G) Solidarité'!I279</f>
        <v>1095450.2330007988</v>
      </c>
      <c r="H290" s="15">
        <f t="shared" si="13"/>
        <v>22815679.911069207</v>
      </c>
      <c r="I290" s="59">
        <f t="shared" si="14"/>
        <v>-1950782.4255455062</v>
      </c>
    </row>
    <row r="291" spans="1:9" x14ac:dyDescent="0.25">
      <c r="A291" s="51">
        <f>'A) Base RI'!A282</f>
        <v>5888</v>
      </c>
      <c r="B291" s="34" t="str">
        <f>'A) Base RI'!B282</f>
        <v>Saint-Légier-La Chiésaz</v>
      </c>
      <c r="C291" s="33">
        <f>'D) Ecrêtage'!M280</f>
        <v>292588.10855887394</v>
      </c>
      <c r="D291" s="15">
        <f>'A) Base RI'!AN282</f>
        <v>5167</v>
      </c>
      <c r="E291" s="10">
        <f t="shared" si="12"/>
        <v>5409377.8001322951</v>
      </c>
      <c r="F291" s="15">
        <f>'F) Population'!K283</f>
        <v>1877259.9597585513</v>
      </c>
      <c r="G291" s="10">
        <f>'G) Solidarité'!I280</f>
        <v>0</v>
      </c>
      <c r="H291" s="15">
        <f t="shared" si="13"/>
        <v>1877259.9597585513</v>
      </c>
      <c r="I291" s="59">
        <f t="shared" si="14"/>
        <v>3532117.8403737438</v>
      </c>
    </row>
    <row r="292" spans="1:9" x14ac:dyDescent="0.25">
      <c r="A292" s="51">
        <f>'A) Base RI'!A283</f>
        <v>5889</v>
      </c>
      <c r="B292" s="34" t="str">
        <f>'A) Base RI'!B283</f>
        <v>La Tour-de-Peilz</v>
      </c>
      <c r="C292" s="33">
        <f>'D) Ecrêtage'!M281</f>
        <v>663369.11548643862</v>
      </c>
      <c r="D292" s="15">
        <f>'A) Base RI'!AN283</f>
        <v>11779</v>
      </c>
      <c r="E292" s="10">
        <f t="shared" si="12"/>
        <v>12264388.270187285</v>
      </c>
      <c r="F292" s="15">
        <f>'F) Population'!K284</f>
        <v>6482928.8732394371</v>
      </c>
      <c r="G292" s="10">
        <f>'G) Solidarité'!I281</f>
        <v>0</v>
      </c>
      <c r="H292" s="15">
        <f t="shared" si="13"/>
        <v>6482928.8732394371</v>
      </c>
      <c r="I292" s="59">
        <f t="shared" si="14"/>
        <v>5781459.3969478477</v>
      </c>
    </row>
    <row r="293" spans="1:9" x14ac:dyDescent="0.25">
      <c r="A293" s="51">
        <f>'A) Base RI'!A284</f>
        <v>5890</v>
      </c>
      <c r="B293" s="34" t="str">
        <f>'A) Base RI'!B284</f>
        <v>Vevey</v>
      </c>
      <c r="C293" s="33">
        <f>'D) Ecrêtage'!M282</f>
        <v>976058.24146118714</v>
      </c>
      <c r="D293" s="15">
        <f>'A) Base RI'!AN284</f>
        <v>19829</v>
      </c>
      <c r="E293" s="10">
        <f t="shared" si="12"/>
        <v>18045394.288243636</v>
      </c>
      <c r="F293" s="15">
        <f>'F) Population'!K285</f>
        <v>14641531.086519113</v>
      </c>
      <c r="G293" s="10">
        <f>'G) Solidarité'!I282</f>
        <v>0</v>
      </c>
      <c r="H293" s="15">
        <f t="shared" si="13"/>
        <v>14641531.086519113</v>
      </c>
      <c r="I293" s="59">
        <f t="shared" si="14"/>
        <v>3403863.2017245237</v>
      </c>
    </row>
    <row r="294" spans="1:9" x14ac:dyDescent="0.25">
      <c r="A294" s="51">
        <f>'A) Base RI'!A285</f>
        <v>5891</v>
      </c>
      <c r="B294" s="34" t="str">
        <f>'A) Base RI'!B285</f>
        <v>Veytaux</v>
      </c>
      <c r="C294" s="33">
        <f>'D) Ecrêtage'!M283</f>
        <v>35228.276473429949</v>
      </c>
      <c r="D294" s="15">
        <f>'A) Base RI'!AN285</f>
        <v>870</v>
      </c>
      <c r="E294" s="10">
        <f t="shared" si="12"/>
        <v>651301.44089212047</v>
      </c>
      <c r="F294" s="15">
        <f>'F) Population'!K286</f>
        <v>85949.698189134811</v>
      </c>
      <c r="G294" s="10">
        <f>'G) Solidarité'!I283</f>
        <v>70728.182338322353</v>
      </c>
      <c r="H294" s="15">
        <f t="shared" si="13"/>
        <v>156677.88052745716</v>
      </c>
      <c r="I294" s="59">
        <f t="shared" si="14"/>
        <v>494623.56036466331</v>
      </c>
    </row>
    <row r="295" spans="1:9" x14ac:dyDescent="0.25">
      <c r="A295" s="51">
        <f>'A) Base RI'!A286</f>
        <v>5902</v>
      </c>
      <c r="B295" s="34" t="str">
        <f>'A) Base RI'!B286</f>
        <v>Belmont-sur-Yverdon</v>
      </c>
      <c r="C295" s="33">
        <f>'D) Ecrêtage'!M284</f>
        <v>9905.4513157894726</v>
      </c>
      <c r="D295" s="15">
        <f>'A) Base RI'!AN286</f>
        <v>378</v>
      </c>
      <c r="E295" s="10">
        <f t="shared" si="12"/>
        <v>183132.28350885314</v>
      </c>
      <c r="F295" s="15">
        <f>'F) Population'!K287</f>
        <v>37343.661971830988</v>
      </c>
      <c r="G295" s="10">
        <f>'G) Solidarité'!I284</f>
        <v>161139.93683631043</v>
      </c>
      <c r="H295" s="15">
        <f t="shared" si="13"/>
        <v>198483.59880814143</v>
      </c>
      <c r="I295" s="59">
        <f t="shared" si="14"/>
        <v>-15351.315299288282</v>
      </c>
    </row>
    <row r="296" spans="1:9" x14ac:dyDescent="0.25">
      <c r="A296" s="51">
        <f>'A) Base RI'!A287</f>
        <v>5903</v>
      </c>
      <c r="B296" s="34" t="str">
        <f>'A) Base RI'!B287</f>
        <v>Bioley-Magnoux</v>
      </c>
      <c r="C296" s="33">
        <f>'D) Ecrêtage'!M285</f>
        <v>5979.8765830115835</v>
      </c>
      <c r="D296" s="15">
        <f>'A) Base RI'!AN287</f>
        <v>225</v>
      </c>
      <c r="E296" s="10">
        <f t="shared" si="12"/>
        <v>110556.13912335385</v>
      </c>
      <c r="F296" s="15">
        <f>'F) Population'!K288</f>
        <v>22228.370221327968</v>
      </c>
      <c r="G296" s="10">
        <f>'G) Solidarité'!I285</f>
        <v>89113.30689957345</v>
      </c>
      <c r="H296" s="15">
        <f t="shared" si="13"/>
        <v>111341.67712090141</v>
      </c>
      <c r="I296" s="59">
        <f t="shared" si="14"/>
        <v>-785.53799754756619</v>
      </c>
    </row>
    <row r="297" spans="1:9" x14ac:dyDescent="0.25">
      <c r="A297" s="51">
        <f>'A) Base RI'!A288</f>
        <v>5904</v>
      </c>
      <c r="B297" s="34" t="str">
        <f>'A) Base RI'!B288</f>
        <v>Chamblon</v>
      </c>
      <c r="C297" s="33">
        <f>'D) Ecrêtage'!M286</f>
        <v>21723.445757575762</v>
      </c>
      <c r="D297" s="15">
        <f>'A) Base RI'!AN288</f>
        <v>534</v>
      </c>
      <c r="E297" s="10">
        <f t="shared" si="12"/>
        <v>401623.722174489</v>
      </c>
      <c r="F297" s="15">
        <f>'F) Population'!K289</f>
        <v>52755.331991951709</v>
      </c>
      <c r="G297" s="10">
        <f>'G) Solidarité'!I286</f>
        <v>37980.049647715357</v>
      </c>
      <c r="H297" s="15">
        <f t="shared" si="13"/>
        <v>90735.381639667059</v>
      </c>
      <c r="I297" s="59">
        <f t="shared" si="14"/>
        <v>310888.34053482197</v>
      </c>
    </row>
    <row r="298" spans="1:9" x14ac:dyDescent="0.25">
      <c r="A298" s="51">
        <f>'A) Base RI'!A289</f>
        <v>5905</v>
      </c>
      <c r="B298" s="34" t="str">
        <f>'A) Base RI'!B289</f>
        <v>Champvent</v>
      </c>
      <c r="C298" s="33">
        <f>'D) Ecrêtage'!M287</f>
        <v>23277.051267605631</v>
      </c>
      <c r="D298" s="15">
        <f>'A) Base RI'!AN289</f>
        <v>669</v>
      </c>
      <c r="E298" s="10">
        <f t="shared" si="12"/>
        <v>430346.82783149055</v>
      </c>
      <c r="F298" s="15">
        <f>'F) Population'!K290</f>
        <v>66092.354124748497</v>
      </c>
      <c r="G298" s="10">
        <f>'G) Solidarité'!I287</f>
        <v>133891.535554353</v>
      </c>
      <c r="H298" s="15">
        <f t="shared" si="13"/>
        <v>199983.8896791015</v>
      </c>
      <c r="I298" s="59">
        <f t="shared" si="14"/>
        <v>230362.93815238905</v>
      </c>
    </row>
    <row r="299" spans="1:9" x14ac:dyDescent="0.25">
      <c r="A299" s="51">
        <f>'A) Base RI'!A290</f>
        <v>5907</v>
      </c>
      <c r="B299" s="34" t="str">
        <f>'A) Base RI'!B290</f>
        <v>Chavannes-le-Chêne</v>
      </c>
      <c r="C299" s="33">
        <f>'D) Ecrêtage'!M288</f>
        <v>8647.1699999999983</v>
      </c>
      <c r="D299" s="15">
        <f>'A) Base RI'!AN290</f>
        <v>298</v>
      </c>
      <c r="E299" s="10">
        <f t="shared" si="12"/>
        <v>159869.14048681455</v>
      </c>
      <c r="F299" s="15">
        <f>'F) Population'!K291</f>
        <v>29440.241448692152</v>
      </c>
      <c r="G299" s="10">
        <f>'G) Solidarité'!I288</f>
        <v>113564.09552336452</v>
      </c>
      <c r="H299" s="15">
        <f t="shared" si="13"/>
        <v>143004.33697205668</v>
      </c>
      <c r="I299" s="59">
        <f t="shared" si="14"/>
        <v>16864.803514757863</v>
      </c>
    </row>
    <row r="300" spans="1:9" x14ac:dyDescent="0.25">
      <c r="A300" s="51">
        <f>'A) Base RI'!A291</f>
        <v>5908</v>
      </c>
      <c r="B300" s="34" t="str">
        <f>'A) Base RI'!B291</f>
        <v>Chêne-Pâquier</v>
      </c>
      <c r="C300" s="33">
        <f>'D) Ecrêtage'!M289</f>
        <v>2751.637341772152</v>
      </c>
      <c r="D300" s="15">
        <f>'A) Base RI'!AN291</f>
        <v>139</v>
      </c>
      <c r="E300" s="10">
        <f t="shared" si="12"/>
        <v>50872.354395777722</v>
      </c>
      <c r="F300" s="15">
        <f>'F) Population'!K292</f>
        <v>13732.193158953722</v>
      </c>
      <c r="G300" s="10">
        <f>'G) Solidarité'!I289</f>
        <v>86100.980320752191</v>
      </c>
      <c r="H300" s="15">
        <f t="shared" si="13"/>
        <v>99833.173479705918</v>
      </c>
      <c r="I300" s="59">
        <f t="shared" si="14"/>
        <v>-48960.819083928196</v>
      </c>
    </row>
    <row r="301" spans="1:9" x14ac:dyDescent="0.25">
      <c r="A301" s="51">
        <f>'A) Base RI'!A292</f>
        <v>5909</v>
      </c>
      <c r="B301" s="34" t="str">
        <f>'A) Base RI'!B292</f>
        <v>Cheseaux-Noréaz</v>
      </c>
      <c r="C301" s="33">
        <f>'D) Ecrêtage'!M290</f>
        <v>27973.27357142857</v>
      </c>
      <c r="D301" s="15">
        <f>'A) Base RI'!AN292</f>
        <v>705</v>
      </c>
      <c r="E301" s="10">
        <f t="shared" si="12"/>
        <v>517170.72781809676</v>
      </c>
      <c r="F301" s="15">
        <f>'F) Population'!K293</f>
        <v>69648.893360160961</v>
      </c>
      <c r="G301" s="10">
        <f>'G) Solidarité'!I290</f>
        <v>70150.87282300205</v>
      </c>
      <c r="H301" s="15">
        <f t="shared" si="13"/>
        <v>139799.76618316301</v>
      </c>
      <c r="I301" s="59">
        <f t="shared" si="14"/>
        <v>377370.96163493372</v>
      </c>
    </row>
    <row r="302" spans="1:9" x14ac:dyDescent="0.25">
      <c r="A302" s="51">
        <f>'A) Base RI'!A293</f>
        <v>5910</v>
      </c>
      <c r="B302" s="34" t="str">
        <f>'A) Base RI'!B293</f>
        <v>Cronay</v>
      </c>
      <c r="C302" s="33">
        <f>'D) Ecrêtage'!M291</f>
        <v>10127.988607594936</v>
      </c>
      <c r="D302" s="15">
        <f>'A) Base RI'!AN293</f>
        <v>380</v>
      </c>
      <c r="E302" s="10">
        <f t="shared" si="12"/>
        <v>187246.55969021685</v>
      </c>
      <c r="F302" s="15">
        <f>'F) Population'!K294</f>
        <v>37541.247484909458</v>
      </c>
      <c r="G302" s="10">
        <f>'G) Solidarité'!I291</f>
        <v>170817.99908825741</v>
      </c>
      <c r="H302" s="15">
        <f t="shared" si="13"/>
        <v>208359.24657316686</v>
      </c>
      <c r="I302" s="59">
        <f t="shared" si="14"/>
        <v>-21112.686882950016</v>
      </c>
    </row>
    <row r="303" spans="1:9" x14ac:dyDescent="0.25">
      <c r="A303" s="51">
        <f>'A) Base RI'!A294</f>
        <v>5911</v>
      </c>
      <c r="B303" s="34" t="str">
        <f>'A) Base RI'!B294</f>
        <v>Cuarny</v>
      </c>
      <c r="C303" s="33">
        <f>'D) Ecrêtage'!M292</f>
        <v>7075.4874683544303</v>
      </c>
      <c r="D303" s="15">
        <f>'A) Base RI'!AN294</f>
        <v>241</v>
      </c>
      <c r="E303" s="10">
        <f t="shared" si="12"/>
        <v>130811.82630745672</v>
      </c>
      <c r="F303" s="15">
        <f>'F) Population'!K295</f>
        <v>23809.054325955734</v>
      </c>
      <c r="G303" s="10">
        <f>'G) Solidarité'!I292</f>
        <v>92172.54162728753</v>
      </c>
      <c r="H303" s="15">
        <f t="shared" si="13"/>
        <v>115981.59595324326</v>
      </c>
      <c r="I303" s="59">
        <f t="shared" si="14"/>
        <v>14830.230354213461</v>
      </c>
    </row>
    <row r="304" spans="1:9" x14ac:dyDescent="0.25">
      <c r="A304" s="51">
        <f>'A) Base RI'!A295</f>
        <v>5912</v>
      </c>
      <c r="B304" s="34" t="str">
        <f>'A) Base RI'!B295</f>
        <v>Démoret</v>
      </c>
      <c r="C304" s="33">
        <f>'D) Ecrêtage'!M293</f>
        <v>3190.0809876543208</v>
      </c>
      <c r="D304" s="15">
        <f>'A) Base RI'!AN295</f>
        <v>146</v>
      </c>
      <c r="E304" s="10">
        <f t="shared" si="12"/>
        <v>58978.313781228404</v>
      </c>
      <c r="F304" s="15">
        <f>'F) Population'!K296</f>
        <v>14423.74245472837</v>
      </c>
      <c r="G304" s="10">
        <f>'G) Solidarité'!I293</f>
        <v>87262.094393950305</v>
      </c>
      <c r="H304" s="15">
        <f t="shared" si="13"/>
        <v>101685.83684867868</v>
      </c>
      <c r="I304" s="59">
        <f t="shared" si="14"/>
        <v>-42707.523067450275</v>
      </c>
    </row>
    <row r="305" spans="1:9" x14ac:dyDescent="0.25">
      <c r="A305" s="51">
        <f>'A) Base RI'!A296</f>
        <v>5913</v>
      </c>
      <c r="B305" s="34" t="str">
        <f>'A) Base RI'!B296</f>
        <v>Donneloye</v>
      </c>
      <c r="C305" s="33">
        <f>'D) Ecrêtage'!M294</f>
        <v>20217.518082191778</v>
      </c>
      <c r="D305" s="15">
        <f>'A) Base RI'!AN296</f>
        <v>813</v>
      </c>
      <c r="E305" s="10">
        <f t="shared" si="12"/>
        <v>373782.08576639893</v>
      </c>
      <c r="F305" s="15">
        <f>'F) Population'!K297</f>
        <v>80318.511066398394</v>
      </c>
      <c r="G305" s="10">
        <f>'G) Solidarité'!I294</f>
        <v>342758.72508981061</v>
      </c>
      <c r="H305" s="15">
        <f t="shared" si="13"/>
        <v>423077.23615620902</v>
      </c>
      <c r="I305" s="59">
        <f t="shared" si="14"/>
        <v>-49295.150389810093</v>
      </c>
    </row>
    <row r="306" spans="1:9" x14ac:dyDescent="0.25">
      <c r="A306" s="51">
        <f>'A) Base RI'!A297</f>
        <v>5914</v>
      </c>
      <c r="B306" s="34" t="str">
        <f>'A) Base RI'!B297</f>
        <v>Ependes</v>
      </c>
      <c r="C306" s="33">
        <f>'D) Ecrêtage'!M295</f>
        <v>9998.8652000000002</v>
      </c>
      <c r="D306" s="15">
        <f>'A) Base RI'!AN297</f>
        <v>361</v>
      </c>
      <c r="E306" s="10">
        <f t="shared" si="12"/>
        <v>184859.3222253664</v>
      </c>
      <c r="F306" s="15">
        <f>'F) Population'!K298</f>
        <v>35664.185110663981</v>
      </c>
      <c r="G306" s="10">
        <f>'G) Solidarité'!I295</f>
        <v>137833.72680145883</v>
      </c>
      <c r="H306" s="15">
        <f t="shared" si="13"/>
        <v>173497.9119121228</v>
      </c>
      <c r="I306" s="59">
        <f t="shared" si="14"/>
        <v>11361.410313243599</v>
      </c>
    </row>
    <row r="307" spans="1:9" x14ac:dyDescent="0.25">
      <c r="A307" s="51">
        <f>'A) Base RI'!A298</f>
        <v>5919</v>
      </c>
      <c r="B307" s="34" t="str">
        <f>'A) Base RI'!B298</f>
        <v>Mathod</v>
      </c>
      <c r="C307" s="33">
        <f>'D) Ecrêtage'!M296</f>
        <v>15974.205138888889</v>
      </c>
      <c r="D307" s="15">
        <f>'A) Base RI'!AN298</f>
        <v>617</v>
      </c>
      <c r="E307" s="10">
        <f t="shared" si="12"/>
        <v>295331.58773497265</v>
      </c>
      <c r="F307" s="15">
        <f>'F) Population'!K299</f>
        <v>60955.13078470825</v>
      </c>
      <c r="G307" s="10">
        <f>'G) Solidarité'!I296</f>
        <v>240064.15786555069</v>
      </c>
      <c r="H307" s="15">
        <f t="shared" si="13"/>
        <v>301019.28865025891</v>
      </c>
      <c r="I307" s="59">
        <f t="shared" si="14"/>
        <v>-5687.7009152862593</v>
      </c>
    </row>
    <row r="308" spans="1:9" x14ac:dyDescent="0.25">
      <c r="A308" s="51">
        <f>'A) Base RI'!A299</f>
        <v>5921</v>
      </c>
      <c r="B308" s="34" t="str">
        <f>'A) Base RI'!B299</f>
        <v>Molondin</v>
      </c>
      <c r="C308" s="33">
        <f>'D) Ecrêtage'!M297</f>
        <v>5428.3767901234569</v>
      </c>
      <c r="D308" s="15">
        <f>'A) Base RI'!AN299</f>
        <v>232</v>
      </c>
      <c r="E308" s="10">
        <f t="shared" si="12"/>
        <v>100359.99427276329</v>
      </c>
      <c r="F308" s="15">
        <f>'F) Population'!K300</f>
        <v>22919.919517102615</v>
      </c>
      <c r="G308" s="10">
        <f>'G) Solidarité'!I297</f>
        <v>129305.36048916575</v>
      </c>
      <c r="H308" s="15">
        <f t="shared" si="13"/>
        <v>152225.28000626835</v>
      </c>
      <c r="I308" s="59">
        <f t="shared" si="14"/>
        <v>-51865.285733505065</v>
      </c>
    </row>
    <row r="309" spans="1:9" x14ac:dyDescent="0.25">
      <c r="A309" s="51">
        <f>'A) Base RI'!A300</f>
        <v>5922</v>
      </c>
      <c r="B309" s="34" t="str">
        <f>'A) Base RI'!B300</f>
        <v>Montagny-près-Yverdon</v>
      </c>
      <c r="C309" s="33">
        <f>'D) Ecrêtage'!M298</f>
        <v>46148.683999846275</v>
      </c>
      <c r="D309" s="15">
        <f>'A) Base RI'!AN300</f>
        <v>717</v>
      </c>
      <c r="E309" s="10">
        <f t="shared" si="12"/>
        <v>853198.26551959047</v>
      </c>
      <c r="F309" s="15">
        <f>'F) Population'!K301</f>
        <v>70834.406438631791</v>
      </c>
      <c r="G309" s="10">
        <f>'G) Solidarité'!I298</f>
        <v>0</v>
      </c>
      <c r="H309" s="15">
        <f t="shared" si="13"/>
        <v>70834.406438631791</v>
      </c>
      <c r="I309" s="59">
        <f t="shared" si="14"/>
        <v>782363.85908095865</v>
      </c>
    </row>
    <row r="310" spans="1:9" x14ac:dyDescent="0.25">
      <c r="A310" s="51">
        <f>'A) Base RI'!A301</f>
        <v>5923</v>
      </c>
      <c r="B310" s="34" t="str">
        <f>'A) Base RI'!B301</f>
        <v>Oppens</v>
      </c>
      <c r="C310" s="33">
        <f>'D) Ecrêtage'!M299</f>
        <v>4655.3639506172849</v>
      </c>
      <c r="D310" s="15">
        <f>'A) Base RI'!AN301</f>
        <v>187</v>
      </c>
      <c r="E310" s="10">
        <f t="shared" si="12"/>
        <v>86068.509516811493</v>
      </c>
      <c r="F310" s="15">
        <f>'F) Population'!K302</f>
        <v>18474.245472837021</v>
      </c>
      <c r="G310" s="10">
        <f>'G) Solidarité'!I299</f>
        <v>96932.778538000828</v>
      </c>
      <c r="H310" s="15">
        <f t="shared" si="13"/>
        <v>115407.02401083785</v>
      </c>
      <c r="I310" s="59">
        <f t="shared" si="14"/>
        <v>-29338.514494026356</v>
      </c>
    </row>
    <row r="311" spans="1:9" x14ac:dyDescent="0.25">
      <c r="A311" s="51">
        <f>'A) Base RI'!A302</f>
        <v>5924</v>
      </c>
      <c r="B311" s="34" t="str">
        <f>'A) Base RI'!B302</f>
        <v>Orges</v>
      </c>
      <c r="C311" s="33">
        <f>'D) Ecrêtage'!M300</f>
        <v>10584.548243243244</v>
      </c>
      <c r="D311" s="15">
        <f>'A) Base RI'!AN302</f>
        <v>336</v>
      </c>
      <c r="E311" s="10">
        <f t="shared" si="12"/>
        <v>195687.4480423677</v>
      </c>
      <c r="F311" s="15">
        <f>'F) Population'!K303</f>
        <v>33194.366197183095</v>
      </c>
      <c r="G311" s="10">
        <f>'G) Solidarité'!I300</f>
        <v>97100.089583786132</v>
      </c>
      <c r="H311" s="15">
        <f t="shared" si="13"/>
        <v>130294.45578096923</v>
      </c>
      <c r="I311" s="59">
        <f t="shared" si="14"/>
        <v>65392.992261398467</v>
      </c>
    </row>
    <row r="312" spans="1:9" x14ac:dyDescent="0.25">
      <c r="A312" s="51">
        <f>'A) Base RI'!A303</f>
        <v>5925</v>
      </c>
      <c r="B312" s="34" t="str">
        <f>'A) Base RI'!B303</f>
        <v>Orzens</v>
      </c>
      <c r="C312" s="33">
        <f>'D) Ecrêtage'!M301</f>
        <v>4781.2708860759494</v>
      </c>
      <c r="D312" s="15">
        <f>'A) Base RI'!AN303</f>
        <v>195</v>
      </c>
      <c r="E312" s="10">
        <f t="shared" si="12"/>
        <v>88396.280747526922</v>
      </c>
      <c r="F312" s="15">
        <f>'F) Population'!K304</f>
        <v>19264.587525150906</v>
      </c>
      <c r="G312" s="10">
        <f>'G) Solidarité'!I301</f>
        <v>97964.911518741501</v>
      </c>
      <c r="H312" s="15">
        <f t="shared" si="13"/>
        <v>117229.4990438924</v>
      </c>
      <c r="I312" s="59">
        <f t="shared" si="14"/>
        <v>-28833.218296365478</v>
      </c>
    </row>
    <row r="313" spans="1:9" x14ac:dyDescent="0.25">
      <c r="A313" s="51">
        <f>'A) Base RI'!A304</f>
        <v>5926</v>
      </c>
      <c r="B313" s="34" t="str">
        <f>'A) Base RI'!B304</f>
        <v>Pomy</v>
      </c>
      <c r="C313" s="33">
        <f>'D) Ecrêtage'!M302</f>
        <v>23350.72985915493</v>
      </c>
      <c r="D313" s="15">
        <f>'A) Base RI'!AN304</f>
        <v>785</v>
      </c>
      <c r="E313" s="10">
        <f t="shared" si="12"/>
        <v>431708.9998604047</v>
      </c>
      <c r="F313" s="15">
        <f>'F) Population'!K305</f>
        <v>77552.313883299794</v>
      </c>
      <c r="G313" s="10">
        <f>'G) Solidarité'!I302</f>
        <v>236417.64050861643</v>
      </c>
      <c r="H313" s="15">
        <f t="shared" si="13"/>
        <v>313969.95439191622</v>
      </c>
      <c r="I313" s="59">
        <f t="shared" si="14"/>
        <v>117739.04546848848</v>
      </c>
    </row>
    <row r="314" spans="1:9" x14ac:dyDescent="0.25">
      <c r="A314" s="51">
        <f>'A) Base RI'!A305</f>
        <v>5928</v>
      </c>
      <c r="B314" s="34" t="str">
        <f>'A) Base RI'!B305</f>
        <v>Rovray</v>
      </c>
      <c r="C314" s="33">
        <f>'D) Ecrêtage'!M303</f>
        <v>4495.7758904109587</v>
      </c>
      <c r="D314" s="15">
        <f>'A) Base RI'!AN305</f>
        <v>187</v>
      </c>
      <c r="E314" s="10">
        <f t="shared" si="12"/>
        <v>83118.040633102326</v>
      </c>
      <c r="F314" s="15">
        <f>'F) Population'!K306</f>
        <v>18474.245472837021</v>
      </c>
      <c r="G314" s="10">
        <f>'G) Solidarité'!I303</f>
        <v>82107.863848841429</v>
      </c>
      <c r="H314" s="15">
        <f t="shared" si="13"/>
        <v>100582.10932167845</v>
      </c>
      <c r="I314" s="59">
        <f t="shared" si="14"/>
        <v>-17464.068688576124</v>
      </c>
    </row>
    <row r="315" spans="1:9" x14ac:dyDescent="0.25">
      <c r="A315" s="51">
        <f>'A) Base RI'!A306</f>
        <v>5929</v>
      </c>
      <c r="B315" s="34" t="str">
        <f>'A) Base RI'!B306</f>
        <v>Suchy</v>
      </c>
      <c r="C315" s="33">
        <f>'D) Ecrêtage'!M304</f>
        <v>17118.434321428569</v>
      </c>
      <c r="D315" s="15">
        <f>'A) Base RI'!AN306</f>
        <v>605</v>
      </c>
      <c r="E315" s="10">
        <f t="shared" si="12"/>
        <v>316486.13146807248</v>
      </c>
      <c r="F315" s="15">
        <f>'F) Population'!K307</f>
        <v>59769.617706237426</v>
      </c>
      <c r="G315" s="10">
        <f>'G) Solidarité'!I304</f>
        <v>194192.77169560795</v>
      </c>
      <c r="H315" s="15">
        <f t="shared" si="13"/>
        <v>253962.38940184537</v>
      </c>
      <c r="I315" s="59">
        <f t="shared" si="14"/>
        <v>62523.742066227103</v>
      </c>
    </row>
    <row r="316" spans="1:9" x14ac:dyDescent="0.25">
      <c r="A316" s="51">
        <f>'A) Base RI'!A307</f>
        <v>5930</v>
      </c>
      <c r="B316" s="34" t="str">
        <f>'A) Base RI'!B307</f>
        <v>Suscévaz</v>
      </c>
      <c r="C316" s="33">
        <f>'D) Ecrêtage'!M305</f>
        <v>5362.7113888888889</v>
      </c>
      <c r="D316" s="15">
        <f>'A) Base RI'!AN307</f>
        <v>200</v>
      </c>
      <c r="E316" s="10">
        <f t="shared" si="12"/>
        <v>99145.970348740491</v>
      </c>
      <c r="F316" s="15">
        <f>'F) Population'!K308</f>
        <v>19758.551307847083</v>
      </c>
      <c r="G316" s="10">
        <f>'G) Solidarité'!I305</f>
        <v>74015.079341171004</v>
      </c>
      <c r="H316" s="15">
        <f t="shared" si="13"/>
        <v>93773.630649018087</v>
      </c>
      <c r="I316" s="59">
        <f t="shared" si="14"/>
        <v>5372.3396997224045</v>
      </c>
    </row>
    <row r="317" spans="1:9" x14ac:dyDescent="0.25">
      <c r="A317" s="51">
        <f>'A) Base RI'!A308</f>
        <v>5931</v>
      </c>
      <c r="B317" s="34" t="str">
        <f>'A) Base RI'!B308</f>
        <v>Treycovagnes</v>
      </c>
      <c r="C317" s="33">
        <f>'D) Ecrêtage'!M306</f>
        <v>13288.6564</v>
      </c>
      <c r="D317" s="15">
        <f>'A) Base RI'!AN308</f>
        <v>456</v>
      </c>
      <c r="E317" s="10">
        <f t="shared" si="12"/>
        <v>245681.08142809817</v>
      </c>
      <c r="F317" s="15">
        <f>'F) Population'!K309</f>
        <v>45049.496981891345</v>
      </c>
      <c r="G317" s="10">
        <f>'G) Solidarité'!I306</f>
        <v>159398.23923860327</v>
      </c>
      <c r="H317" s="15">
        <f t="shared" si="13"/>
        <v>204447.73622049461</v>
      </c>
      <c r="I317" s="59">
        <f t="shared" si="14"/>
        <v>41233.345207603561</v>
      </c>
    </row>
    <row r="318" spans="1:9" x14ac:dyDescent="0.25">
      <c r="A318" s="51">
        <f>'A) Base RI'!A309</f>
        <v>5932</v>
      </c>
      <c r="B318" s="34" t="str">
        <f>'A) Base RI'!B309</f>
        <v>Ursins</v>
      </c>
      <c r="C318" s="33">
        <f>'D) Ecrêtage'!M307</f>
        <v>6858.6807692307693</v>
      </c>
      <c r="D318" s="15">
        <f>'A) Base RI'!AN309</f>
        <v>218</v>
      </c>
      <c r="E318" s="10">
        <f t="shared" si="12"/>
        <v>126803.49749691141</v>
      </c>
      <c r="F318" s="15">
        <f>'F) Population'!K310</f>
        <v>21536.820925553318</v>
      </c>
      <c r="G318" s="10">
        <f>'G) Solidarité'!I307</f>
        <v>70203.85055643355</v>
      </c>
      <c r="H318" s="15">
        <f t="shared" si="13"/>
        <v>91740.671481986865</v>
      </c>
      <c r="I318" s="59">
        <f t="shared" si="14"/>
        <v>35062.826014924547</v>
      </c>
    </row>
    <row r="319" spans="1:9" x14ac:dyDescent="0.25">
      <c r="A319" s="51">
        <f>'A) Base RI'!A310</f>
        <v>5933</v>
      </c>
      <c r="B319" s="34" t="str">
        <f>'A) Base RI'!B310</f>
        <v>Valeyres-sous-Montagny</v>
      </c>
      <c r="C319" s="33">
        <f>'D) Ecrêtage'!M308</f>
        <v>20763.196805555559</v>
      </c>
      <c r="D319" s="15">
        <f>'A) Base RI'!AN310</f>
        <v>705</v>
      </c>
      <c r="E319" s="10">
        <f t="shared" si="12"/>
        <v>383870.61050756968</v>
      </c>
      <c r="F319" s="15">
        <f>'F) Population'!K311</f>
        <v>69648.893360160961</v>
      </c>
      <c r="G319" s="10">
        <f>'G) Solidarité'!I308</f>
        <v>222625.29319808559</v>
      </c>
      <c r="H319" s="15">
        <f t="shared" si="13"/>
        <v>292274.18655824655</v>
      </c>
      <c r="I319" s="59">
        <f t="shared" si="14"/>
        <v>91596.423949323129</v>
      </c>
    </row>
    <row r="320" spans="1:9" x14ac:dyDescent="0.25">
      <c r="A320" s="51">
        <f>'A) Base RI'!A311</f>
        <v>5934</v>
      </c>
      <c r="B320" s="34" t="str">
        <f>'A) Base RI'!B311</f>
        <v>Valeyres-sous-Ursins</v>
      </c>
      <c r="C320" s="33">
        <f>'D) Ecrêtage'!M309</f>
        <v>6895.611012658228</v>
      </c>
      <c r="D320" s="15">
        <f>'A) Base RI'!AN311</f>
        <v>238</v>
      </c>
      <c r="E320" s="10">
        <f t="shared" si="12"/>
        <v>127486.26495432426</v>
      </c>
      <c r="F320" s="15">
        <f>'F) Population'!K312</f>
        <v>23512.676056338027</v>
      </c>
      <c r="G320" s="10">
        <f>'G) Solidarité'!I309</f>
        <v>93300.001820600592</v>
      </c>
      <c r="H320" s="15">
        <f t="shared" si="13"/>
        <v>116812.67787693861</v>
      </c>
      <c r="I320" s="59">
        <f t="shared" si="14"/>
        <v>10673.587077385644</v>
      </c>
    </row>
    <row r="321" spans="1:9" x14ac:dyDescent="0.25">
      <c r="A321" s="51">
        <f>'A) Base RI'!A312</f>
        <v>5935</v>
      </c>
      <c r="B321" s="34" t="str">
        <f>'A) Base RI'!B312</f>
        <v>Villars-Epeney</v>
      </c>
      <c r="C321" s="33">
        <f>'D) Ecrêtage'!M310</f>
        <v>5507.9496666666664</v>
      </c>
      <c r="D321" s="15">
        <f>'A) Base RI'!AN312</f>
        <v>106</v>
      </c>
      <c r="E321" s="10">
        <f t="shared" si="12"/>
        <v>101831.14002091283</v>
      </c>
      <c r="F321" s="15">
        <f>'F) Population'!K313</f>
        <v>10472.032193158953</v>
      </c>
      <c r="G321" s="10">
        <f>'G) Solidarité'!I310</f>
        <v>0</v>
      </c>
      <c r="H321" s="15">
        <f t="shared" si="13"/>
        <v>10472.032193158953</v>
      </c>
      <c r="I321" s="59">
        <f t="shared" si="14"/>
        <v>91359.107827753876</v>
      </c>
    </row>
    <row r="322" spans="1:9" x14ac:dyDescent="0.25">
      <c r="A322" s="51">
        <f>'A) Base RI'!A313</f>
        <v>5937</v>
      </c>
      <c r="B322" s="34" t="str">
        <f>'A) Base RI'!B313</f>
        <v>Vugelles-La Mothe</v>
      </c>
      <c r="C322" s="33">
        <f>'D) Ecrêtage'!M311</f>
        <v>2890.9266938775513</v>
      </c>
      <c r="D322" s="15">
        <f>'A) Base RI'!AN313</f>
        <v>122</v>
      </c>
      <c r="E322" s="10">
        <f t="shared" si="12"/>
        <v>53447.540150198583</v>
      </c>
      <c r="F322" s="15">
        <f>'F) Population'!K314</f>
        <v>12052.716297786721</v>
      </c>
      <c r="G322" s="10">
        <f>'G) Solidarité'!I311</f>
        <v>50075.334574695073</v>
      </c>
      <c r="H322" s="15">
        <f t="shared" si="13"/>
        <v>62128.050872481792</v>
      </c>
      <c r="I322" s="59">
        <f t="shared" si="14"/>
        <v>-8680.5107222832085</v>
      </c>
    </row>
    <row r="323" spans="1:9" x14ac:dyDescent="0.25">
      <c r="A323" s="51">
        <f>'A) Base RI'!A314</f>
        <v>5938</v>
      </c>
      <c r="B323" s="34" t="str">
        <f>'A) Base RI'!B314</f>
        <v>Yverdon-les-Bains</v>
      </c>
      <c r="C323" s="33">
        <f>'D) Ecrêtage'!M312</f>
        <v>801914.63490196085</v>
      </c>
      <c r="D323" s="15">
        <f>'A) Base RI'!AN314</f>
        <v>30208</v>
      </c>
      <c r="E323" s="10">
        <f t="shared" si="12"/>
        <v>14825822.023341071</v>
      </c>
      <c r="F323" s="15">
        <f>'F) Population'!K315</f>
        <v>25407916.297786716</v>
      </c>
      <c r="G323" s="10">
        <f>'G) Solidarité'!I312</f>
        <v>12807815.966050638</v>
      </c>
      <c r="H323" s="15">
        <f t="shared" si="13"/>
        <v>38215732.263837352</v>
      </c>
      <c r="I323" s="59">
        <f t="shared" si="14"/>
        <v>-23389910.240496282</v>
      </c>
    </row>
    <row r="324" spans="1:9" x14ac:dyDescent="0.25">
      <c r="A324" s="51">
        <f>'A) Base RI'!A315</f>
        <v>5939</v>
      </c>
      <c r="B324" s="34" t="str">
        <f>'A) Base RI'!B315</f>
        <v>Yvonand</v>
      </c>
      <c r="C324" s="33">
        <f>'D) Ecrêtage'!M313</f>
        <v>93413.424931506845</v>
      </c>
      <c r="D324" s="15">
        <f>'A) Base RI'!AN315</f>
        <v>3351</v>
      </c>
      <c r="E324" s="10">
        <f t="shared" si="12"/>
        <v>1727030.2253488223</v>
      </c>
      <c r="F324" s="15">
        <f>'F) Population'!K316</f>
        <v>963723.34004024148</v>
      </c>
      <c r="G324" s="10">
        <f>'G) Solidarité'!I313</f>
        <v>1199457.5958011674</v>
      </c>
      <c r="H324" s="15">
        <f t="shared" si="13"/>
        <v>2163180.935841409</v>
      </c>
      <c r="I324" s="59">
        <f t="shared" si="14"/>
        <v>-436150.71049258672</v>
      </c>
    </row>
    <row r="325" spans="1:9" x14ac:dyDescent="0.25">
      <c r="A325" s="32"/>
      <c r="B325" s="126">
        <f>COUNTA(B16:B324)</f>
        <v>309</v>
      </c>
      <c r="C325" s="127">
        <f>SUM(C16:C324)</f>
        <v>35582677.91930794</v>
      </c>
      <c r="D325" s="11">
        <f>SUM(D16:D324)</f>
        <v>794384</v>
      </c>
      <c r="E325" s="11">
        <f>SUM(E16:E324)</f>
        <v>657853625.54210448</v>
      </c>
      <c r="F325" s="11">
        <f>SUM(F16:F324)</f>
        <v>410953811.1670019</v>
      </c>
      <c r="G325" s="11">
        <f>SUM(G16:G324)</f>
        <v>109197422.25204247</v>
      </c>
      <c r="H325" s="11">
        <f>F325+G325</f>
        <v>520151233.41904438</v>
      </c>
      <c r="I325" s="39">
        <f>E325-H325</f>
        <v>137702392.12306011</v>
      </c>
    </row>
    <row r="326" spans="1:9" x14ac:dyDescent="0.25">
      <c r="C326" s="77"/>
      <c r="D326" s="77"/>
      <c r="E326" s="38"/>
      <c r="H326" s="38"/>
    </row>
    <row r="327" spans="1:9" x14ac:dyDescent="0.25">
      <c r="C327" s="5"/>
      <c r="D327" s="5"/>
      <c r="E327" s="6"/>
      <c r="F327" s="6"/>
      <c r="G327" s="6"/>
      <c r="H327" s="6"/>
      <c r="I327" s="6"/>
    </row>
    <row r="328" spans="1:9" x14ac:dyDescent="0.25">
      <c r="G328" s="13"/>
    </row>
    <row r="330" spans="1:9" x14ac:dyDescent="0.25">
      <c r="F330" s="13"/>
    </row>
    <row r="331" spans="1:9" x14ac:dyDescent="0.25">
      <c r="F331" s="13"/>
    </row>
    <row r="333" spans="1:9" x14ac:dyDescent="0.25">
      <c r="F333" s="114"/>
      <c r="G333" s="114"/>
      <c r="H333" s="114"/>
      <c r="I333" s="114"/>
    </row>
    <row r="334" spans="1:9" x14ac:dyDescent="0.25">
      <c r="E334" s="114"/>
      <c r="F334" s="114"/>
      <c r="G334" s="114"/>
      <c r="H334" s="114"/>
      <c r="I334" s="114"/>
    </row>
    <row r="335" spans="1:9" x14ac:dyDescent="0.25">
      <c r="E335" s="123"/>
      <c r="F335" s="123"/>
      <c r="G335" s="123"/>
      <c r="H335" s="123"/>
      <c r="I335" s="123"/>
    </row>
    <row r="342" spans="3:3" x14ac:dyDescent="0.25">
      <c r="C342" s="50"/>
    </row>
    <row r="343" spans="3:3" x14ac:dyDescent="0.25">
      <c r="C343" s="50"/>
    </row>
    <row r="344" spans="3:3" x14ac:dyDescent="0.25">
      <c r="C344" s="50"/>
    </row>
  </sheetData>
  <mergeCells count="4">
    <mergeCell ref="D14:D15"/>
    <mergeCell ref="C14:C15"/>
    <mergeCell ref="B14:B15"/>
    <mergeCell ref="A14:A15"/>
  </mergeCells>
  <phoneticPr fontId="8" type="noConversion"/>
  <pageMargins left="0.25" right="0.25" top="0.75" bottom="0.75" header="0.3" footer="0.3"/>
  <pageSetup paperSize="9" orientation="landscape"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00B050"/>
  </sheetPr>
  <dimension ref="A1:Q314"/>
  <sheetViews>
    <sheetView workbookViewId="0">
      <pane ySplit="4" topLeftCell="A293" activePane="bottomLeft" state="frozen"/>
      <selection pane="bottomLeft" activeCell="N4" sqref="N4"/>
    </sheetView>
  </sheetViews>
  <sheetFormatPr baseColWidth="10" defaultColWidth="10.75" defaultRowHeight="15" x14ac:dyDescent="0.25"/>
  <cols>
    <col min="1" max="1" width="7.25" style="14" customWidth="1"/>
    <col min="2" max="2" width="18" style="14" customWidth="1"/>
    <col min="3" max="3" width="14.25" style="6" bestFit="1" customWidth="1"/>
    <col min="4" max="5" width="13.125" style="6" bestFit="1" customWidth="1"/>
    <col min="6" max="6" width="12.25" style="6" bestFit="1" customWidth="1"/>
    <col min="7" max="7" width="13.125" style="6" bestFit="1" customWidth="1"/>
    <col min="8" max="8" width="16.875" style="6" bestFit="1" customWidth="1"/>
    <col min="9" max="9" width="13.25" style="6" bestFit="1" customWidth="1"/>
    <col min="10" max="10" width="12.125" style="6" customWidth="1"/>
    <col min="11" max="11" width="10" style="6" customWidth="1"/>
    <col min="12" max="12" width="11.375" style="6" customWidth="1"/>
    <col min="13" max="13" width="10.75" style="6" customWidth="1"/>
    <col min="14" max="14" width="12.5" style="6" customWidth="1"/>
    <col min="15" max="15" width="12.875" style="6" customWidth="1"/>
    <col min="16" max="16" width="10" style="16" customWidth="1"/>
    <col min="17" max="17" width="2.5" style="14" customWidth="1"/>
    <col min="18" max="16384" width="10.75" style="14"/>
  </cols>
  <sheetData>
    <row r="1" spans="1:17" s="45" customFormat="1" ht="20.25" customHeight="1" x14ac:dyDescent="0.25">
      <c r="A1" s="53" t="s">
        <v>144</v>
      </c>
      <c r="B1" s="44"/>
      <c r="C1" s="46"/>
      <c r="D1" s="46"/>
      <c r="E1" s="46"/>
      <c r="F1" s="46"/>
      <c r="G1" s="46"/>
      <c r="H1" s="46"/>
      <c r="I1" s="46"/>
      <c r="J1" s="46"/>
      <c r="K1" s="316"/>
      <c r="L1" s="46"/>
      <c r="M1" s="316"/>
      <c r="N1" s="46"/>
      <c r="O1" s="46"/>
      <c r="P1" s="142"/>
      <c r="Q1" s="14"/>
    </row>
    <row r="3" spans="1:17" ht="60" customHeight="1" x14ac:dyDescent="0.25">
      <c r="A3" s="568" t="s">
        <v>50</v>
      </c>
      <c r="B3" s="568" t="s">
        <v>101</v>
      </c>
      <c r="C3" s="565" t="s">
        <v>433</v>
      </c>
      <c r="D3" s="565" t="s">
        <v>335</v>
      </c>
      <c r="E3" s="565" t="s">
        <v>336</v>
      </c>
      <c r="F3" s="565" t="s">
        <v>337</v>
      </c>
      <c r="G3" s="565" t="s">
        <v>308</v>
      </c>
      <c r="H3" s="565" t="s">
        <v>48</v>
      </c>
      <c r="I3" s="308" t="s">
        <v>309</v>
      </c>
      <c r="J3" s="308" t="s">
        <v>218</v>
      </c>
      <c r="K3" s="591" t="s">
        <v>219</v>
      </c>
      <c r="L3" s="565" t="s">
        <v>49</v>
      </c>
      <c r="M3" s="308" t="s">
        <v>220</v>
      </c>
      <c r="N3" s="308" t="s">
        <v>218</v>
      </c>
      <c r="O3" s="317" t="s">
        <v>374</v>
      </c>
      <c r="P3" s="356" t="s">
        <v>552</v>
      </c>
    </row>
    <row r="4" spans="1:17" x14ac:dyDescent="0.25">
      <c r="A4" s="569"/>
      <c r="B4" s="570"/>
      <c r="C4" s="566"/>
      <c r="D4" s="567"/>
      <c r="E4" s="566"/>
      <c r="F4" s="567"/>
      <c r="G4" s="566"/>
      <c r="H4" s="567"/>
      <c r="I4" s="312">
        <f>Paramètres!B41</f>
        <v>8</v>
      </c>
      <c r="J4" s="355">
        <f>+Paramètres!C41</f>
        <v>0.7168290598227457</v>
      </c>
      <c r="K4" s="592"/>
      <c r="L4" s="566"/>
      <c r="M4" s="309">
        <f>Paramètres!B42</f>
        <v>1</v>
      </c>
      <c r="N4" s="507">
        <f>+Paramètres!C42</f>
        <v>0.7168290598227457</v>
      </c>
      <c r="O4" s="318" t="s">
        <v>468</v>
      </c>
      <c r="P4" s="358" t="s">
        <v>469</v>
      </c>
    </row>
    <row r="5" spans="1:17" x14ac:dyDescent="0.25">
      <c r="A5" s="48">
        <f>+'A) Base RI'!A7</f>
        <v>5401</v>
      </c>
      <c r="B5" s="321" t="str">
        <f>+'A) Base RI'!B7</f>
        <v>Aigle</v>
      </c>
      <c r="C5" s="334">
        <f>+'D) Ecrêtage'!M5</f>
        <v>280807.53491358022</v>
      </c>
      <c r="D5" s="310">
        <v>4018897</v>
      </c>
      <c r="E5" s="334">
        <v>1203508</v>
      </c>
      <c r="F5" s="310">
        <v>13638</v>
      </c>
      <c r="G5" s="334">
        <f>SUM(D5:F5)</f>
        <v>5236043</v>
      </c>
      <c r="H5" s="310">
        <f>+C5*$I$4</f>
        <v>2246460.2793086418</v>
      </c>
      <c r="I5" s="56">
        <f>IF(G5&gt;H5,G5-H5,0)</f>
        <v>2989582.7206913582</v>
      </c>
      <c r="J5" s="332">
        <f>-I5*J$4</f>
        <v>-2143019.7709355126</v>
      </c>
      <c r="K5" s="75">
        <v>380744</v>
      </c>
      <c r="L5" s="56">
        <f>C5*M$4</f>
        <v>280807.53491358022</v>
      </c>
      <c r="M5" s="75">
        <f>IF(K5&gt;L5,K5-L5,0)</f>
        <v>99936.465086419776</v>
      </c>
      <c r="N5" s="136">
        <f>-M5*N$4</f>
        <v>-71637.362309906937</v>
      </c>
      <c r="O5" s="137">
        <f>N5+J5</f>
        <v>-2214657.1332454197</v>
      </c>
      <c r="P5" s="35">
        <f>O5/'D) Ecrêtage'!C5</f>
        <v>-7.8867439719058474</v>
      </c>
      <c r="Q5" s="132"/>
    </row>
    <row r="6" spans="1:17" x14ac:dyDescent="0.25">
      <c r="A6" s="51">
        <f>+'A) Base RI'!A8</f>
        <v>5402</v>
      </c>
      <c r="B6" s="321" t="str">
        <f>+'A) Base RI'!B8</f>
        <v>Bex</v>
      </c>
      <c r="C6" s="335">
        <f>+'D) Ecrêtage'!M6</f>
        <v>178888.62591549297</v>
      </c>
      <c r="D6" s="310">
        <v>2784734</v>
      </c>
      <c r="E6" s="335">
        <v>656421</v>
      </c>
      <c r="F6" s="310">
        <v>248701</v>
      </c>
      <c r="G6" s="335">
        <f t="shared" ref="G6:G69" si="0">SUM(D6:F6)</f>
        <v>3689856</v>
      </c>
      <c r="H6" s="310">
        <f t="shared" ref="H6:H69" si="1">+C6*$I$4</f>
        <v>1431109.0073239438</v>
      </c>
      <c r="I6" s="10">
        <f t="shared" ref="I6:I69" si="2">IF(G6&gt;H6,G6-H6,0)</f>
        <v>2258746.992676056</v>
      </c>
      <c r="J6" s="332">
        <f t="shared" ref="J6:J68" si="3">-I6*J$4</f>
        <v>-1619135.4831374316</v>
      </c>
      <c r="K6" s="15">
        <v>389475</v>
      </c>
      <c r="L6" s="10">
        <f t="shared" ref="L6:L68" si="4">C6*M$4</f>
        <v>178888.62591549297</v>
      </c>
      <c r="M6" s="15">
        <f t="shared" ref="M6:M59" si="5">IF(K6&gt;L6,K6-L6,0)</f>
        <v>210586.37408450703</v>
      </c>
      <c r="N6" s="2">
        <f t="shared" ref="N6:N68" si="6">-M6*N$4</f>
        <v>-150954.4325464782</v>
      </c>
      <c r="O6" s="138">
        <f t="shared" ref="O6:O59" si="7">N6+J6</f>
        <v>-1770089.9156839098</v>
      </c>
      <c r="P6" s="35">
        <f>O6/'D) Ecrêtage'!C6</f>
        <v>-9.89492711806116</v>
      </c>
      <c r="Q6" s="132"/>
    </row>
    <row r="7" spans="1:17" x14ac:dyDescent="0.25">
      <c r="A7" s="51">
        <f>+'A) Base RI'!A9</f>
        <v>5403</v>
      </c>
      <c r="B7" s="321" t="str">
        <f>+'A) Base RI'!B9</f>
        <v>Chessel</v>
      </c>
      <c r="C7" s="335">
        <f>+'D) Ecrêtage'!M7</f>
        <v>9797.3922972972978</v>
      </c>
      <c r="D7" s="310">
        <v>67506</v>
      </c>
      <c r="E7" s="335">
        <v>16358</v>
      </c>
      <c r="F7" s="310">
        <v>0</v>
      </c>
      <c r="G7" s="335">
        <f t="shared" si="0"/>
        <v>83864</v>
      </c>
      <c r="H7" s="310">
        <f t="shared" si="1"/>
        <v>78379.138378378382</v>
      </c>
      <c r="I7" s="10">
        <f t="shared" si="2"/>
        <v>5484.8616216216178</v>
      </c>
      <c r="J7" s="332">
        <f t="shared" si="3"/>
        <v>-3931.7081994848845</v>
      </c>
      <c r="K7" s="15">
        <v>49839</v>
      </c>
      <c r="L7" s="10">
        <f t="shared" si="4"/>
        <v>9797.3922972972978</v>
      </c>
      <c r="M7" s="15">
        <f t="shared" si="5"/>
        <v>40041.607702702706</v>
      </c>
      <c r="N7" s="2">
        <f t="shared" si="6"/>
        <v>-28702.988003319591</v>
      </c>
      <c r="O7" s="138">
        <f t="shared" si="7"/>
        <v>-32634.696202804476</v>
      </c>
      <c r="P7" s="35">
        <f>O7/'D) Ecrêtage'!C7</f>
        <v>-3.3309573825891468</v>
      </c>
      <c r="Q7" s="134"/>
    </row>
    <row r="8" spans="1:17" x14ac:dyDescent="0.25">
      <c r="A8" s="51">
        <f>+'A) Base RI'!A10</f>
        <v>5404</v>
      </c>
      <c r="B8" s="321" t="str">
        <f>+'A) Base RI'!B10</f>
        <v>Corbeyrier</v>
      </c>
      <c r="C8" s="335">
        <f>+'D) Ecrêtage'!M8</f>
        <v>10965.354952380952</v>
      </c>
      <c r="D8" s="310">
        <v>309439</v>
      </c>
      <c r="E8" s="335">
        <v>18211</v>
      </c>
      <c r="F8" s="310">
        <v>29438</v>
      </c>
      <c r="G8" s="335">
        <f t="shared" si="0"/>
        <v>357088</v>
      </c>
      <c r="H8" s="310">
        <f t="shared" si="1"/>
        <v>87722.83961904762</v>
      </c>
      <c r="I8" s="10">
        <f t="shared" si="2"/>
        <v>269365.16038095241</v>
      </c>
      <c r="J8" s="332">
        <f t="shared" si="3"/>
        <v>-193088.77466488123</v>
      </c>
      <c r="K8" s="15">
        <v>37564</v>
      </c>
      <c r="L8" s="10">
        <f t="shared" si="4"/>
        <v>10965.354952380952</v>
      </c>
      <c r="M8" s="15">
        <f t="shared" si="5"/>
        <v>26598.645047619048</v>
      </c>
      <c r="N8" s="2">
        <f t="shared" si="6"/>
        <v>-19066.681722043693</v>
      </c>
      <c r="O8" s="138">
        <f t="shared" si="7"/>
        <v>-212155.45638692493</v>
      </c>
      <c r="P8" s="35">
        <f>O8/'D) Ecrêtage'!C8</f>
        <v>-19.347796519879982</v>
      </c>
      <c r="Q8" s="134"/>
    </row>
    <row r="9" spans="1:17" x14ac:dyDescent="0.25">
      <c r="A9" s="51">
        <f>+'A) Base RI'!A11</f>
        <v>5405</v>
      </c>
      <c r="B9" s="321" t="str">
        <f>+'A) Base RI'!B11</f>
        <v>Gryon</v>
      </c>
      <c r="C9" s="335">
        <f>+'D) Ecrêtage'!M9</f>
        <v>69949.839511111102</v>
      </c>
      <c r="D9" s="310">
        <v>1473764</v>
      </c>
      <c r="E9" s="335">
        <v>146272</v>
      </c>
      <c r="F9" s="310">
        <v>38544</v>
      </c>
      <c r="G9" s="335">
        <f t="shared" si="0"/>
        <v>1658580</v>
      </c>
      <c r="H9" s="310">
        <f t="shared" si="1"/>
        <v>559598.71608888882</v>
      </c>
      <c r="I9" s="10">
        <f t="shared" si="2"/>
        <v>1098981.2839111113</v>
      </c>
      <c r="J9" s="332">
        <f t="shared" si="3"/>
        <v>-787781.72050879593</v>
      </c>
      <c r="K9" s="15">
        <v>44195</v>
      </c>
      <c r="L9" s="10">
        <f t="shared" si="4"/>
        <v>69949.839511111102</v>
      </c>
      <c r="M9" s="15">
        <f t="shared" si="5"/>
        <v>0</v>
      </c>
      <c r="N9" s="2">
        <f t="shared" si="6"/>
        <v>0</v>
      </c>
      <c r="O9" s="138">
        <f t="shared" si="7"/>
        <v>-787781.72050879593</v>
      </c>
      <c r="P9" s="35">
        <f>O9/'D) Ecrêtage'!C9</f>
        <v>-11.262094752678619</v>
      </c>
      <c r="Q9" s="134"/>
    </row>
    <row r="10" spans="1:17" x14ac:dyDescent="0.25">
      <c r="A10" s="51">
        <f>+'A) Base RI'!A12</f>
        <v>5406</v>
      </c>
      <c r="B10" s="321" t="str">
        <f>+'A) Base RI'!B12</f>
        <v>Lavey-Morcles</v>
      </c>
      <c r="C10" s="335">
        <f>+'D) Ecrêtage'!M10</f>
        <v>22205.009750812569</v>
      </c>
      <c r="D10" s="310">
        <v>315392</v>
      </c>
      <c r="E10" s="335">
        <v>38160</v>
      </c>
      <c r="F10" s="310">
        <v>25253</v>
      </c>
      <c r="G10" s="335">
        <f t="shared" si="0"/>
        <v>378805</v>
      </c>
      <c r="H10" s="310">
        <f t="shared" si="1"/>
        <v>177640.07800650055</v>
      </c>
      <c r="I10" s="10">
        <f t="shared" si="2"/>
        <v>201164.92199349945</v>
      </c>
      <c r="J10" s="332">
        <f t="shared" si="3"/>
        <v>-144200.86190191619</v>
      </c>
      <c r="K10" s="15">
        <v>28858</v>
      </c>
      <c r="L10" s="10">
        <f t="shared" si="4"/>
        <v>22205.009750812569</v>
      </c>
      <c r="M10" s="15">
        <f t="shared" si="5"/>
        <v>6652.9902491874309</v>
      </c>
      <c r="N10" s="2">
        <f t="shared" si="6"/>
        <v>-4769.0567453349204</v>
      </c>
      <c r="O10" s="138">
        <f t="shared" si="7"/>
        <v>-148969.91864725109</v>
      </c>
      <c r="P10" s="35">
        <f>O10/'D) Ecrêtage'!C10</f>
        <v>-6.7088427485063225</v>
      </c>
      <c r="Q10" s="134"/>
    </row>
    <row r="11" spans="1:17" x14ac:dyDescent="0.25">
      <c r="A11" s="51">
        <f>+'A) Base RI'!A13</f>
        <v>5407</v>
      </c>
      <c r="B11" s="321" t="str">
        <f>+'A) Base RI'!B13</f>
        <v>Leysin</v>
      </c>
      <c r="C11" s="335">
        <f>+'D) Ecrêtage'!M11</f>
        <v>89269.724615384606</v>
      </c>
      <c r="D11" s="310">
        <v>2337788</v>
      </c>
      <c r="E11" s="335">
        <v>786939</v>
      </c>
      <c r="F11" s="310">
        <v>184470</v>
      </c>
      <c r="G11" s="335">
        <f t="shared" si="0"/>
        <v>3309197</v>
      </c>
      <c r="H11" s="310">
        <f t="shared" si="1"/>
        <v>714157.79692307685</v>
      </c>
      <c r="I11" s="10">
        <f t="shared" si="2"/>
        <v>2595039.2030769233</v>
      </c>
      <c r="J11" s="332">
        <f t="shared" si="3"/>
        <v>-1860199.5121447982</v>
      </c>
      <c r="K11" s="15">
        <v>131471</v>
      </c>
      <c r="L11" s="10">
        <f t="shared" si="4"/>
        <v>89269.724615384606</v>
      </c>
      <c r="M11" s="15">
        <f t="shared" si="5"/>
        <v>42201.275384615394</v>
      </c>
      <c r="N11" s="2">
        <f t="shared" si="6"/>
        <v>-30251.100557274633</v>
      </c>
      <c r="O11" s="138">
        <f t="shared" si="7"/>
        <v>-1890450.6127020728</v>
      </c>
      <c r="P11" s="35">
        <f>O11/'D) Ecrêtage'!C11</f>
        <v>-21.176839301868704</v>
      </c>
      <c r="Q11" s="134"/>
    </row>
    <row r="12" spans="1:17" x14ac:dyDescent="0.25">
      <c r="A12" s="51">
        <f>+'A) Base RI'!A14</f>
        <v>5408</v>
      </c>
      <c r="B12" s="321" t="str">
        <f>+'A) Base RI'!B14</f>
        <v>Noville</v>
      </c>
      <c r="C12" s="335">
        <f>+'D) Ecrêtage'!M12</f>
        <v>34371.486709129509</v>
      </c>
      <c r="D12" s="310">
        <v>358596</v>
      </c>
      <c r="E12" s="335">
        <v>43706</v>
      </c>
      <c r="F12" s="310">
        <v>45882</v>
      </c>
      <c r="G12" s="335">
        <f t="shared" si="0"/>
        <v>448184</v>
      </c>
      <c r="H12" s="310">
        <f t="shared" si="1"/>
        <v>274971.89367303607</v>
      </c>
      <c r="I12" s="10">
        <f t="shared" si="2"/>
        <v>173212.10632696393</v>
      </c>
      <c r="J12" s="332">
        <f t="shared" si="3"/>
        <v>-124163.47132827502</v>
      </c>
      <c r="K12" s="15">
        <v>99954</v>
      </c>
      <c r="L12" s="10">
        <f t="shared" si="4"/>
        <v>34371.486709129509</v>
      </c>
      <c r="M12" s="15">
        <f t="shared" si="5"/>
        <v>65582.513290870498</v>
      </c>
      <c r="N12" s="2">
        <f t="shared" si="6"/>
        <v>-47011.451343107423</v>
      </c>
      <c r="O12" s="138">
        <f t="shared" si="7"/>
        <v>-171174.92267138243</v>
      </c>
      <c r="P12" s="35">
        <f>O12/'D) Ecrêtage'!C12</f>
        <v>-4.9801431087330936</v>
      </c>
      <c r="Q12" s="134"/>
    </row>
    <row r="13" spans="1:17" x14ac:dyDescent="0.25">
      <c r="A13" s="51">
        <f>+'A) Base RI'!A15</f>
        <v>5409</v>
      </c>
      <c r="B13" s="321" t="str">
        <f>+'A) Base RI'!B15</f>
        <v>Ollon</v>
      </c>
      <c r="C13" s="335">
        <f>+'D) Ecrêtage'!M13</f>
        <v>372011.63303167425</v>
      </c>
      <c r="D13" s="310">
        <v>4183226</v>
      </c>
      <c r="E13" s="335">
        <v>776905</v>
      </c>
      <c r="F13" s="310">
        <v>595941</v>
      </c>
      <c r="G13" s="335">
        <f t="shared" si="0"/>
        <v>5556072</v>
      </c>
      <c r="H13" s="310">
        <f t="shared" si="1"/>
        <v>2976093.064253394</v>
      </c>
      <c r="I13" s="10">
        <f t="shared" si="2"/>
        <v>2579978.935746606</v>
      </c>
      <c r="J13" s="332">
        <f t="shared" si="3"/>
        <v>-1849403.8748737276</v>
      </c>
      <c r="K13" s="15">
        <v>492509</v>
      </c>
      <c r="L13" s="10">
        <f t="shared" si="4"/>
        <v>372011.63303167425</v>
      </c>
      <c r="M13" s="15">
        <f t="shared" si="5"/>
        <v>120497.36696832575</v>
      </c>
      <c r="N13" s="2">
        <f t="shared" si="6"/>
        <v>-86376.014275021313</v>
      </c>
      <c r="O13" s="138">
        <f t="shared" si="7"/>
        <v>-1935779.8891487489</v>
      </c>
      <c r="P13" s="35">
        <f>O13/'D) Ecrêtage'!C13</f>
        <v>-5.2035466562518238</v>
      </c>
      <c r="Q13" s="134"/>
    </row>
    <row r="14" spans="1:17" x14ac:dyDescent="0.25">
      <c r="A14" s="51">
        <f>+'A) Base RI'!A16</f>
        <v>5410</v>
      </c>
      <c r="B14" s="321" t="str">
        <f>+'A) Base RI'!B16</f>
        <v>Ormont-Dessous</v>
      </c>
      <c r="C14" s="335">
        <f>+'D) Ecrêtage'!M14</f>
        <v>38315.886284501066</v>
      </c>
      <c r="D14" s="310">
        <v>1346262</v>
      </c>
      <c r="E14" s="335">
        <v>91468</v>
      </c>
      <c r="F14" s="310">
        <v>56963</v>
      </c>
      <c r="G14" s="335">
        <f t="shared" si="0"/>
        <v>1494693</v>
      </c>
      <c r="H14" s="310">
        <f t="shared" si="1"/>
        <v>306527.09027600853</v>
      </c>
      <c r="I14" s="10">
        <f t="shared" si="2"/>
        <v>1188165.9097239915</v>
      </c>
      <c r="J14" s="332">
        <f t="shared" si="3"/>
        <v>-851711.85198088619</v>
      </c>
      <c r="K14" s="15">
        <v>59464</v>
      </c>
      <c r="L14" s="10">
        <f t="shared" si="4"/>
        <v>38315.886284501066</v>
      </c>
      <c r="M14" s="15">
        <f t="shared" si="5"/>
        <v>21148.113715498934</v>
      </c>
      <c r="N14" s="2">
        <f t="shared" si="6"/>
        <v>-15159.582471705615</v>
      </c>
      <c r="O14" s="138">
        <f t="shared" si="7"/>
        <v>-866871.43445259181</v>
      </c>
      <c r="P14" s="35">
        <f>O14/'D) Ecrêtage'!C14</f>
        <v>-22.624334669331265</v>
      </c>
      <c r="Q14" s="134"/>
    </row>
    <row r="15" spans="1:17" x14ac:dyDescent="0.25">
      <c r="A15" s="51">
        <f>+'A) Base RI'!A17</f>
        <v>5411</v>
      </c>
      <c r="B15" s="321" t="str">
        <f>+'A) Base RI'!B17</f>
        <v>Ormont-Dessus</v>
      </c>
      <c r="C15" s="335">
        <f>+'D) Ecrêtage'!M15</f>
        <v>79923.40364035088</v>
      </c>
      <c r="D15" s="310">
        <v>1545747</v>
      </c>
      <c r="E15" s="335">
        <v>195773</v>
      </c>
      <c r="F15" s="310">
        <v>64411</v>
      </c>
      <c r="G15" s="335">
        <f t="shared" si="0"/>
        <v>1805931</v>
      </c>
      <c r="H15" s="310">
        <f t="shared" si="1"/>
        <v>639387.22912280704</v>
      </c>
      <c r="I15" s="10">
        <f t="shared" si="2"/>
        <v>1166543.770877193</v>
      </c>
      <c r="J15" s="332">
        <f t="shared" si="3"/>
        <v>-836212.47451997874</v>
      </c>
      <c r="K15" s="15">
        <v>132181</v>
      </c>
      <c r="L15" s="10">
        <f t="shared" si="4"/>
        <v>79923.40364035088</v>
      </c>
      <c r="M15" s="15">
        <f t="shared" si="5"/>
        <v>52257.59635964912</v>
      </c>
      <c r="N15" s="2">
        <f t="shared" si="6"/>
        <v>-37459.763667083818</v>
      </c>
      <c r="O15" s="138">
        <f t="shared" si="7"/>
        <v>-873672.23818706255</v>
      </c>
      <c r="P15" s="35">
        <f>O15/'D) Ecrêtage'!C15</f>
        <v>-10.931369265985216</v>
      </c>
      <c r="Q15" s="134"/>
    </row>
    <row r="16" spans="1:17" x14ac:dyDescent="0.25">
      <c r="A16" s="51">
        <f>+'A) Base RI'!A18</f>
        <v>5412</v>
      </c>
      <c r="B16" s="321" t="str">
        <f>+'A) Base RI'!B18</f>
        <v>Rennaz</v>
      </c>
      <c r="C16" s="335">
        <f>+'D) Ecrêtage'!M16</f>
        <v>31498.582370370365</v>
      </c>
      <c r="D16" s="310">
        <v>166443</v>
      </c>
      <c r="E16" s="335">
        <v>34891</v>
      </c>
      <c r="F16" s="310">
        <v>34576</v>
      </c>
      <c r="G16" s="335">
        <f t="shared" si="0"/>
        <v>235910</v>
      </c>
      <c r="H16" s="310">
        <f t="shared" si="1"/>
        <v>251988.65896296292</v>
      </c>
      <c r="I16" s="10">
        <f t="shared" si="2"/>
        <v>0</v>
      </c>
      <c r="J16" s="332">
        <f t="shared" si="3"/>
        <v>0</v>
      </c>
      <c r="K16" s="15">
        <v>18782</v>
      </c>
      <c r="L16" s="10">
        <f t="shared" si="4"/>
        <v>31498.582370370365</v>
      </c>
      <c r="M16" s="15">
        <f t="shared" si="5"/>
        <v>0</v>
      </c>
      <c r="N16" s="2">
        <f t="shared" si="6"/>
        <v>0</v>
      </c>
      <c r="O16" s="138">
        <f t="shared" si="7"/>
        <v>0</v>
      </c>
      <c r="P16" s="35">
        <f>O16/'D) Ecrêtage'!C16</f>
        <v>0</v>
      </c>
      <c r="Q16" s="134"/>
    </row>
    <row r="17" spans="1:17" x14ac:dyDescent="0.25">
      <c r="A17" s="51">
        <f>+'A) Base RI'!A19</f>
        <v>5413</v>
      </c>
      <c r="B17" s="321" t="str">
        <f>+'A) Base RI'!B19</f>
        <v>Roche</v>
      </c>
      <c r="C17" s="335">
        <f>+'D) Ecrêtage'!M17</f>
        <v>37711.950000000012</v>
      </c>
      <c r="D17" s="310">
        <v>177189</v>
      </c>
      <c r="E17" s="335">
        <v>102468</v>
      </c>
      <c r="F17" s="310">
        <v>69399</v>
      </c>
      <c r="G17" s="335">
        <f t="shared" si="0"/>
        <v>349056</v>
      </c>
      <c r="H17" s="310">
        <f t="shared" si="1"/>
        <v>301695.60000000009</v>
      </c>
      <c r="I17" s="10">
        <f t="shared" si="2"/>
        <v>47360.399999999907</v>
      </c>
      <c r="J17" s="332">
        <f t="shared" si="3"/>
        <v>-33949.311004829098</v>
      </c>
      <c r="K17" s="15">
        <v>27069</v>
      </c>
      <c r="L17" s="10">
        <f t="shared" si="4"/>
        <v>37711.950000000012</v>
      </c>
      <c r="M17" s="15">
        <f t="shared" si="5"/>
        <v>0</v>
      </c>
      <c r="N17" s="2">
        <f t="shared" si="6"/>
        <v>0</v>
      </c>
      <c r="O17" s="138">
        <f t="shared" si="7"/>
        <v>-33949.311004829098</v>
      </c>
      <c r="P17" s="35">
        <f>O17/'D) Ecrêtage'!C17</f>
        <v>-0.90022687781536326</v>
      </c>
      <c r="Q17" s="134"/>
    </row>
    <row r="18" spans="1:17" x14ac:dyDescent="0.25">
      <c r="A18" s="51">
        <f>+'A) Base RI'!A20</f>
        <v>5414</v>
      </c>
      <c r="B18" s="321" t="str">
        <f>+'A) Base RI'!B20</f>
        <v>Villeneuve</v>
      </c>
      <c r="C18" s="335">
        <f>+'D) Ecrêtage'!M18</f>
        <v>168706.05608695652</v>
      </c>
      <c r="D18" s="310">
        <v>2011324</v>
      </c>
      <c r="E18" s="335">
        <v>1038078</v>
      </c>
      <c r="F18" s="310">
        <v>218600</v>
      </c>
      <c r="G18" s="335">
        <f t="shared" si="0"/>
        <v>3268002</v>
      </c>
      <c r="H18" s="310">
        <f t="shared" si="1"/>
        <v>1349648.4486956522</v>
      </c>
      <c r="I18" s="10">
        <f t="shared" si="2"/>
        <v>1918353.5513043478</v>
      </c>
      <c r="J18" s="332">
        <f t="shared" si="3"/>
        <v>-1375131.5725891211</v>
      </c>
      <c r="K18" s="15">
        <v>358488</v>
      </c>
      <c r="L18" s="10">
        <f t="shared" si="4"/>
        <v>168706.05608695652</v>
      </c>
      <c r="M18" s="15">
        <f t="shared" si="5"/>
        <v>189781.94391304348</v>
      </c>
      <c r="N18" s="2">
        <f t="shared" si="6"/>
        <v>-136041.21242652001</v>
      </c>
      <c r="O18" s="138">
        <f t="shared" si="7"/>
        <v>-1511172.785015641</v>
      </c>
      <c r="P18" s="35">
        <f>O18/'D) Ecrêtage'!C18</f>
        <v>-8.9574305752055157</v>
      </c>
      <c r="Q18" s="134"/>
    </row>
    <row r="19" spans="1:17" x14ac:dyDescent="0.25">
      <c r="A19" s="51">
        <f>+'A) Base RI'!A21</f>
        <v>5415</v>
      </c>
      <c r="B19" s="321" t="str">
        <f>+'A) Base RI'!B21</f>
        <v>Yvorne</v>
      </c>
      <c r="C19" s="335">
        <f>+'D) Ecrêtage'!M19</f>
        <v>35013.467459207466</v>
      </c>
      <c r="D19" s="310">
        <v>188346</v>
      </c>
      <c r="E19" s="335">
        <v>43913</v>
      </c>
      <c r="F19" s="310">
        <v>171820</v>
      </c>
      <c r="G19" s="335">
        <f t="shared" si="0"/>
        <v>404079</v>
      </c>
      <c r="H19" s="310">
        <f t="shared" si="1"/>
        <v>280107.73967365973</v>
      </c>
      <c r="I19" s="10">
        <f t="shared" si="2"/>
        <v>123971.26032634027</v>
      </c>
      <c r="J19" s="332">
        <f t="shared" si="3"/>
        <v>-88866.201984771353</v>
      </c>
      <c r="K19" s="15">
        <v>46508</v>
      </c>
      <c r="L19" s="10">
        <f t="shared" si="4"/>
        <v>35013.467459207466</v>
      </c>
      <c r="M19" s="15">
        <f t="shared" si="5"/>
        <v>11494.532540792534</v>
      </c>
      <c r="N19" s="2">
        <f t="shared" si="6"/>
        <v>-8239.6149543182692</v>
      </c>
      <c r="O19" s="138">
        <f t="shared" si="7"/>
        <v>-97105.816939089622</v>
      </c>
      <c r="P19" s="35">
        <f>O19/'D) Ecrêtage'!C19</f>
        <v>-2.7733847569431109</v>
      </c>
      <c r="Q19" s="134"/>
    </row>
    <row r="20" spans="1:17" x14ac:dyDescent="0.25">
      <c r="A20" s="51">
        <f>+'A) Base RI'!A22</f>
        <v>5421</v>
      </c>
      <c r="B20" s="321" t="str">
        <f>+'A) Base RI'!B22</f>
        <v>Apples</v>
      </c>
      <c r="C20" s="335">
        <f>+'D) Ecrêtage'!M20</f>
        <v>59328.525131578965</v>
      </c>
      <c r="D20" s="310">
        <v>401743</v>
      </c>
      <c r="E20" s="335">
        <v>122659</v>
      </c>
      <c r="F20" s="310">
        <v>177946</v>
      </c>
      <c r="G20" s="335">
        <f t="shared" si="0"/>
        <v>702348</v>
      </c>
      <c r="H20" s="310">
        <f t="shared" si="1"/>
        <v>474628.20105263172</v>
      </c>
      <c r="I20" s="10">
        <f t="shared" si="2"/>
        <v>227719.79894736828</v>
      </c>
      <c r="J20" s="332">
        <f t="shared" si="3"/>
        <v>-163236.16938246667</v>
      </c>
      <c r="K20" s="15">
        <v>63445</v>
      </c>
      <c r="L20" s="10">
        <f t="shared" si="4"/>
        <v>59328.525131578965</v>
      </c>
      <c r="M20" s="15">
        <f t="shared" si="5"/>
        <v>4116.4748684210354</v>
      </c>
      <c r="N20" s="2">
        <f t="shared" si="6"/>
        <v>-2950.8088097142117</v>
      </c>
      <c r="O20" s="138">
        <f t="shared" si="7"/>
        <v>-166186.97819218089</v>
      </c>
      <c r="P20" s="35">
        <f>O20/'D) Ecrêtage'!C20</f>
        <v>-2.8011311224004127</v>
      </c>
      <c r="Q20" s="134"/>
    </row>
    <row r="21" spans="1:17" x14ac:dyDescent="0.25">
      <c r="A21" s="51">
        <f>+'A) Base RI'!A23</f>
        <v>5422</v>
      </c>
      <c r="B21" s="321" t="str">
        <f>+'A) Base RI'!B23</f>
        <v>Aubonne</v>
      </c>
      <c r="C21" s="335">
        <f>+'D) Ecrêtage'!M21</f>
        <v>243071.90261791559</v>
      </c>
      <c r="D21" s="310">
        <v>1488017</v>
      </c>
      <c r="E21" s="335">
        <v>117517</v>
      </c>
      <c r="F21" s="310">
        <v>375511</v>
      </c>
      <c r="G21" s="335">
        <f t="shared" si="0"/>
        <v>1981045</v>
      </c>
      <c r="H21" s="310">
        <f t="shared" si="1"/>
        <v>1944575.2209433247</v>
      </c>
      <c r="I21" s="10">
        <f t="shared" si="2"/>
        <v>36469.779056675266</v>
      </c>
      <c r="J21" s="332">
        <f t="shared" si="3"/>
        <v>-26142.597433139792</v>
      </c>
      <c r="K21" s="15">
        <v>170201</v>
      </c>
      <c r="L21" s="10">
        <f t="shared" si="4"/>
        <v>243071.90261791559</v>
      </c>
      <c r="M21" s="15">
        <f t="shared" si="5"/>
        <v>0</v>
      </c>
      <c r="N21" s="2">
        <f t="shared" si="6"/>
        <v>0</v>
      </c>
      <c r="O21" s="138">
        <f t="shared" si="7"/>
        <v>-26142.597433139792</v>
      </c>
      <c r="P21" s="35">
        <f>O21/'D) Ecrêtage'!C21</f>
        <v>-9.861449344035865E-2</v>
      </c>
      <c r="Q21" s="134"/>
    </row>
    <row r="22" spans="1:17" x14ac:dyDescent="0.25">
      <c r="A22" s="51">
        <f>+'A) Base RI'!A24</f>
        <v>5423</v>
      </c>
      <c r="B22" s="321" t="str">
        <f>+'A) Base RI'!B24</f>
        <v>Ballens</v>
      </c>
      <c r="C22" s="335">
        <f>+'D) Ecrêtage'!M22</f>
        <v>16703.466521739134</v>
      </c>
      <c r="D22" s="310">
        <v>96126</v>
      </c>
      <c r="E22" s="335">
        <v>44129</v>
      </c>
      <c r="F22" s="310">
        <v>68516</v>
      </c>
      <c r="G22" s="335">
        <f t="shared" si="0"/>
        <v>208771</v>
      </c>
      <c r="H22" s="310">
        <f t="shared" si="1"/>
        <v>133627.73217391307</v>
      </c>
      <c r="I22" s="10">
        <f t="shared" si="2"/>
        <v>75143.267826086929</v>
      </c>
      <c r="J22" s="332">
        <f t="shared" si="3"/>
        <v>-53864.878027782666</v>
      </c>
      <c r="K22" s="15">
        <v>6584</v>
      </c>
      <c r="L22" s="10">
        <f t="shared" si="4"/>
        <v>16703.466521739134</v>
      </c>
      <c r="M22" s="15">
        <f t="shared" si="5"/>
        <v>0</v>
      </c>
      <c r="N22" s="2">
        <f t="shared" si="6"/>
        <v>0</v>
      </c>
      <c r="O22" s="138">
        <f t="shared" si="7"/>
        <v>-53864.878027782666</v>
      </c>
      <c r="P22" s="35">
        <f>O22/'D) Ecrêtage'!C22</f>
        <v>-3.2247724122222716</v>
      </c>
      <c r="Q22" s="134"/>
    </row>
    <row r="23" spans="1:17" x14ac:dyDescent="0.25">
      <c r="A23" s="51">
        <f>+'A) Base RI'!A25</f>
        <v>5424</v>
      </c>
      <c r="B23" s="321" t="str">
        <f>+'A) Base RI'!B25</f>
        <v>Berolle</v>
      </c>
      <c r="C23" s="335">
        <f>+'D) Ecrêtage'!M23</f>
        <v>11342.941168831172</v>
      </c>
      <c r="D23" s="310">
        <v>59102</v>
      </c>
      <c r="E23" s="335">
        <v>10524</v>
      </c>
      <c r="F23" s="310">
        <v>36957</v>
      </c>
      <c r="G23" s="335">
        <f t="shared" si="0"/>
        <v>106583</v>
      </c>
      <c r="H23" s="310">
        <f t="shared" si="1"/>
        <v>90743.529350649376</v>
      </c>
      <c r="I23" s="10">
        <f t="shared" si="2"/>
        <v>15839.470649350624</v>
      </c>
      <c r="J23" s="332">
        <f t="shared" si="3"/>
        <v>-11354.192853663983</v>
      </c>
      <c r="K23" s="15">
        <v>-873</v>
      </c>
      <c r="L23" s="10">
        <f t="shared" si="4"/>
        <v>11342.941168831172</v>
      </c>
      <c r="M23" s="15">
        <f t="shared" si="5"/>
        <v>0</v>
      </c>
      <c r="N23" s="2">
        <f t="shared" si="6"/>
        <v>0</v>
      </c>
      <c r="O23" s="138">
        <f t="shared" si="7"/>
        <v>-11354.192853663983</v>
      </c>
      <c r="P23" s="35">
        <f>O23/'D) Ecrêtage'!C23</f>
        <v>-1.0009919547906789</v>
      </c>
      <c r="Q23" s="134"/>
    </row>
    <row r="24" spans="1:17" x14ac:dyDescent="0.25">
      <c r="A24" s="51">
        <f>+'A) Base RI'!A26</f>
        <v>5425</v>
      </c>
      <c r="B24" s="321" t="str">
        <f>+'A) Base RI'!B26</f>
        <v>Bière</v>
      </c>
      <c r="C24" s="335">
        <f>+'D) Ecrêtage'!M24</f>
        <v>41451.382114604457</v>
      </c>
      <c r="D24" s="310">
        <v>526376</v>
      </c>
      <c r="E24" s="335">
        <v>136890</v>
      </c>
      <c r="F24" s="310">
        <v>193884</v>
      </c>
      <c r="G24" s="335">
        <f t="shared" si="0"/>
        <v>857150</v>
      </c>
      <c r="H24" s="310">
        <f t="shared" si="1"/>
        <v>331611.05691683566</v>
      </c>
      <c r="I24" s="10">
        <f t="shared" si="2"/>
        <v>525538.94308316428</v>
      </c>
      <c r="J24" s="332">
        <f t="shared" si="3"/>
        <v>-376721.58647054411</v>
      </c>
      <c r="K24" s="15">
        <v>266178</v>
      </c>
      <c r="L24" s="10">
        <f t="shared" si="4"/>
        <v>41451.382114604457</v>
      </c>
      <c r="M24" s="15">
        <f t="shared" si="5"/>
        <v>224726.61788539554</v>
      </c>
      <c r="N24" s="2">
        <f t="shared" si="6"/>
        <v>-161090.57021593352</v>
      </c>
      <c r="O24" s="138">
        <f t="shared" si="7"/>
        <v>-537812.1566864776</v>
      </c>
      <c r="P24" s="35">
        <f>O24/'D) Ecrêtage'!C24</f>
        <v>-12.974528936080798</v>
      </c>
      <c r="Q24" s="134"/>
    </row>
    <row r="25" spans="1:17" x14ac:dyDescent="0.25">
      <c r="A25" s="51">
        <f>+'A) Base RI'!A27</f>
        <v>5426</v>
      </c>
      <c r="B25" s="321" t="str">
        <f>+'A) Base RI'!B27</f>
        <v>Bougy-Villars</v>
      </c>
      <c r="C25" s="335">
        <f>+'D) Ecrêtage'!M25</f>
        <v>41849.005745343922</v>
      </c>
      <c r="D25" s="310">
        <v>57450</v>
      </c>
      <c r="E25" s="335">
        <v>13127</v>
      </c>
      <c r="F25" s="310">
        <v>49045</v>
      </c>
      <c r="G25" s="335">
        <f t="shared" si="0"/>
        <v>119622</v>
      </c>
      <c r="H25" s="310">
        <f t="shared" si="1"/>
        <v>334792.04596275138</v>
      </c>
      <c r="I25" s="10">
        <f t="shared" si="2"/>
        <v>0</v>
      </c>
      <c r="J25" s="332">
        <f t="shared" si="3"/>
        <v>0</v>
      </c>
      <c r="K25" s="15">
        <v>4233</v>
      </c>
      <c r="L25" s="10">
        <f t="shared" si="4"/>
        <v>41849.005745343922</v>
      </c>
      <c r="M25" s="15">
        <f t="shared" si="5"/>
        <v>0</v>
      </c>
      <c r="N25" s="2">
        <f t="shared" si="6"/>
        <v>0</v>
      </c>
      <c r="O25" s="138">
        <f t="shared" si="7"/>
        <v>0</v>
      </c>
      <c r="P25" s="35">
        <f>O25/'D) Ecrêtage'!C25</f>
        <v>0</v>
      </c>
      <c r="Q25" s="134"/>
    </row>
    <row r="26" spans="1:17" x14ac:dyDescent="0.25">
      <c r="A26" s="51">
        <f>+'A) Base RI'!A28</f>
        <v>5427</v>
      </c>
      <c r="B26" s="321" t="str">
        <f>+'A) Base RI'!B28</f>
        <v>Féchy</v>
      </c>
      <c r="C26" s="335">
        <f>+'D) Ecrêtage'!M26</f>
        <v>71582.758278952533</v>
      </c>
      <c r="D26" s="310">
        <v>171727</v>
      </c>
      <c r="E26" s="335">
        <v>37707</v>
      </c>
      <c r="F26" s="310">
        <v>104956</v>
      </c>
      <c r="G26" s="335">
        <f t="shared" si="0"/>
        <v>314390</v>
      </c>
      <c r="H26" s="310">
        <f t="shared" si="1"/>
        <v>572662.06623162027</v>
      </c>
      <c r="I26" s="10">
        <f t="shared" si="2"/>
        <v>0</v>
      </c>
      <c r="J26" s="332">
        <f t="shared" si="3"/>
        <v>0</v>
      </c>
      <c r="K26" s="15">
        <v>-804</v>
      </c>
      <c r="L26" s="10">
        <f t="shared" si="4"/>
        <v>71582.758278952533</v>
      </c>
      <c r="M26" s="15">
        <f t="shared" si="5"/>
        <v>0</v>
      </c>
      <c r="N26" s="2">
        <f t="shared" si="6"/>
        <v>0</v>
      </c>
      <c r="O26" s="138">
        <f t="shared" si="7"/>
        <v>0</v>
      </c>
      <c r="P26" s="35">
        <f>O26/'D) Ecrêtage'!C26</f>
        <v>0</v>
      </c>
      <c r="Q26" s="134"/>
    </row>
    <row r="27" spans="1:17" x14ac:dyDescent="0.25">
      <c r="A27" s="51">
        <f>+'A) Base RI'!A29</f>
        <v>5428</v>
      </c>
      <c r="B27" s="321" t="str">
        <f>+'A) Base RI'!B29</f>
        <v>Gimel</v>
      </c>
      <c r="C27" s="335">
        <f>+'D) Ecrêtage'!M27</f>
        <v>62694.643076923086</v>
      </c>
      <c r="D27" s="310">
        <v>586116</v>
      </c>
      <c r="E27" s="335">
        <v>98799</v>
      </c>
      <c r="F27" s="310">
        <v>252430</v>
      </c>
      <c r="G27" s="335">
        <f t="shared" si="0"/>
        <v>937345</v>
      </c>
      <c r="H27" s="310">
        <f t="shared" si="1"/>
        <v>501557.14461538469</v>
      </c>
      <c r="I27" s="10">
        <f t="shared" si="2"/>
        <v>435787.85538461531</v>
      </c>
      <c r="J27" s="332">
        <f t="shared" si="3"/>
        <v>-312385.39865752443</v>
      </c>
      <c r="K27" s="15">
        <v>351142</v>
      </c>
      <c r="L27" s="10">
        <f t="shared" si="4"/>
        <v>62694.643076923086</v>
      </c>
      <c r="M27" s="15">
        <f t="shared" si="5"/>
        <v>288447.35692307691</v>
      </c>
      <c r="N27" s="2">
        <f t="shared" si="6"/>
        <v>-206767.44767152518</v>
      </c>
      <c r="O27" s="138">
        <f t="shared" si="7"/>
        <v>-519152.84632904961</v>
      </c>
      <c r="P27" s="35">
        <f>O27/'D) Ecrêtage'!C27</f>
        <v>-8.2806571797860933</v>
      </c>
      <c r="Q27" s="134"/>
    </row>
    <row r="28" spans="1:17" x14ac:dyDescent="0.25">
      <c r="A28" s="51">
        <f>+'A) Base RI'!A30</f>
        <v>5429</v>
      </c>
      <c r="B28" s="321" t="str">
        <f>+'A) Base RI'!B30</f>
        <v>Longirod</v>
      </c>
      <c r="C28" s="335">
        <f>+'D) Ecrêtage'!M28</f>
        <v>14895.063209876542</v>
      </c>
      <c r="D28" s="310">
        <v>177280</v>
      </c>
      <c r="E28" s="335">
        <v>16521</v>
      </c>
      <c r="F28" s="310">
        <v>45585</v>
      </c>
      <c r="G28" s="335">
        <f t="shared" si="0"/>
        <v>239386</v>
      </c>
      <c r="H28" s="310">
        <f t="shared" si="1"/>
        <v>119160.50567901233</v>
      </c>
      <c r="I28" s="10">
        <f t="shared" si="2"/>
        <v>120225.49432098767</v>
      </c>
      <c r="J28" s="332">
        <f t="shared" si="3"/>
        <v>-86181.12806083844</v>
      </c>
      <c r="K28" s="15">
        <v>27083</v>
      </c>
      <c r="L28" s="10">
        <f t="shared" si="4"/>
        <v>14895.063209876542</v>
      </c>
      <c r="M28" s="15">
        <f t="shared" si="5"/>
        <v>12187.936790123458</v>
      </c>
      <c r="N28" s="2">
        <f t="shared" si="6"/>
        <v>-8736.6672704432513</v>
      </c>
      <c r="O28" s="138">
        <f t="shared" si="7"/>
        <v>-94917.795331281697</v>
      </c>
      <c r="P28" s="35">
        <f>O28/'D) Ecrêtage'!C28</f>
        <v>-6.3724332011121705</v>
      </c>
      <c r="Q28" s="134"/>
    </row>
    <row r="29" spans="1:17" x14ac:dyDescent="0.25">
      <c r="A29" s="51">
        <f>+'A) Base RI'!A31</f>
        <v>5430</v>
      </c>
      <c r="B29" s="321" t="str">
        <f>+'A) Base RI'!B31</f>
        <v>Marchissy</v>
      </c>
      <c r="C29" s="335">
        <f>+'D) Ecrêtage'!M29</f>
        <v>13624.129113924049</v>
      </c>
      <c r="D29" s="310">
        <v>151062</v>
      </c>
      <c r="E29" s="335">
        <v>15444</v>
      </c>
      <c r="F29" s="310">
        <v>45277</v>
      </c>
      <c r="G29" s="335">
        <f t="shared" si="0"/>
        <v>211783</v>
      </c>
      <c r="H29" s="310">
        <f t="shared" si="1"/>
        <v>108993.03291139239</v>
      </c>
      <c r="I29" s="10">
        <f t="shared" si="2"/>
        <v>102789.96708860761</v>
      </c>
      <c r="J29" s="332">
        <f t="shared" si="3"/>
        <v>-73682.835467337558</v>
      </c>
      <c r="K29" s="15">
        <v>190871</v>
      </c>
      <c r="L29" s="10">
        <f t="shared" si="4"/>
        <v>13624.129113924049</v>
      </c>
      <c r="M29" s="15">
        <f t="shared" si="5"/>
        <v>177246.87088607595</v>
      </c>
      <c r="N29" s="2">
        <f t="shared" si="6"/>
        <v>-127055.70781378941</v>
      </c>
      <c r="O29" s="138">
        <f t="shared" si="7"/>
        <v>-200738.54328112697</v>
      </c>
      <c r="P29" s="35">
        <f>O29/'D) Ecrêtage'!C29</f>
        <v>-14.734045868368158</v>
      </c>
      <c r="Q29" s="134"/>
    </row>
    <row r="30" spans="1:17" x14ac:dyDescent="0.25">
      <c r="A30" s="51">
        <f>+'A) Base RI'!A32</f>
        <v>5431</v>
      </c>
      <c r="B30" s="321" t="str">
        <f>+'A) Base RI'!B32</f>
        <v>Mollens</v>
      </c>
      <c r="C30" s="335">
        <f>+'D) Ecrêtage'!M30</f>
        <v>8975.9641891891897</v>
      </c>
      <c r="D30" s="310">
        <v>16448</v>
      </c>
      <c r="E30" s="335">
        <v>10251</v>
      </c>
      <c r="F30" s="310">
        <v>30560</v>
      </c>
      <c r="G30" s="335">
        <f t="shared" si="0"/>
        <v>57259</v>
      </c>
      <c r="H30" s="310">
        <f t="shared" si="1"/>
        <v>71807.713513513518</v>
      </c>
      <c r="I30" s="10">
        <f t="shared" si="2"/>
        <v>0</v>
      </c>
      <c r="J30" s="332">
        <f t="shared" si="3"/>
        <v>0</v>
      </c>
      <c r="K30" s="15">
        <v>38633</v>
      </c>
      <c r="L30" s="10">
        <f t="shared" si="4"/>
        <v>8975.9641891891897</v>
      </c>
      <c r="M30" s="15">
        <f t="shared" si="5"/>
        <v>29657.035810810812</v>
      </c>
      <c r="N30" s="2">
        <f t="shared" si="6"/>
        <v>-21259.025097393016</v>
      </c>
      <c r="O30" s="138">
        <f t="shared" si="7"/>
        <v>-21259.025097393016</v>
      </c>
      <c r="P30" s="35">
        <f>O30/'D) Ecrêtage'!C30</f>
        <v>-2.3684391614438214</v>
      </c>
      <c r="Q30" s="134"/>
    </row>
    <row r="31" spans="1:17" x14ac:dyDescent="0.25">
      <c r="A31" s="51">
        <f>+'A) Base RI'!A33</f>
        <v>5432</v>
      </c>
      <c r="B31" s="321" t="str">
        <f>+'A) Base RI'!B33</f>
        <v>Montherod</v>
      </c>
      <c r="C31" s="335">
        <f>+'D) Ecrêtage'!M31</f>
        <v>18019.761538461538</v>
      </c>
      <c r="D31" s="310">
        <v>53563</v>
      </c>
      <c r="E31" s="335">
        <v>18748</v>
      </c>
      <c r="F31" s="310">
        <v>62066</v>
      </c>
      <c r="G31" s="335">
        <f t="shared" si="0"/>
        <v>134377</v>
      </c>
      <c r="H31" s="310">
        <f t="shared" si="1"/>
        <v>144158.09230769231</v>
      </c>
      <c r="I31" s="10">
        <f t="shared" si="2"/>
        <v>0</v>
      </c>
      <c r="J31" s="332">
        <f t="shared" si="3"/>
        <v>0</v>
      </c>
      <c r="K31" s="15">
        <v>5333</v>
      </c>
      <c r="L31" s="10">
        <f t="shared" si="4"/>
        <v>18019.761538461538</v>
      </c>
      <c r="M31" s="15">
        <f t="shared" si="5"/>
        <v>0</v>
      </c>
      <c r="N31" s="2">
        <f t="shared" si="6"/>
        <v>0</v>
      </c>
      <c r="O31" s="138">
        <f t="shared" si="7"/>
        <v>0</v>
      </c>
      <c r="P31" s="35">
        <f>O31/'D) Ecrêtage'!C31</f>
        <v>0</v>
      </c>
      <c r="Q31" s="134"/>
    </row>
    <row r="32" spans="1:17" x14ac:dyDescent="0.25">
      <c r="A32" s="51">
        <f>+'A) Base RI'!A34</f>
        <v>5434</v>
      </c>
      <c r="B32" s="321" t="str">
        <f>+'A) Base RI'!B34</f>
        <v>Saint-George</v>
      </c>
      <c r="C32" s="335">
        <f>+'D) Ecrêtage'!M32</f>
        <v>37243.682394366202</v>
      </c>
      <c r="D32" s="310">
        <v>205739</v>
      </c>
      <c r="E32" s="335">
        <v>52074</v>
      </c>
      <c r="F32" s="310">
        <v>105444</v>
      </c>
      <c r="G32" s="335">
        <f t="shared" si="0"/>
        <v>363257</v>
      </c>
      <c r="H32" s="310">
        <f t="shared" si="1"/>
        <v>297949.45915492962</v>
      </c>
      <c r="I32" s="10">
        <f t="shared" si="2"/>
        <v>65307.540845070384</v>
      </c>
      <c r="J32" s="332">
        <f t="shared" si="3"/>
        <v>-46814.343103307365</v>
      </c>
      <c r="K32" s="15">
        <v>59333</v>
      </c>
      <c r="L32" s="10">
        <f t="shared" si="4"/>
        <v>37243.682394366202</v>
      </c>
      <c r="M32" s="15">
        <f t="shared" si="5"/>
        <v>22089.317605633798</v>
      </c>
      <c r="N32" s="2">
        <f t="shared" si="6"/>
        <v>-15834.2647713725</v>
      </c>
      <c r="O32" s="138">
        <f t="shared" si="7"/>
        <v>-62648.607874679867</v>
      </c>
      <c r="P32" s="35">
        <f>O32/'D) Ecrêtage'!C32</f>
        <v>-1.6821271111515179</v>
      </c>
      <c r="Q32" s="134"/>
    </row>
    <row r="33" spans="1:17" x14ac:dyDescent="0.25">
      <c r="A33" s="51">
        <f>+'A) Base RI'!A35</f>
        <v>5435</v>
      </c>
      <c r="B33" s="321" t="str">
        <f>+'A) Base RI'!B35</f>
        <v>Saint-Livres</v>
      </c>
      <c r="C33" s="335">
        <f>+'D) Ecrêtage'!M33</f>
        <v>25784.308260869562</v>
      </c>
      <c r="D33" s="310">
        <v>129742</v>
      </c>
      <c r="E33" s="335">
        <v>44936</v>
      </c>
      <c r="F33" s="310">
        <v>83303</v>
      </c>
      <c r="G33" s="335">
        <f t="shared" si="0"/>
        <v>257981</v>
      </c>
      <c r="H33" s="310">
        <f t="shared" si="1"/>
        <v>206274.4660869565</v>
      </c>
      <c r="I33" s="10">
        <f t="shared" si="2"/>
        <v>51706.533913043502</v>
      </c>
      <c r="J33" s="332">
        <f t="shared" si="3"/>
        <v>-37064.746091579887</v>
      </c>
      <c r="K33" s="15">
        <v>-46931</v>
      </c>
      <c r="L33" s="10">
        <f t="shared" si="4"/>
        <v>25784.308260869562</v>
      </c>
      <c r="M33" s="15">
        <f t="shared" si="5"/>
        <v>0</v>
      </c>
      <c r="N33" s="2">
        <f t="shared" si="6"/>
        <v>0</v>
      </c>
      <c r="O33" s="138">
        <f t="shared" si="7"/>
        <v>-37064.746091579887</v>
      </c>
      <c r="P33" s="35">
        <f>O33/'D) Ecrêtage'!C33</f>
        <v>-1.4374923583980568</v>
      </c>
      <c r="Q33" s="134"/>
    </row>
    <row r="34" spans="1:17" x14ac:dyDescent="0.25">
      <c r="A34" s="51">
        <f>+'A) Base RI'!A36</f>
        <v>5436</v>
      </c>
      <c r="B34" s="321" t="str">
        <f>+'A) Base RI'!B36</f>
        <v>Saint-Oyens</v>
      </c>
      <c r="C34" s="335">
        <f>+'D) Ecrêtage'!M34</f>
        <v>11330.196234567902</v>
      </c>
      <c r="D34" s="310">
        <v>169809</v>
      </c>
      <c r="E34" s="335">
        <v>10054</v>
      </c>
      <c r="F34" s="310">
        <v>32345</v>
      </c>
      <c r="G34" s="335">
        <f t="shared" si="0"/>
        <v>212208</v>
      </c>
      <c r="H34" s="310">
        <f t="shared" si="1"/>
        <v>90641.569876543217</v>
      </c>
      <c r="I34" s="10">
        <f t="shared" si="2"/>
        <v>121566.43012345678</v>
      </c>
      <c r="J34" s="332">
        <f t="shared" si="3"/>
        <v>-87142.349811405031</v>
      </c>
      <c r="K34" s="15">
        <v>62256</v>
      </c>
      <c r="L34" s="10">
        <f t="shared" si="4"/>
        <v>11330.196234567902</v>
      </c>
      <c r="M34" s="15">
        <f t="shared" si="5"/>
        <v>50925.803765432094</v>
      </c>
      <c r="N34" s="2">
        <f t="shared" si="6"/>
        <v>-36505.096033892332</v>
      </c>
      <c r="O34" s="138">
        <f t="shared" si="7"/>
        <v>-123647.44584529736</v>
      </c>
      <c r="P34" s="35">
        <f>O34/'D) Ecrêtage'!C34</f>
        <v>-10.913089525144741</v>
      </c>
      <c r="Q34" s="134"/>
    </row>
    <row r="35" spans="1:17" x14ac:dyDescent="0.25">
      <c r="A35" s="51">
        <f>+'A) Base RI'!A37</f>
        <v>5437</v>
      </c>
      <c r="B35" s="321" t="str">
        <f>+'A) Base RI'!B37</f>
        <v>Saubraz</v>
      </c>
      <c r="C35" s="335">
        <f>+'D) Ecrêtage'!M35</f>
        <v>9948.7022499999985</v>
      </c>
      <c r="D35" s="310">
        <v>87142</v>
      </c>
      <c r="E35" s="335">
        <v>10057</v>
      </c>
      <c r="F35" s="310">
        <v>60643</v>
      </c>
      <c r="G35" s="335">
        <f t="shared" si="0"/>
        <v>157842</v>
      </c>
      <c r="H35" s="310">
        <f t="shared" si="1"/>
        <v>79589.617999999988</v>
      </c>
      <c r="I35" s="10">
        <f t="shared" si="2"/>
        <v>78252.382000000012</v>
      </c>
      <c r="J35" s="332">
        <f t="shared" si="3"/>
        <v>-56093.581417950358</v>
      </c>
      <c r="K35" s="15">
        <v>23231</v>
      </c>
      <c r="L35" s="10">
        <f t="shared" si="4"/>
        <v>9948.7022499999985</v>
      </c>
      <c r="M35" s="15">
        <f t="shared" si="5"/>
        <v>13282.297750000002</v>
      </c>
      <c r="N35" s="2">
        <f t="shared" si="6"/>
        <v>-9521.1370084182709</v>
      </c>
      <c r="O35" s="138">
        <f t="shared" si="7"/>
        <v>-65614.718426368636</v>
      </c>
      <c r="P35" s="35">
        <f>O35/'D) Ecrêtage'!C35</f>
        <v>-6.5953042695964337</v>
      </c>
      <c r="Q35" s="134"/>
    </row>
    <row r="36" spans="1:17" x14ac:dyDescent="0.25">
      <c r="A36" s="51">
        <f>+'A) Base RI'!A38</f>
        <v>5451</v>
      </c>
      <c r="B36" s="321" t="str">
        <f>+'A) Base RI'!B38</f>
        <v>Avenches</v>
      </c>
      <c r="C36" s="335">
        <f>+'D) Ecrêtage'!M36</f>
        <v>97584.0206372549</v>
      </c>
      <c r="D36" s="310">
        <v>1743500</v>
      </c>
      <c r="E36" s="335">
        <v>541645</v>
      </c>
      <c r="F36" s="310">
        <v>547685</v>
      </c>
      <c r="G36" s="335">
        <f t="shared" si="0"/>
        <v>2832830</v>
      </c>
      <c r="H36" s="310">
        <f t="shared" si="1"/>
        <v>780672.1650980392</v>
      </c>
      <c r="I36" s="10">
        <f t="shared" si="2"/>
        <v>2052157.8349019608</v>
      </c>
      <c r="J36" s="332">
        <f t="shared" si="3"/>
        <v>-1471046.3714006539</v>
      </c>
      <c r="K36" s="15">
        <v>184305</v>
      </c>
      <c r="L36" s="10">
        <f t="shared" si="4"/>
        <v>97584.0206372549</v>
      </c>
      <c r="M36" s="15">
        <f t="shared" si="5"/>
        <v>86720.9793627451</v>
      </c>
      <c r="N36" s="2">
        <f t="shared" si="6"/>
        <v>-62164.118103504305</v>
      </c>
      <c r="O36" s="138">
        <f t="shared" si="7"/>
        <v>-1533210.4895041583</v>
      </c>
      <c r="P36" s="35">
        <f>O36/'D) Ecrêtage'!C36</f>
        <v>-15.711696233582126</v>
      </c>
      <c r="Q36" s="134"/>
    </row>
    <row r="37" spans="1:17" x14ac:dyDescent="0.25">
      <c r="A37" s="51">
        <f>+'A) Base RI'!A39</f>
        <v>5456</v>
      </c>
      <c r="B37" s="321" t="str">
        <f>+'A) Base RI'!B39</f>
        <v>Cudrefin</v>
      </c>
      <c r="C37" s="335">
        <f>+'D) Ecrêtage'!M37</f>
        <v>55901.49875706216</v>
      </c>
      <c r="D37" s="310">
        <v>555536</v>
      </c>
      <c r="E37" s="335">
        <v>70819</v>
      </c>
      <c r="F37" s="310">
        <v>225158</v>
      </c>
      <c r="G37" s="335">
        <f t="shared" si="0"/>
        <v>851513</v>
      </c>
      <c r="H37" s="310">
        <f t="shared" si="1"/>
        <v>447211.99005649728</v>
      </c>
      <c r="I37" s="10">
        <f t="shared" si="2"/>
        <v>404301.00994350272</v>
      </c>
      <c r="J37" s="332">
        <f t="shared" si="3"/>
        <v>-289814.71284318762</v>
      </c>
      <c r="K37" s="15">
        <v>23042</v>
      </c>
      <c r="L37" s="10">
        <f t="shared" si="4"/>
        <v>55901.49875706216</v>
      </c>
      <c r="M37" s="15">
        <f t="shared" si="5"/>
        <v>0</v>
      </c>
      <c r="N37" s="2">
        <f t="shared" si="6"/>
        <v>0</v>
      </c>
      <c r="O37" s="138">
        <f t="shared" si="7"/>
        <v>-289814.71284318762</v>
      </c>
      <c r="P37" s="35">
        <f>O37/'D) Ecrêtage'!C37</f>
        <v>-5.1843818016878247</v>
      </c>
      <c r="Q37" s="134"/>
    </row>
    <row r="38" spans="1:17" x14ac:dyDescent="0.25">
      <c r="A38" s="51">
        <f>+'A) Base RI'!A40</f>
        <v>5458</v>
      </c>
      <c r="B38" s="321" t="str">
        <f>+'A) Base RI'!B40</f>
        <v>Faoug</v>
      </c>
      <c r="C38" s="335">
        <f>+'D) Ecrêtage'!M38</f>
        <v>34800.236562500002</v>
      </c>
      <c r="D38" s="310">
        <v>231904</v>
      </c>
      <c r="E38" s="335">
        <v>52829</v>
      </c>
      <c r="F38" s="310">
        <v>110690</v>
      </c>
      <c r="G38" s="335">
        <f t="shared" si="0"/>
        <v>395423</v>
      </c>
      <c r="H38" s="310">
        <f t="shared" si="1"/>
        <v>278401.89250000002</v>
      </c>
      <c r="I38" s="10">
        <f t="shared" si="2"/>
        <v>117021.10749999998</v>
      </c>
      <c r="J38" s="332">
        <f t="shared" si="3"/>
        <v>-83884.130468641437</v>
      </c>
      <c r="K38" s="15">
        <v>27145</v>
      </c>
      <c r="L38" s="10">
        <f t="shared" si="4"/>
        <v>34800.236562500002</v>
      </c>
      <c r="M38" s="15">
        <f t="shared" si="5"/>
        <v>0</v>
      </c>
      <c r="N38" s="2">
        <f t="shared" si="6"/>
        <v>0</v>
      </c>
      <c r="O38" s="138">
        <f t="shared" si="7"/>
        <v>-83884.130468641437</v>
      </c>
      <c r="P38" s="35">
        <f>O38/'D) Ecrêtage'!C38</f>
        <v>-2.4104471335414197</v>
      </c>
      <c r="Q38" s="134"/>
    </row>
    <row r="39" spans="1:17" x14ac:dyDescent="0.25">
      <c r="A39" s="51">
        <f>+'A) Base RI'!A41</f>
        <v>5464</v>
      </c>
      <c r="B39" s="321" t="str">
        <f>+'A) Base RI'!B41</f>
        <v>Vully-les-Lacs</v>
      </c>
      <c r="C39" s="335">
        <f>+'D) Ecrêtage'!M39</f>
        <v>98954.06119402984</v>
      </c>
      <c r="D39" s="310">
        <v>927313</v>
      </c>
      <c r="E39" s="335">
        <v>133668</v>
      </c>
      <c r="F39" s="310">
        <v>371559</v>
      </c>
      <c r="G39" s="335">
        <f t="shared" si="0"/>
        <v>1432540</v>
      </c>
      <c r="H39" s="310">
        <f t="shared" si="1"/>
        <v>791632.48955223872</v>
      </c>
      <c r="I39" s="10">
        <f t="shared" si="2"/>
        <v>640907.51044776128</v>
      </c>
      <c r="J39" s="332">
        <f t="shared" si="3"/>
        <v>-459421.12814760528</v>
      </c>
      <c r="K39" s="15">
        <v>49883</v>
      </c>
      <c r="L39" s="10">
        <f t="shared" si="4"/>
        <v>98954.06119402984</v>
      </c>
      <c r="M39" s="15">
        <f t="shared" si="5"/>
        <v>0</v>
      </c>
      <c r="N39" s="2">
        <f t="shared" si="6"/>
        <v>0</v>
      </c>
      <c r="O39" s="138">
        <f t="shared" si="7"/>
        <v>-459421.12814760528</v>
      </c>
      <c r="P39" s="35">
        <f>O39/'D) Ecrêtage'!C39</f>
        <v>-4.6427718337579797</v>
      </c>
      <c r="Q39" s="134"/>
    </row>
    <row r="40" spans="1:17" x14ac:dyDescent="0.25">
      <c r="A40" s="51">
        <f>+'A) Base RI'!A42</f>
        <v>5471</v>
      </c>
      <c r="B40" s="321" t="str">
        <f>+'A) Base RI'!B42</f>
        <v>Bettens</v>
      </c>
      <c r="C40" s="335">
        <f>+'D) Ecrêtage'!M40</f>
        <v>19215.411857142855</v>
      </c>
      <c r="D40" s="310">
        <v>62345</v>
      </c>
      <c r="E40" s="335">
        <v>17209</v>
      </c>
      <c r="F40" s="310">
        <v>52817</v>
      </c>
      <c r="G40" s="335">
        <f t="shared" si="0"/>
        <v>132371</v>
      </c>
      <c r="H40" s="310">
        <f t="shared" si="1"/>
        <v>153723.29485714284</v>
      </c>
      <c r="I40" s="10">
        <f t="shared" si="2"/>
        <v>0</v>
      </c>
      <c r="J40" s="332">
        <f t="shared" si="3"/>
        <v>0</v>
      </c>
      <c r="K40" s="15">
        <v>473</v>
      </c>
      <c r="L40" s="10">
        <f t="shared" si="4"/>
        <v>19215.411857142855</v>
      </c>
      <c r="M40" s="15">
        <f t="shared" si="5"/>
        <v>0</v>
      </c>
      <c r="N40" s="2">
        <f t="shared" si="6"/>
        <v>0</v>
      </c>
      <c r="O40" s="138">
        <f t="shared" si="7"/>
        <v>0</v>
      </c>
      <c r="P40" s="35">
        <f>O40/'D) Ecrêtage'!C40</f>
        <v>0</v>
      </c>
      <c r="Q40" s="134"/>
    </row>
    <row r="41" spans="1:17" x14ac:dyDescent="0.25">
      <c r="A41" s="51">
        <f>+'A) Base RI'!A43</f>
        <v>5472</v>
      </c>
      <c r="B41" s="321" t="str">
        <f>+'A) Base RI'!B43</f>
        <v>Bournens</v>
      </c>
      <c r="C41" s="335">
        <f>+'D) Ecrêtage'!M41</f>
        <v>15134.969000000003</v>
      </c>
      <c r="D41" s="310">
        <v>50527</v>
      </c>
      <c r="E41" s="335">
        <v>10903</v>
      </c>
      <c r="F41" s="310">
        <v>22100</v>
      </c>
      <c r="G41" s="335">
        <f t="shared" si="0"/>
        <v>83530</v>
      </c>
      <c r="H41" s="310">
        <f t="shared" si="1"/>
        <v>121079.75200000002</v>
      </c>
      <c r="I41" s="10">
        <f t="shared" si="2"/>
        <v>0</v>
      </c>
      <c r="J41" s="332">
        <f t="shared" si="3"/>
        <v>0</v>
      </c>
      <c r="K41" s="15">
        <v>64148</v>
      </c>
      <c r="L41" s="10">
        <f t="shared" si="4"/>
        <v>15134.969000000003</v>
      </c>
      <c r="M41" s="15">
        <f t="shared" si="5"/>
        <v>49013.030999999995</v>
      </c>
      <c r="N41" s="2">
        <f t="shared" si="6"/>
        <v>-35133.964930793089</v>
      </c>
      <c r="O41" s="138">
        <f t="shared" si="7"/>
        <v>-35133.964930793089</v>
      </c>
      <c r="P41" s="35">
        <f>O41/'D) Ecrêtage'!C41</f>
        <v>-2.3213767356109605</v>
      </c>
      <c r="Q41" s="134"/>
    </row>
    <row r="42" spans="1:17" x14ac:dyDescent="0.25">
      <c r="A42" s="51">
        <f>+'A) Base RI'!A44</f>
        <v>5473</v>
      </c>
      <c r="B42" s="321" t="str">
        <f>+'A) Base RI'!B44</f>
        <v>Boussens</v>
      </c>
      <c r="C42" s="335">
        <f>+'D) Ecrêtage'!M42</f>
        <v>33278.780724637691</v>
      </c>
      <c r="D42" s="310">
        <v>48202</v>
      </c>
      <c r="E42" s="335">
        <v>43316</v>
      </c>
      <c r="F42" s="310">
        <v>47710</v>
      </c>
      <c r="G42" s="335">
        <f t="shared" si="0"/>
        <v>139228</v>
      </c>
      <c r="H42" s="310">
        <f t="shared" si="1"/>
        <v>266230.24579710152</v>
      </c>
      <c r="I42" s="10">
        <f t="shared" si="2"/>
        <v>0</v>
      </c>
      <c r="J42" s="332">
        <f t="shared" si="3"/>
        <v>0</v>
      </c>
      <c r="K42" s="15">
        <v>10209</v>
      </c>
      <c r="L42" s="10">
        <f t="shared" si="4"/>
        <v>33278.780724637691</v>
      </c>
      <c r="M42" s="15">
        <f t="shared" si="5"/>
        <v>0</v>
      </c>
      <c r="N42" s="2">
        <f t="shared" si="6"/>
        <v>0</v>
      </c>
      <c r="O42" s="138">
        <f t="shared" si="7"/>
        <v>0</v>
      </c>
      <c r="P42" s="35">
        <f>O42/'D) Ecrêtage'!C42</f>
        <v>0</v>
      </c>
      <c r="Q42" s="134"/>
    </row>
    <row r="43" spans="1:17" x14ac:dyDescent="0.25">
      <c r="A43" s="51">
        <f>+'A) Base RI'!A45</f>
        <v>5474</v>
      </c>
      <c r="B43" s="321" t="str">
        <f>+'A) Base RI'!B45</f>
        <v>La Chaux (Cossonay)</v>
      </c>
      <c r="C43" s="335">
        <f>+'D) Ecrêtage'!M43</f>
        <v>13413.30380952381</v>
      </c>
      <c r="D43" s="310">
        <v>167131</v>
      </c>
      <c r="E43" s="335">
        <v>14629</v>
      </c>
      <c r="F43" s="310">
        <v>43807</v>
      </c>
      <c r="G43" s="335">
        <f t="shared" si="0"/>
        <v>225567</v>
      </c>
      <c r="H43" s="310">
        <f t="shared" si="1"/>
        <v>107306.43047619048</v>
      </c>
      <c r="I43" s="10">
        <f t="shared" si="2"/>
        <v>118260.56952380952</v>
      </c>
      <c r="J43" s="332">
        <f t="shared" si="3"/>
        <v>-84772.612865854826</v>
      </c>
      <c r="K43" s="15">
        <v>33719</v>
      </c>
      <c r="L43" s="10">
        <f t="shared" si="4"/>
        <v>13413.30380952381</v>
      </c>
      <c r="M43" s="15">
        <f t="shared" si="5"/>
        <v>20305.696190476192</v>
      </c>
      <c r="N43" s="2">
        <f t="shared" si="6"/>
        <v>-14555.713109265358</v>
      </c>
      <c r="O43" s="138">
        <f t="shared" si="7"/>
        <v>-99328.325975120184</v>
      </c>
      <c r="P43" s="35">
        <f>O43/'D) Ecrêtage'!C43</f>
        <v>-7.4052095878566755</v>
      </c>
      <c r="Q43" s="134"/>
    </row>
    <row r="44" spans="1:17" x14ac:dyDescent="0.25">
      <c r="A44" s="51">
        <f>+'A) Base RI'!A46</f>
        <v>5475</v>
      </c>
      <c r="B44" s="321" t="str">
        <f>+'A) Base RI'!B46</f>
        <v>Chavannes-le-Veyron</v>
      </c>
      <c r="C44" s="335">
        <f>+'D) Ecrêtage'!M44</f>
        <v>3783.0914285714284</v>
      </c>
      <c r="D44" s="310">
        <v>26856</v>
      </c>
      <c r="E44" s="335">
        <v>4969</v>
      </c>
      <c r="F44" s="310">
        <v>27332</v>
      </c>
      <c r="G44" s="335">
        <f t="shared" si="0"/>
        <v>59157</v>
      </c>
      <c r="H44" s="310">
        <f t="shared" si="1"/>
        <v>30264.731428571427</v>
      </c>
      <c r="I44" s="10">
        <f t="shared" si="2"/>
        <v>28892.268571428573</v>
      </c>
      <c r="J44" s="332">
        <f t="shared" si="3"/>
        <v>-20710.817716203408</v>
      </c>
      <c r="K44" s="15">
        <v>31885</v>
      </c>
      <c r="L44" s="10">
        <f t="shared" si="4"/>
        <v>3783.0914285714284</v>
      </c>
      <c r="M44" s="15">
        <f t="shared" si="5"/>
        <v>28101.908571428572</v>
      </c>
      <c r="N44" s="2">
        <f t="shared" si="6"/>
        <v>-20144.264700481901</v>
      </c>
      <c r="O44" s="138">
        <f t="shared" si="7"/>
        <v>-40855.082416685313</v>
      </c>
      <c r="P44" s="35">
        <f>O44/'D) Ecrêtage'!C44</f>
        <v>-10.79939070679902</v>
      </c>
      <c r="Q44" s="134"/>
    </row>
    <row r="45" spans="1:17" x14ac:dyDescent="0.25">
      <c r="A45" s="51">
        <f>+'A) Base RI'!A47</f>
        <v>5476</v>
      </c>
      <c r="B45" s="321" t="str">
        <f>+'A) Base RI'!B47</f>
        <v>Chevilly</v>
      </c>
      <c r="C45" s="335">
        <f>+'D) Ecrêtage'!M45</f>
        <v>10089.483198198201</v>
      </c>
      <c r="D45" s="310">
        <v>27977</v>
      </c>
      <c r="E45" s="335">
        <v>32877</v>
      </c>
      <c r="F45" s="310">
        <v>64870</v>
      </c>
      <c r="G45" s="335">
        <f t="shared" si="0"/>
        <v>125724</v>
      </c>
      <c r="H45" s="310">
        <f t="shared" si="1"/>
        <v>80715.865585585605</v>
      </c>
      <c r="I45" s="10">
        <f t="shared" si="2"/>
        <v>45008.134414414395</v>
      </c>
      <c r="J45" s="332">
        <f t="shared" si="3"/>
        <v>-32263.138676660437</v>
      </c>
      <c r="K45" s="15">
        <v>1593</v>
      </c>
      <c r="L45" s="10">
        <f t="shared" si="4"/>
        <v>10089.483198198201</v>
      </c>
      <c r="M45" s="15">
        <f t="shared" si="5"/>
        <v>0</v>
      </c>
      <c r="N45" s="2">
        <f t="shared" si="6"/>
        <v>0</v>
      </c>
      <c r="O45" s="138">
        <f t="shared" si="7"/>
        <v>-32263.138676660437</v>
      </c>
      <c r="P45" s="35">
        <f>O45/'D) Ecrêtage'!C45</f>
        <v>-3.1976998269269186</v>
      </c>
      <c r="Q45" s="134"/>
    </row>
    <row r="46" spans="1:17" x14ac:dyDescent="0.25">
      <c r="A46" s="51">
        <f>+'A) Base RI'!A48</f>
        <v>5477</v>
      </c>
      <c r="B46" s="321" t="str">
        <f>+'A) Base RI'!B48</f>
        <v>Cossonay</v>
      </c>
      <c r="C46" s="335">
        <f>+'D) Ecrêtage'!M46</f>
        <v>126013.2271830986</v>
      </c>
      <c r="D46" s="310">
        <v>1049226</v>
      </c>
      <c r="E46" s="335">
        <v>315508</v>
      </c>
      <c r="F46" s="310">
        <v>383790</v>
      </c>
      <c r="G46" s="335">
        <f t="shared" si="0"/>
        <v>1748524</v>
      </c>
      <c r="H46" s="310">
        <f t="shared" si="1"/>
        <v>1008105.8174647888</v>
      </c>
      <c r="I46" s="10">
        <f t="shared" si="2"/>
        <v>740418.18253521121</v>
      </c>
      <c r="J46" s="332">
        <f t="shared" si="3"/>
        <v>-530753.2696623815</v>
      </c>
      <c r="K46" s="15">
        <v>68487</v>
      </c>
      <c r="L46" s="10">
        <f t="shared" si="4"/>
        <v>126013.2271830986</v>
      </c>
      <c r="M46" s="15">
        <f t="shared" si="5"/>
        <v>0</v>
      </c>
      <c r="N46" s="2">
        <f t="shared" si="6"/>
        <v>0</v>
      </c>
      <c r="O46" s="138">
        <f t="shared" si="7"/>
        <v>-530753.2696623815</v>
      </c>
      <c r="P46" s="35">
        <f>O46/'D) Ecrêtage'!C46</f>
        <v>-4.2118853832002188</v>
      </c>
      <c r="Q46" s="134"/>
    </row>
    <row r="47" spans="1:17" x14ac:dyDescent="0.25">
      <c r="A47" s="51">
        <f>+'A) Base RI'!A49</f>
        <v>5478</v>
      </c>
      <c r="B47" s="321" t="str">
        <f>+'A) Base RI'!B49</f>
        <v>Cottens</v>
      </c>
      <c r="C47" s="335">
        <f>+'D) Ecrêtage'!M47</f>
        <v>17030.362972972973</v>
      </c>
      <c r="D47" s="310">
        <v>91235</v>
      </c>
      <c r="E47" s="335">
        <v>16783</v>
      </c>
      <c r="F47" s="310">
        <v>67449</v>
      </c>
      <c r="G47" s="335">
        <f t="shared" si="0"/>
        <v>175467</v>
      </c>
      <c r="H47" s="310">
        <f t="shared" si="1"/>
        <v>136242.90378378378</v>
      </c>
      <c r="I47" s="10">
        <f t="shared" si="2"/>
        <v>39224.096216216218</v>
      </c>
      <c r="J47" s="332">
        <f t="shared" si="3"/>
        <v>-28116.972013067189</v>
      </c>
      <c r="K47" s="15">
        <v>-216</v>
      </c>
      <c r="L47" s="10">
        <f t="shared" si="4"/>
        <v>17030.362972972973</v>
      </c>
      <c r="M47" s="15">
        <f t="shared" si="5"/>
        <v>0</v>
      </c>
      <c r="N47" s="2">
        <f t="shared" si="6"/>
        <v>0</v>
      </c>
      <c r="O47" s="138">
        <f t="shared" si="7"/>
        <v>-28116.972013067189</v>
      </c>
      <c r="P47" s="35">
        <f>O47/'D) Ecrêtage'!C47</f>
        <v>-1.6509907661797085</v>
      </c>
      <c r="Q47" s="134"/>
    </row>
    <row r="48" spans="1:17" x14ac:dyDescent="0.25">
      <c r="A48" s="51">
        <f>+'A) Base RI'!A50</f>
        <v>5479</v>
      </c>
      <c r="B48" s="321" t="str">
        <f>+'A) Base RI'!B50</f>
        <v>Cuarnens</v>
      </c>
      <c r="C48" s="335">
        <f>+'D) Ecrêtage'!M48</f>
        <v>19628.392987012987</v>
      </c>
      <c r="D48" s="310">
        <v>118664</v>
      </c>
      <c r="E48" s="335">
        <v>16714</v>
      </c>
      <c r="F48" s="310">
        <v>101456</v>
      </c>
      <c r="G48" s="335">
        <f t="shared" si="0"/>
        <v>236834</v>
      </c>
      <c r="H48" s="310">
        <f t="shared" si="1"/>
        <v>157027.14389610389</v>
      </c>
      <c r="I48" s="10">
        <f t="shared" si="2"/>
        <v>79806.856103896105</v>
      </c>
      <c r="J48" s="332">
        <f t="shared" si="3"/>
        <v>-57207.873628365</v>
      </c>
      <c r="K48" s="15">
        <v>87165</v>
      </c>
      <c r="L48" s="10">
        <f t="shared" si="4"/>
        <v>19628.392987012987</v>
      </c>
      <c r="M48" s="15">
        <f t="shared" si="5"/>
        <v>67536.60701298702</v>
      </c>
      <c r="N48" s="2">
        <f t="shared" si="6"/>
        <v>-48412.202508737741</v>
      </c>
      <c r="O48" s="138">
        <f t="shared" si="7"/>
        <v>-105620.07613710273</v>
      </c>
      <c r="P48" s="35">
        <f>O48/'D) Ecrêtage'!C48</f>
        <v>-5.3809843835399898</v>
      </c>
      <c r="Q48" s="134"/>
    </row>
    <row r="49" spans="1:17" x14ac:dyDescent="0.25">
      <c r="A49" s="51">
        <f>+'A) Base RI'!A51</f>
        <v>5480</v>
      </c>
      <c r="B49" s="321" t="str">
        <f>+'A) Base RI'!B51</f>
        <v>Daillens</v>
      </c>
      <c r="C49" s="335">
        <f>+'D) Ecrêtage'!M49</f>
        <v>41809.315211267603</v>
      </c>
      <c r="D49" s="310">
        <v>326233</v>
      </c>
      <c r="E49" s="335">
        <v>74418</v>
      </c>
      <c r="F49" s="310">
        <v>104153</v>
      </c>
      <c r="G49" s="335">
        <f t="shared" si="0"/>
        <v>504804</v>
      </c>
      <c r="H49" s="310">
        <f t="shared" si="1"/>
        <v>334474.52169014083</v>
      </c>
      <c r="I49" s="10">
        <f t="shared" si="2"/>
        <v>170329.47830985917</v>
      </c>
      <c r="J49" s="332">
        <f t="shared" si="3"/>
        <v>-122097.1197969551</v>
      </c>
      <c r="K49" s="15">
        <v>8187</v>
      </c>
      <c r="L49" s="10">
        <f t="shared" si="4"/>
        <v>41809.315211267603</v>
      </c>
      <c r="M49" s="15">
        <f t="shared" si="5"/>
        <v>0</v>
      </c>
      <c r="N49" s="2">
        <f t="shared" si="6"/>
        <v>0</v>
      </c>
      <c r="O49" s="138">
        <f t="shared" si="7"/>
        <v>-122097.1197969551</v>
      </c>
      <c r="P49" s="35">
        <f>O49/'D) Ecrêtage'!C49</f>
        <v>-2.9203329253297587</v>
      </c>
      <c r="Q49" s="134"/>
    </row>
    <row r="50" spans="1:17" x14ac:dyDescent="0.25">
      <c r="A50" s="51">
        <f>+'A) Base RI'!A52</f>
        <v>5481</v>
      </c>
      <c r="B50" s="321" t="str">
        <f>+'A) Base RI'!B52</f>
        <v>Dizy</v>
      </c>
      <c r="C50" s="335">
        <f>+'D) Ecrêtage'!M50</f>
        <v>8477.634430379745</v>
      </c>
      <c r="D50" s="310">
        <v>54748</v>
      </c>
      <c r="E50" s="335">
        <v>0</v>
      </c>
      <c r="F50" s="310">
        <v>22452</v>
      </c>
      <c r="G50" s="335">
        <f t="shared" si="0"/>
        <v>77200</v>
      </c>
      <c r="H50" s="310">
        <f t="shared" si="1"/>
        <v>67821.07544303796</v>
      </c>
      <c r="I50" s="10">
        <f t="shared" si="2"/>
        <v>9378.9245569620398</v>
      </c>
      <c r="J50" s="332">
        <f t="shared" si="3"/>
        <v>-6723.0856723155603</v>
      </c>
      <c r="K50" s="15">
        <v>7619</v>
      </c>
      <c r="L50" s="10">
        <f t="shared" si="4"/>
        <v>8477.634430379745</v>
      </c>
      <c r="M50" s="15">
        <f t="shared" si="5"/>
        <v>0</v>
      </c>
      <c r="N50" s="2">
        <f t="shared" si="6"/>
        <v>0</v>
      </c>
      <c r="O50" s="138">
        <f t="shared" si="7"/>
        <v>-6723.0856723155603</v>
      </c>
      <c r="P50" s="35">
        <f>O50/'D) Ecrêtage'!C50</f>
        <v>-0.79303793145683066</v>
      </c>
      <c r="Q50" s="134"/>
    </row>
    <row r="51" spans="1:17" x14ac:dyDescent="0.25">
      <c r="A51" s="51">
        <f>+'A) Base RI'!A53</f>
        <v>5482</v>
      </c>
      <c r="B51" s="321" t="str">
        <f>+'A) Base RI'!B53</f>
        <v>Eclépens</v>
      </c>
      <c r="C51" s="335">
        <f>+'D) Ecrêtage'!M51</f>
        <v>50368.719782608692</v>
      </c>
      <c r="D51" s="310">
        <v>198832</v>
      </c>
      <c r="E51" s="335">
        <v>90604</v>
      </c>
      <c r="F51" s="310">
        <v>211313</v>
      </c>
      <c r="G51" s="335">
        <f t="shared" si="0"/>
        <v>500749</v>
      </c>
      <c r="H51" s="310">
        <f t="shared" si="1"/>
        <v>402949.75826086954</v>
      </c>
      <c r="I51" s="10">
        <f t="shared" si="2"/>
        <v>97799.241739130463</v>
      </c>
      <c r="J51" s="332">
        <f t="shared" si="3"/>
        <v>-70105.338507238324</v>
      </c>
      <c r="K51" s="15">
        <v>69902</v>
      </c>
      <c r="L51" s="10">
        <f t="shared" si="4"/>
        <v>50368.719782608692</v>
      </c>
      <c r="M51" s="15">
        <f t="shared" si="5"/>
        <v>19533.280217391308</v>
      </c>
      <c r="N51" s="2">
        <f t="shared" si="6"/>
        <v>-14002.022893486848</v>
      </c>
      <c r="O51" s="138">
        <f t="shared" si="7"/>
        <v>-84107.361400725174</v>
      </c>
      <c r="P51" s="35">
        <f>O51/'D) Ecrêtage'!C51</f>
        <v>-1.669833217197745</v>
      </c>
      <c r="Q51" s="134"/>
    </row>
    <row r="52" spans="1:17" x14ac:dyDescent="0.25">
      <c r="A52" s="51">
        <f>+'A) Base RI'!A54</f>
        <v>5483</v>
      </c>
      <c r="B52" s="321" t="str">
        <f>+'A) Base RI'!B54</f>
        <v>Ferreyres</v>
      </c>
      <c r="C52" s="335">
        <f>+'D) Ecrêtage'!M52</f>
        <v>12305.209605263159</v>
      </c>
      <c r="D52" s="310">
        <v>26430</v>
      </c>
      <c r="E52" s="335">
        <v>10980</v>
      </c>
      <c r="F52" s="310">
        <v>70659</v>
      </c>
      <c r="G52" s="335">
        <f t="shared" si="0"/>
        <v>108069</v>
      </c>
      <c r="H52" s="310">
        <f t="shared" si="1"/>
        <v>98441.676842105269</v>
      </c>
      <c r="I52" s="10">
        <f t="shared" si="2"/>
        <v>9627.3231578947307</v>
      </c>
      <c r="J52" s="332">
        <f t="shared" si="3"/>
        <v>-6901.1450078834268</v>
      </c>
      <c r="K52" s="15">
        <v>10871</v>
      </c>
      <c r="L52" s="10">
        <f t="shared" si="4"/>
        <v>12305.209605263159</v>
      </c>
      <c r="M52" s="15">
        <f t="shared" si="5"/>
        <v>0</v>
      </c>
      <c r="N52" s="2">
        <f t="shared" si="6"/>
        <v>0</v>
      </c>
      <c r="O52" s="138">
        <f t="shared" si="7"/>
        <v>-6901.1450078834268</v>
      </c>
      <c r="P52" s="35">
        <f>O52/'D) Ecrêtage'!C52</f>
        <v>-0.56083116251280141</v>
      </c>
      <c r="Q52" s="134"/>
    </row>
    <row r="53" spans="1:17" x14ac:dyDescent="0.25">
      <c r="A53" s="51">
        <f>+'A) Base RI'!A55</f>
        <v>5484</v>
      </c>
      <c r="B53" s="321" t="str">
        <f>+'A) Base RI'!B55</f>
        <v>Gollion</v>
      </c>
      <c r="C53" s="335">
        <f>+'D) Ecrêtage'!M53</f>
        <v>34769.525540540541</v>
      </c>
      <c r="D53" s="310">
        <v>246285</v>
      </c>
      <c r="E53" s="335">
        <v>64421</v>
      </c>
      <c r="F53" s="310">
        <v>81046</v>
      </c>
      <c r="G53" s="335">
        <f t="shared" si="0"/>
        <v>391752</v>
      </c>
      <c r="H53" s="310">
        <f t="shared" si="1"/>
        <v>278156.20432432432</v>
      </c>
      <c r="I53" s="10">
        <f t="shared" si="2"/>
        <v>113595.79567567568</v>
      </c>
      <c r="J53" s="332">
        <f t="shared" si="3"/>
        <v>-81428.767414011309</v>
      </c>
      <c r="K53" s="15">
        <v>98671</v>
      </c>
      <c r="L53" s="10">
        <f t="shared" si="4"/>
        <v>34769.525540540541</v>
      </c>
      <c r="M53" s="15">
        <f t="shared" si="5"/>
        <v>63901.474459459459</v>
      </c>
      <c r="N53" s="2">
        <f t="shared" si="6"/>
        <v>-45806.433858061522</v>
      </c>
      <c r="O53" s="138">
        <f t="shared" si="7"/>
        <v>-127235.20127207282</v>
      </c>
      <c r="P53" s="35">
        <f>O53/'D) Ecrêtage'!C53</f>
        <v>-3.6593884815517321</v>
      </c>
      <c r="Q53" s="134"/>
    </row>
    <row r="54" spans="1:17" x14ac:dyDescent="0.25">
      <c r="A54" s="51">
        <f>+'A) Base RI'!A56</f>
        <v>5485</v>
      </c>
      <c r="B54" s="321" t="str">
        <f>+'A) Base RI'!B56</f>
        <v>Grancy</v>
      </c>
      <c r="C54" s="335">
        <f>+'D) Ecrêtage'!M54</f>
        <v>17864.595714285719</v>
      </c>
      <c r="D54" s="310">
        <v>61788</v>
      </c>
      <c r="E54" s="335">
        <v>14177</v>
      </c>
      <c r="F54" s="310">
        <v>38244</v>
      </c>
      <c r="G54" s="335">
        <f t="shared" si="0"/>
        <v>114209</v>
      </c>
      <c r="H54" s="310">
        <f t="shared" si="1"/>
        <v>142916.76571428575</v>
      </c>
      <c r="I54" s="10">
        <f t="shared" si="2"/>
        <v>0</v>
      </c>
      <c r="J54" s="332">
        <f t="shared" si="3"/>
        <v>0</v>
      </c>
      <c r="K54" s="15">
        <v>64906</v>
      </c>
      <c r="L54" s="10">
        <f t="shared" si="4"/>
        <v>17864.595714285719</v>
      </c>
      <c r="M54" s="15">
        <f t="shared" si="5"/>
        <v>47041.404285714278</v>
      </c>
      <c r="N54" s="2">
        <f t="shared" si="6"/>
        <v>-33720.645606870246</v>
      </c>
      <c r="O54" s="138">
        <f t="shared" si="7"/>
        <v>-33720.645606870246</v>
      </c>
      <c r="P54" s="35">
        <f>O54/'D) Ecrêtage'!C54</f>
        <v>-1.8875683584546488</v>
      </c>
      <c r="Q54" s="134"/>
    </row>
    <row r="55" spans="1:17" x14ac:dyDescent="0.25">
      <c r="A55" s="51">
        <f>+'A) Base RI'!A57</f>
        <v>5486</v>
      </c>
      <c r="B55" s="321" t="str">
        <f>+'A) Base RI'!B57</f>
        <v>L'Isle</v>
      </c>
      <c r="C55" s="335">
        <f>+'D) Ecrêtage'!M55</f>
        <v>26187.199605263158</v>
      </c>
      <c r="D55" s="310">
        <v>302955</v>
      </c>
      <c r="E55" s="335">
        <v>73130</v>
      </c>
      <c r="F55" s="310">
        <v>183202</v>
      </c>
      <c r="G55" s="335">
        <f t="shared" si="0"/>
        <v>559287</v>
      </c>
      <c r="H55" s="310">
        <f t="shared" si="1"/>
        <v>209497.59684210527</v>
      </c>
      <c r="I55" s="10">
        <f t="shared" si="2"/>
        <v>349789.40315789473</v>
      </c>
      <c r="J55" s="332">
        <f t="shared" si="3"/>
        <v>-250739.20900163305</v>
      </c>
      <c r="K55" s="15">
        <v>114968</v>
      </c>
      <c r="L55" s="10">
        <f t="shared" si="4"/>
        <v>26187.199605263158</v>
      </c>
      <c r="M55" s="15">
        <f t="shared" si="5"/>
        <v>88780.800394736842</v>
      </c>
      <c r="N55" s="2">
        <f t="shared" si="6"/>
        <v>-63640.657677270057</v>
      </c>
      <c r="O55" s="138">
        <f t="shared" si="7"/>
        <v>-314379.86667890311</v>
      </c>
      <c r="P55" s="35">
        <f>O55/'D) Ecrêtage'!C55</f>
        <v>-12.005096818970991</v>
      </c>
      <c r="Q55" s="134"/>
    </row>
    <row r="56" spans="1:17" x14ac:dyDescent="0.25">
      <c r="A56" s="51">
        <f>+'A) Base RI'!A58</f>
        <v>5487</v>
      </c>
      <c r="B56" s="321" t="str">
        <f>+'A) Base RI'!B58</f>
        <v>Lussery-Villars</v>
      </c>
      <c r="C56" s="335">
        <f>+'D) Ecrêtage'!M56</f>
        <v>14370.481805555557</v>
      </c>
      <c r="D56" s="310">
        <v>56586</v>
      </c>
      <c r="E56" s="335">
        <v>34933</v>
      </c>
      <c r="F56" s="310">
        <v>40134</v>
      </c>
      <c r="G56" s="335">
        <f t="shared" si="0"/>
        <v>131653</v>
      </c>
      <c r="H56" s="310">
        <f t="shared" si="1"/>
        <v>114963.85444444446</v>
      </c>
      <c r="I56" s="10">
        <f t="shared" si="2"/>
        <v>16689.145555555544</v>
      </c>
      <c r="J56" s="332">
        <f t="shared" si="3"/>
        <v>-11963.264517833835</v>
      </c>
      <c r="K56" s="15">
        <v>2893</v>
      </c>
      <c r="L56" s="10">
        <f t="shared" si="4"/>
        <v>14370.481805555557</v>
      </c>
      <c r="M56" s="15">
        <f t="shared" si="5"/>
        <v>0</v>
      </c>
      <c r="N56" s="2">
        <f t="shared" si="6"/>
        <v>0</v>
      </c>
      <c r="O56" s="138">
        <f t="shared" si="7"/>
        <v>-11963.264517833835</v>
      </c>
      <c r="P56" s="35">
        <f>O56/'D) Ecrêtage'!C56</f>
        <v>-0.83248875574992176</v>
      </c>
      <c r="Q56" s="134"/>
    </row>
    <row r="57" spans="1:17" x14ac:dyDescent="0.25">
      <c r="A57" s="51">
        <f>+'A) Base RI'!A59</f>
        <v>5488</v>
      </c>
      <c r="B57" s="321" t="str">
        <f>+'A) Base RI'!B59</f>
        <v>Mauraz</v>
      </c>
      <c r="C57" s="335">
        <f>+'D) Ecrêtage'!M57</f>
        <v>1634.9372972972974</v>
      </c>
      <c r="D57" s="310">
        <v>4292</v>
      </c>
      <c r="E57" s="335">
        <v>0</v>
      </c>
      <c r="F57" s="310">
        <v>11392</v>
      </c>
      <c r="G57" s="335">
        <f t="shared" si="0"/>
        <v>15684</v>
      </c>
      <c r="H57" s="310">
        <f t="shared" si="1"/>
        <v>13079.498378378379</v>
      </c>
      <c r="I57" s="10">
        <f t="shared" si="2"/>
        <v>2604.5016216216209</v>
      </c>
      <c r="J57" s="332">
        <f t="shared" si="3"/>
        <v>-1866.9824487338431</v>
      </c>
      <c r="K57" s="15">
        <v>0</v>
      </c>
      <c r="L57" s="10">
        <f t="shared" si="4"/>
        <v>1634.9372972972974</v>
      </c>
      <c r="M57" s="15">
        <f t="shared" si="5"/>
        <v>0</v>
      </c>
      <c r="N57" s="2">
        <f t="shared" si="6"/>
        <v>0</v>
      </c>
      <c r="O57" s="138">
        <f t="shared" si="7"/>
        <v>-1866.9824487338431</v>
      </c>
      <c r="P57" s="35">
        <f>O57/'D) Ecrêtage'!C57</f>
        <v>-1.1419290830419844</v>
      </c>
      <c r="Q57" s="134"/>
    </row>
    <row r="58" spans="1:17" x14ac:dyDescent="0.25">
      <c r="A58" s="51">
        <f>+'A) Base RI'!A60</f>
        <v>5489</v>
      </c>
      <c r="B58" s="321" t="str">
        <f>+'A) Base RI'!B60</f>
        <v>Mex</v>
      </c>
      <c r="C58" s="335">
        <f>+'D) Ecrêtage'!M58</f>
        <v>52808.048182177503</v>
      </c>
      <c r="D58" s="310">
        <v>216894</v>
      </c>
      <c r="E58" s="335">
        <v>20921</v>
      </c>
      <c r="F58" s="310">
        <v>56764</v>
      </c>
      <c r="G58" s="335">
        <f t="shared" si="0"/>
        <v>294579</v>
      </c>
      <c r="H58" s="310">
        <f t="shared" si="1"/>
        <v>422464.38545742002</v>
      </c>
      <c r="I58" s="10">
        <f t="shared" si="2"/>
        <v>0</v>
      </c>
      <c r="J58" s="332">
        <f t="shared" si="3"/>
        <v>0</v>
      </c>
      <c r="K58" s="15">
        <v>50086</v>
      </c>
      <c r="L58" s="10">
        <f t="shared" si="4"/>
        <v>52808.048182177503</v>
      </c>
      <c r="M58" s="15">
        <f t="shared" si="5"/>
        <v>0</v>
      </c>
      <c r="N58" s="2">
        <f t="shared" si="6"/>
        <v>0</v>
      </c>
      <c r="O58" s="138">
        <f t="shared" si="7"/>
        <v>0</v>
      </c>
      <c r="P58" s="35">
        <f>O58/'D) Ecrêtage'!C58</f>
        <v>0</v>
      </c>
      <c r="Q58" s="134"/>
    </row>
    <row r="59" spans="1:17" x14ac:dyDescent="0.25">
      <c r="A59" s="51">
        <f>+'A) Base RI'!A61</f>
        <v>5490</v>
      </c>
      <c r="B59" s="321" t="str">
        <f>+'A) Base RI'!B61</f>
        <v>Moiry</v>
      </c>
      <c r="C59" s="335">
        <f>+'D) Ecrêtage'!M59</f>
        <v>8164.7235802469131</v>
      </c>
      <c r="D59" s="310">
        <v>49292</v>
      </c>
      <c r="E59" s="335">
        <v>10563</v>
      </c>
      <c r="F59" s="310">
        <v>65351</v>
      </c>
      <c r="G59" s="335">
        <f t="shared" si="0"/>
        <v>125206</v>
      </c>
      <c r="H59" s="310">
        <f t="shared" si="1"/>
        <v>65317.788641975305</v>
      </c>
      <c r="I59" s="10">
        <f t="shared" si="2"/>
        <v>59888.211358024695</v>
      </c>
      <c r="J59" s="332">
        <f t="shared" si="3"/>
        <v>-42929.610242238719</v>
      </c>
      <c r="K59" s="15">
        <v>704</v>
      </c>
      <c r="L59" s="10">
        <f t="shared" si="4"/>
        <v>8164.7235802469131</v>
      </c>
      <c r="M59" s="15">
        <f t="shared" si="5"/>
        <v>0</v>
      </c>
      <c r="N59" s="2">
        <f t="shared" si="6"/>
        <v>0</v>
      </c>
      <c r="O59" s="138">
        <f t="shared" si="7"/>
        <v>-42929.610242238719</v>
      </c>
      <c r="P59" s="35">
        <f>O59/'D) Ecrêtage'!C59</f>
        <v>-5.2579379840977376</v>
      </c>
      <c r="Q59" s="134"/>
    </row>
    <row r="60" spans="1:17" x14ac:dyDescent="0.25">
      <c r="A60" s="51">
        <f>+'A) Base RI'!A62</f>
        <v>5491</v>
      </c>
      <c r="B60" s="321" t="str">
        <f>+'A) Base RI'!B62</f>
        <v>Mont-la-Ville</v>
      </c>
      <c r="C60" s="335">
        <f>+'D) Ecrêtage'!M60</f>
        <v>10538.480394736844</v>
      </c>
      <c r="D60" s="310">
        <v>113015</v>
      </c>
      <c r="E60" s="335">
        <v>13968</v>
      </c>
      <c r="F60" s="310">
        <v>83993</v>
      </c>
      <c r="G60" s="335">
        <f t="shared" si="0"/>
        <v>210976</v>
      </c>
      <c r="H60" s="310">
        <f t="shared" si="1"/>
        <v>84307.843157894749</v>
      </c>
      <c r="I60" s="10">
        <f t="shared" si="2"/>
        <v>126668.15684210525</v>
      </c>
      <c r="J60" s="332">
        <f t="shared" si="3"/>
        <v>-90799.415778606402</v>
      </c>
      <c r="K60" s="15">
        <v>11356</v>
      </c>
      <c r="L60" s="10">
        <f t="shared" si="4"/>
        <v>10538.480394736844</v>
      </c>
      <c r="M60" s="15">
        <f t="shared" ref="M60:M114" si="8">IF(K60&gt;L60,K60-L60,0)</f>
        <v>817.51960526315634</v>
      </c>
      <c r="N60" s="2">
        <f t="shared" si="6"/>
        <v>-586.02181002745056</v>
      </c>
      <c r="O60" s="138">
        <f t="shared" ref="O60:O114" si="9">N60+J60</f>
        <v>-91385.437588633853</v>
      </c>
      <c r="P60" s="35">
        <f>O60/'D) Ecrêtage'!C60</f>
        <v>-8.6715953501487579</v>
      </c>
      <c r="Q60" s="134"/>
    </row>
    <row r="61" spans="1:17" x14ac:dyDescent="0.25">
      <c r="A61" s="51">
        <f>+'A) Base RI'!A63</f>
        <v>5492</v>
      </c>
      <c r="B61" s="321" t="str">
        <f>+'A) Base RI'!B63</f>
        <v>Montricher</v>
      </c>
      <c r="C61" s="335">
        <f>+'D) Ecrêtage'!M61</f>
        <v>159820.2900084072</v>
      </c>
      <c r="D61" s="310">
        <v>139531</v>
      </c>
      <c r="E61" s="335">
        <v>80089</v>
      </c>
      <c r="F61" s="310">
        <v>151847</v>
      </c>
      <c r="G61" s="335">
        <f t="shared" si="0"/>
        <v>371467</v>
      </c>
      <c r="H61" s="310">
        <f t="shared" si="1"/>
        <v>1278562.3200672576</v>
      </c>
      <c r="I61" s="10">
        <f t="shared" si="2"/>
        <v>0</v>
      </c>
      <c r="J61" s="332">
        <f t="shared" si="3"/>
        <v>0</v>
      </c>
      <c r="K61" s="15">
        <v>348229</v>
      </c>
      <c r="L61" s="10">
        <f t="shared" si="4"/>
        <v>159820.2900084072</v>
      </c>
      <c r="M61" s="15">
        <f t="shared" si="8"/>
        <v>188408.7099915928</v>
      </c>
      <c r="N61" s="2">
        <f t="shared" si="6"/>
        <v>-135056.83844568982</v>
      </c>
      <c r="O61" s="138">
        <f t="shared" si="9"/>
        <v>-135056.83844568982</v>
      </c>
      <c r="P61" s="35">
        <f>O61/'D) Ecrêtage'!C61</f>
        <v>-0.60377938307455159</v>
      </c>
      <c r="Q61" s="134"/>
    </row>
    <row r="62" spans="1:17" x14ac:dyDescent="0.25">
      <c r="A62" s="51">
        <f>+'A) Base RI'!A64</f>
        <v>5493</v>
      </c>
      <c r="B62" s="321" t="str">
        <f>+'A) Base RI'!B64</f>
        <v>Orny</v>
      </c>
      <c r="C62" s="335">
        <f>+'D) Ecrêtage'!M62</f>
        <v>9903.4061011591148</v>
      </c>
      <c r="D62" s="310">
        <v>437377</v>
      </c>
      <c r="E62" s="335">
        <v>0</v>
      </c>
      <c r="F62" s="310">
        <v>76590</v>
      </c>
      <c r="G62" s="335">
        <f t="shared" si="0"/>
        <v>513967</v>
      </c>
      <c r="H62" s="310">
        <f t="shared" si="1"/>
        <v>79227.248809272918</v>
      </c>
      <c r="I62" s="10">
        <f t="shared" si="2"/>
        <v>434739.75119072711</v>
      </c>
      <c r="J62" s="332">
        <f t="shared" si="3"/>
        <v>-311634.08711362327</v>
      </c>
      <c r="K62" s="15">
        <v>13179</v>
      </c>
      <c r="L62" s="10">
        <f t="shared" si="4"/>
        <v>9903.4061011591148</v>
      </c>
      <c r="M62" s="15">
        <f t="shared" si="8"/>
        <v>3275.5938988408852</v>
      </c>
      <c r="N62" s="2">
        <f t="shared" si="6"/>
        <v>-2348.0408948672339</v>
      </c>
      <c r="O62" s="138">
        <f t="shared" si="9"/>
        <v>-313982.12800849049</v>
      </c>
      <c r="P62" s="35">
        <f>O62/'D) Ecrêtage'!C62</f>
        <v>-31.704458526823551</v>
      </c>
      <c r="Q62" s="134"/>
    </row>
    <row r="63" spans="1:17" x14ac:dyDescent="0.25">
      <c r="A63" s="51">
        <f>+'A) Base RI'!A65</f>
        <v>5494</v>
      </c>
      <c r="B63" s="321" t="str">
        <f>+'A) Base RI'!B65</f>
        <v>Pampigny</v>
      </c>
      <c r="C63" s="335">
        <f>+'D) Ecrêtage'!M63</f>
        <v>37200.871473015875</v>
      </c>
      <c r="D63" s="310">
        <v>279894</v>
      </c>
      <c r="E63" s="335">
        <v>77557</v>
      </c>
      <c r="F63" s="310">
        <v>143253</v>
      </c>
      <c r="G63" s="335">
        <f t="shared" si="0"/>
        <v>500704</v>
      </c>
      <c r="H63" s="310">
        <f t="shared" si="1"/>
        <v>297606.971784127</v>
      </c>
      <c r="I63" s="10">
        <f t="shared" si="2"/>
        <v>203097.028215873</v>
      </c>
      <c r="J63" s="332">
        <f t="shared" si="3"/>
        <v>-145585.85178877789</v>
      </c>
      <c r="K63" s="15">
        <v>135907</v>
      </c>
      <c r="L63" s="10">
        <f t="shared" si="4"/>
        <v>37200.871473015875</v>
      </c>
      <c r="M63" s="15">
        <f t="shared" si="8"/>
        <v>98706.128526984132</v>
      </c>
      <c r="N63" s="2">
        <f t="shared" si="6"/>
        <v>-70755.421310741134</v>
      </c>
      <c r="O63" s="138">
        <f t="shared" si="9"/>
        <v>-216341.27309951902</v>
      </c>
      <c r="P63" s="35">
        <f>O63/'D) Ecrêtage'!C63</f>
        <v>-5.8154893832647145</v>
      </c>
      <c r="Q63" s="134"/>
    </row>
    <row r="64" spans="1:17" x14ac:dyDescent="0.25">
      <c r="A64" s="51">
        <f>+'A) Base RI'!A66</f>
        <v>5495</v>
      </c>
      <c r="B64" s="321" t="str">
        <f>+'A) Base RI'!B66</f>
        <v>Penthalaz</v>
      </c>
      <c r="C64" s="335">
        <f>+'D) Ecrêtage'!M64</f>
        <v>93529.013513513521</v>
      </c>
      <c r="D64" s="310">
        <v>622883</v>
      </c>
      <c r="E64" s="335">
        <v>417742</v>
      </c>
      <c r="F64" s="310">
        <v>321724</v>
      </c>
      <c r="G64" s="335">
        <f t="shared" si="0"/>
        <v>1362349</v>
      </c>
      <c r="H64" s="310">
        <f t="shared" si="1"/>
        <v>748232.10810810816</v>
      </c>
      <c r="I64" s="10">
        <f t="shared" si="2"/>
        <v>614116.89189189184</v>
      </c>
      <c r="J64" s="332">
        <f t="shared" si="3"/>
        <v>-440216.83423613157</v>
      </c>
      <c r="K64" s="15">
        <v>127746</v>
      </c>
      <c r="L64" s="10">
        <f t="shared" si="4"/>
        <v>93529.013513513521</v>
      </c>
      <c r="M64" s="15">
        <f t="shared" si="8"/>
        <v>34216.986486486479</v>
      </c>
      <c r="N64" s="2">
        <f t="shared" si="6"/>
        <v>-24527.730253075697</v>
      </c>
      <c r="O64" s="138">
        <f t="shared" si="9"/>
        <v>-464744.56448920729</v>
      </c>
      <c r="P64" s="35">
        <f>O64/'D) Ecrêtage'!C64</f>
        <v>-4.9689881998173622</v>
      </c>
      <c r="Q64" s="134"/>
    </row>
    <row r="65" spans="1:17" x14ac:dyDescent="0.25">
      <c r="A65" s="51">
        <f>+'A) Base RI'!A67</f>
        <v>5496</v>
      </c>
      <c r="B65" s="321" t="str">
        <f>+'A) Base RI'!B67</f>
        <v>Penthaz</v>
      </c>
      <c r="C65" s="335">
        <f>+'D) Ecrêtage'!M65</f>
        <v>55364.179859154945</v>
      </c>
      <c r="D65" s="310">
        <v>461071</v>
      </c>
      <c r="E65" s="335">
        <v>130667</v>
      </c>
      <c r="F65" s="310">
        <v>173564</v>
      </c>
      <c r="G65" s="335">
        <f t="shared" si="0"/>
        <v>765302</v>
      </c>
      <c r="H65" s="310">
        <f t="shared" si="1"/>
        <v>442913.43887323956</v>
      </c>
      <c r="I65" s="10">
        <f t="shared" si="2"/>
        <v>322388.56112676044</v>
      </c>
      <c r="J65" s="332">
        <f t="shared" si="3"/>
        <v>-231097.48917010348</v>
      </c>
      <c r="K65" s="15">
        <v>14383</v>
      </c>
      <c r="L65" s="10">
        <f t="shared" si="4"/>
        <v>55364.179859154945</v>
      </c>
      <c r="M65" s="15">
        <f t="shared" si="8"/>
        <v>0</v>
      </c>
      <c r="N65" s="2">
        <f t="shared" si="6"/>
        <v>0</v>
      </c>
      <c r="O65" s="138">
        <f t="shared" si="9"/>
        <v>-231097.48917010348</v>
      </c>
      <c r="P65" s="35">
        <f>O65/'D) Ecrêtage'!C65</f>
        <v>-4.1741337044639613</v>
      </c>
      <c r="Q65" s="134"/>
    </row>
    <row r="66" spans="1:17" x14ac:dyDescent="0.25">
      <c r="A66" s="51">
        <f>+'A) Base RI'!A68</f>
        <v>5497</v>
      </c>
      <c r="B66" s="321" t="str">
        <f>+'A) Base RI'!B68</f>
        <v>Pompaples</v>
      </c>
      <c r="C66" s="335">
        <f>+'D) Ecrêtage'!M66</f>
        <v>21756.171818181818</v>
      </c>
      <c r="D66" s="310">
        <v>200599</v>
      </c>
      <c r="E66" s="335">
        <v>29848</v>
      </c>
      <c r="F66" s="310">
        <v>185282</v>
      </c>
      <c r="G66" s="335">
        <f t="shared" si="0"/>
        <v>415729</v>
      </c>
      <c r="H66" s="310">
        <f t="shared" si="1"/>
        <v>174049.37454545454</v>
      </c>
      <c r="I66" s="10">
        <f t="shared" si="2"/>
        <v>241679.62545454546</v>
      </c>
      <c r="J66" s="332">
        <f t="shared" si="3"/>
        <v>-173242.97869289515</v>
      </c>
      <c r="K66" s="15">
        <v>16346</v>
      </c>
      <c r="L66" s="10">
        <f t="shared" si="4"/>
        <v>21756.171818181818</v>
      </c>
      <c r="M66" s="15">
        <f t="shared" si="8"/>
        <v>0</v>
      </c>
      <c r="N66" s="2">
        <f t="shared" si="6"/>
        <v>0</v>
      </c>
      <c r="O66" s="138">
        <f t="shared" si="9"/>
        <v>-173242.97869289515</v>
      </c>
      <c r="P66" s="35">
        <f>O66/'D) Ecrêtage'!C66</f>
        <v>-7.9629348462910432</v>
      </c>
      <c r="Q66" s="134"/>
    </row>
    <row r="67" spans="1:17" x14ac:dyDescent="0.25">
      <c r="A67" s="51">
        <f>+'A) Base RI'!A69</f>
        <v>5498</v>
      </c>
      <c r="B67" s="321" t="str">
        <f>+'A) Base RI'!B69</f>
        <v>La Sarraz</v>
      </c>
      <c r="C67" s="335">
        <f>+'D) Ecrêtage'!M67</f>
        <v>71866.729696969705</v>
      </c>
      <c r="D67" s="310">
        <v>612377</v>
      </c>
      <c r="E67" s="335">
        <v>222993</v>
      </c>
      <c r="F67" s="310">
        <v>547014</v>
      </c>
      <c r="G67" s="335">
        <f t="shared" si="0"/>
        <v>1382384</v>
      </c>
      <c r="H67" s="310">
        <f t="shared" si="1"/>
        <v>574933.83757575764</v>
      </c>
      <c r="I67" s="10">
        <f t="shared" si="2"/>
        <v>807450.16242424236</v>
      </c>
      <c r="J67" s="332">
        <f t="shared" si="3"/>
        <v>-578803.74078429292</v>
      </c>
      <c r="K67" s="15">
        <v>32014</v>
      </c>
      <c r="L67" s="10">
        <f t="shared" si="4"/>
        <v>71866.729696969705</v>
      </c>
      <c r="M67" s="15">
        <f t="shared" si="8"/>
        <v>0</v>
      </c>
      <c r="N67" s="2">
        <f t="shared" si="6"/>
        <v>0</v>
      </c>
      <c r="O67" s="138">
        <f t="shared" si="9"/>
        <v>-578803.74078429292</v>
      </c>
      <c r="P67" s="35">
        <f>O67/'D) Ecrêtage'!C67</f>
        <v>-8.0538483276594466</v>
      </c>
      <c r="Q67" s="134"/>
    </row>
    <row r="68" spans="1:17" x14ac:dyDescent="0.25">
      <c r="A68" s="51">
        <f>+'A) Base RI'!A70</f>
        <v>5499</v>
      </c>
      <c r="B68" s="321" t="str">
        <f>+'A) Base RI'!B70</f>
        <v>Senarclens</v>
      </c>
      <c r="C68" s="335">
        <f>+'D) Ecrêtage'!M68</f>
        <v>20247.622335766424</v>
      </c>
      <c r="D68" s="310">
        <v>127712</v>
      </c>
      <c r="E68" s="335">
        <v>16130</v>
      </c>
      <c r="F68" s="310">
        <v>49618</v>
      </c>
      <c r="G68" s="335">
        <f t="shared" si="0"/>
        <v>193460</v>
      </c>
      <c r="H68" s="310">
        <f t="shared" si="1"/>
        <v>161980.97868613139</v>
      </c>
      <c r="I68" s="10">
        <f t="shared" si="2"/>
        <v>31479.021313868609</v>
      </c>
      <c r="J68" s="332">
        <f t="shared" si="3"/>
        <v>-22565.077252560608</v>
      </c>
      <c r="K68" s="15">
        <v>18566</v>
      </c>
      <c r="L68" s="10">
        <f t="shared" si="4"/>
        <v>20247.622335766424</v>
      </c>
      <c r="M68" s="15">
        <f t="shared" si="8"/>
        <v>0</v>
      </c>
      <c r="N68" s="2">
        <f t="shared" si="6"/>
        <v>0</v>
      </c>
      <c r="O68" s="138">
        <f t="shared" si="9"/>
        <v>-22565.077252560608</v>
      </c>
      <c r="P68" s="35">
        <f>O68/'D) Ecrêtage'!C68</f>
        <v>-1.1144556569835122</v>
      </c>
      <c r="Q68" s="134"/>
    </row>
    <row r="69" spans="1:17" x14ac:dyDescent="0.25">
      <c r="A69" s="51">
        <f>+'A) Base RI'!A71</f>
        <v>5500</v>
      </c>
      <c r="B69" s="321" t="str">
        <f>+'A) Base RI'!B71</f>
        <v>Sévery</v>
      </c>
      <c r="C69" s="335">
        <f>+'D) Ecrêtage'!M69</f>
        <v>8952.9604888888862</v>
      </c>
      <c r="D69" s="310">
        <v>42018</v>
      </c>
      <c r="E69" s="335">
        <v>12666</v>
      </c>
      <c r="F69" s="310">
        <v>26292</v>
      </c>
      <c r="G69" s="335">
        <f t="shared" si="0"/>
        <v>80976</v>
      </c>
      <c r="H69" s="310">
        <f t="shared" si="1"/>
        <v>71623.683911111089</v>
      </c>
      <c r="I69" s="10">
        <f t="shared" si="2"/>
        <v>9352.3160888889106</v>
      </c>
      <c r="J69" s="332">
        <f t="shared" ref="J69:J132" si="10">-I69*J$4</f>
        <v>-6704.0119491633759</v>
      </c>
      <c r="K69" s="15">
        <v>4612</v>
      </c>
      <c r="L69" s="10">
        <f t="shared" ref="L69:L132" si="11">C69*M$4</f>
        <v>8952.9604888888862</v>
      </c>
      <c r="M69" s="15">
        <f t="shared" si="8"/>
        <v>0</v>
      </c>
      <c r="N69" s="2">
        <f t="shared" ref="N69:N132" si="12">-M69*N$4</f>
        <v>0</v>
      </c>
      <c r="O69" s="138">
        <f t="shared" si="9"/>
        <v>-6704.0119491633759</v>
      </c>
      <c r="P69" s="35">
        <f>O69/'D) Ecrêtage'!C69</f>
        <v>-0.74880392440952037</v>
      </c>
      <c r="Q69" s="134"/>
    </row>
    <row r="70" spans="1:17" x14ac:dyDescent="0.25">
      <c r="A70" s="51">
        <f>+'A) Base RI'!A72</f>
        <v>5501</v>
      </c>
      <c r="B70" s="321" t="str">
        <f>+'A) Base RI'!B72</f>
        <v>Sullens</v>
      </c>
      <c r="C70" s="335">
        <f>+'D) Ecrêtage'!M70</f>
        <v>34510.891142857145</v>
      </c>
      <c r="D70" s="310">
        <v>265127</v>
      </c>
      <c r="E70" s="335">
        <v>28818</v>
      </c>
      <c r="F70" s="310">
        <v>44561</v>
      </c>
      <c r="G70" s="335">
        <f t="shared" ref="G70:G133" si="13">SUM(D70:F70)</f>
        <v>338506</v>
      </c>
      <c r="H70" s="310">
        <f t="shared" ref="H70:H133" si="14">+C70*$I$4</f>
        <v>276087.12914285716</v>
      </c>
      <c r="I70" s="10">
        <f t="shared" ref="I70:I133" si="15">IF(G70&gt;H70,G70-H70,0)</f>
        <v>62418.870857142843</v>
      </c>
      <c r="J70" s="332">
        <f t="shared" si="10"/>
        <v>-44743.660511723087</v>
      </c>
      <c r="K70" s="15">
        <v>53066</v>
      </c>
      <c r="L70" s="10">
        <f t="shared" si="11"/>
        <v>34510.891142857145</v>
      </c>
      <c r="M70" s="15">
        <f t="shared" si="8"/>
        <v>18555.108857142855</v>
      </c>
      <c r="N70" s="2">
        <f t="shared" si="12"/>
        <v>-13300.841236974415</v>
      </c>
      <c r="O70" s="138">
        <f t="shared" si="9"/>
        <v>-58044.501748697498</v>
      </c>
      <c r="P70" s="35">
        <f>O70/'D) Ecrêtage'!C70</f>
        <v>-1.6819183691439159</v>
      </c>
      <c r="Q70" s="134"/>
    </row>
    <row r="71" spans="1:17" x14ac:dyDescent="0.25">
      <c r="A71" s="51">
        <f>+'A) Base RI'!A73</f>
        <v>5503</v>
      </c>
      <c r="B71" s="321" t="str">
        <f>+'A) Base RI'!B73</f>
        <v>Vufflens-la-Ville</v>
      </c>
      <c r="C71" s="335">
        <f>+'D) Ecrêtage'!M71</f>
        <v>69488.630199004954</v>
      </c>
      <c r="D71" s="310">
        <v>144750</v>
      </c>
      <c r="E71" s="335">
        <v>108760</v>
      </c>
      <c r="F71" s="310">
        <v>130421</v>
      </c>
      <c r="G71" s="335">
        <f t="shared" si="13"/>
        <v>383931</v>
      </c>
      <c r="H71" s="310">
        <f t="shared" si="14"/>
        <v>555909.04159203963</v>
      </c>
      <c r="I71" s="10">
        <f t="shared" si="15"/>
        <v>0</v>
      </c>
      <c r="J71" s="332">
        <f t="shared" si="10"/>
        <v>0</v>
      </c>
      <c r="K71" s="15">
        <v>47162</v>
      </c>
      <c r="L71" s="10">
        <f t="shared" si="11"/>
        <v>69488.630199004954</v>
      </c>
      <c r="M71" s="15">
        <f t="shared" si="8"/>
        <v>0</v>
      </c>
      <c r="N71" s="2">
        <f t="shared" si="12"/>
        <v>0</v>
      </c>
      <c r="O71" s="138">
        <f t="shared" si="9"/>
        <v>0</v>
      </c>
      <c r="P71" s="35">
        <f>O71/'D) Ecrêtage'!C71</f>
        <v>0</v>
      </c>
      <c r="Q71" s="134"/>
    </row>
    <row r="72" spans="1:17" x14ac:dyDescent="0.25">
      <c r="A72" s="51">
        <f>+'A) Base RI'!A74</f>
        <v>5511</v>
      </c>
      <c r="B72" s="321" t="str">
        <f>+'A) Base RI'!B74</f>
        <v>Assens</v>
      </c>
      <c r="C72" s="335">
        <f>+'D) Ecrêtage'!M72</f>
        <v>49567.304285714286</v>
      </c>
      <c r="D72" s="310">
        <v>392724</v>
      </c>
      <c r="E72" s="335">
        <v>78087</v>
      </c>
      <c r="F72" s="310">
        <v>95866</v>
      </c>
      <c r="G72" s="335">
        <f t="shared" si="13"/>
        <v>566677</v>
      </c>
      <c r="H72" s="310">
        <f t="shared" si="14"/>
        <v>396538.43428571429</v>
      </c>
      <c r="I72" s="10">
        <f t="shared" si="15"/>
        <v>170138.56571428571</v>
      </c>
      <c r="J72" s="332">
        <f t="shared" si="10"/>
        <v>-121960.26810056187</v>
      </c>
      <c r="K72" s="15">
        <v>-1817</v>
      </c>
      <c r="L72" s="10">
        <f t="shared" si="11"/>
        <v>49567.304285714286</v>
      </c>
      <c r="M72" s="15">
        <f t="shared" si="8"/>
        <v>0</v>
      </c>
      <c r="N72" s="2">
        <f t="shared" si="12"/>
        <v>0</v>
      </c>
      <c r="O72" s="138">
        <f t="shared" si="9"/>
        <v>-121960.26810056187</v>
      </c>
      <c r="P72" s="35">
        <f>O72/'D) Ecrêtage'!C72</f>
        <v>-2.4604983034292593</v>
      </c>
      <c r="Q72" s="134"/>
    </row>
    <row r="73" spans="1:17" x14ac:dyDescent="0.25">
      <c r="A73" s="51">
        <f>+'A) Base RI'!A75</f>
        <v>5512</v>
      </c>
      <c r="B73" s="321" t="str">
        <f>+'A) Base RI'!B75</f>
        <v>Bercher</v>
      </c>
      <c r="C73" s="335">
        <f>+'D) Ecrêtage'!M73</f>
        <v>38296.029873417712</v>
      </c>
      <c r="D73" s="310">
        <v>346100</v>
      </c>
      <c r="E73" s="335">
        <v>85233</v>
      </c>
      <c r="F73" s="310">
        <v>104639</v>
      </c>
      <c r="G73" s="335">
        <f t="shared" si="13"/>
        <v>535972</v>
      </c>
      <c r="H73" s="310">
        <f t="shared" si="14"/>
        <v>306368.2389873417</v>
      </c>
      <c r="I73" s="10">
        <f t="shared" si="15"/>
        <v>229603.7610126583</v>
      </c>
      <c r="J73" s="332">
        <f t="shared" si="10"/>
        <v>-164586.64813847025</v>
      </c>
      <c r="K73" s="15">
        <v>31144</v>
      </c>
      <c r="L73" s="10">
        <f t="shared" si="11"/>
        <v>38296.029873417712</v>
      </c>
      <c r="M73" s="15">
        <f t="shared" si="8"/>
        <v>0</v>
      </c>
      <c r="N73" s="2">
        <f t="shared" si="12"/>
        <v>0</v>
      </c>
      <c r="O73" s="138">
        <f t="shared" si="9"/>
        <v>-164586.64813847025</v>
      </c>
      <c r="P73" s="35">
        <f>O73/'D) Ecrêtage'!C73</f>
        <v>-4.2977470166617504</v>
      </c>
      <c r="Q73" s="134"/>
    </row>
    <row r="74" spans="1:17" x14ac:dyDescent="0.25">
      <c r="A74" s="51">
        <f>+'A) Base RI'!A76</f>
        <v>5513</v>
      </c>
      <c r="B74" s="321" t="str">
        <f>+'A) Base RI'!B76</f>
        <v>Bioley-Orjulaz</v>
      </c>
      <c r="C74" s="335">
        <f>+'D) Ecrêtage'!M74</f>
        <v>23261.0975</v>
      </c>
      <c r="D74" s="310">
        <v>145845</v>
      </c>
      <c r="E74" s="335">
        <v>14232</v>
      </c>
      <c r="F74" s="310">
        <v>43682</v>
      </c>
      <c r="G74" s="335">
        <f t="shared" si="13"/>
        <v>203759</v>
      </c>
      <c r="H74" s="310">
        <f t="shared" si="14"/>
        <v>186088.78</v>
      </c>
      <c r="I74" s="10">
        <f t="shared" si="15"/>
        <v>17670.22</v>
      </c>
      <c r="J74" s="332">
        <f t="shared" si="10"/>
        <v>-12666.527189461078</v>
      </c>
      <c r="K74" s="15">
        <v>-6426</v>
      </c>
      <c r="L74" s="10">
        <f t="shared" si="11"/>
        <v>23261.0975</v>
      </c>
      <c r="M74" s="15">
        <f t="shared" si="8"/>
        <v>0</v>
      </c>
      <c r="N74" s="2">
        <f t="shared" si="12"/>
        <v>0</v>
      </c>
      <c r="O74" s="138">
        <f t="shared" si="9"/>
        <v>-12666.527189461078</v>
      </c>
      <c r="P74" s="35">
        <f>O74/'D) Ecrêtage'!C74</f>
        <v>-0.54453695443480588</v>
      </c>
      <c r="Q74" s="134"/>
    </row>
    <row r="75" spans="1:17" x14ac:dyDescent="0.25">
      <c r="A75" s="51">
        <f>+'A) Base RI'!A77</f>
        <v>5514</v>
      </c>
      <c r="B75" s="321" t="str">
        <f>+'A) Base RI'!B77</f>
        <v>Bottens</v>
      </c>
      <c r="C75" s="335">
        <f>+'D) Ecrêtage'!M75</f>
        <v>41051.716376811593</v>
      </c>
      <c r="D75" s="310">
        <v>121396</v>
      </c>
      <c r="E75" s="335">
        <v>54808</v>
      </c>
      <c r="F75" s="310">
        <v>112146</v>
      </c>
      <c r="G75" s="335">
        <f t="shared" si="13"/>
        <v>288350</v>
      </c>
      <c r="H75" s="310">
        <f t="shared" si="14"/>
        <v>328413.73101449275</v>
      </c>
      <c r="I75" s="10">
        <f t="shared" si="15"/>
        <v>0</v>
      </c>
      <c r="J75" s="332">
        <f t="shared" si="10"/>
        <v>0</v>
      </c>
      <c r="K75" s="15">
        <v>15613</v>
      </c>
      <c r="L75" s="10">
        <f t="shared" si="11"/>
        <v>41051.716376811593</v>
      </c>
      <c r="M75" s="15">
        <f t="shared" si="8"/>
        <v>0</v>
      </c>
      <c r="N75" s="2">
        <f t="shared" si="12"/>
        <v>0</v>
      </c>
      <c r="O75" s="138">
        <f t="shared" si="9"/>
        <v>0</v>
      </c>
      <c r="P75" s="35">
        <f>O75/'D) Ecrêtage'!C75</f>
        <v>0</v>
      </c>
      <c r="Q75" s="134"/>
    </row>
    <row r="76" spans="1:17" x14ac:dyDescent="0.25">
      <c r="A76" s="51">
        <f>+'A) Base RI'!A78</f>
        <v>5515</v>
      </c>
      <c r="B76" s="321" t="str">
        <f>+'A) Base RI'!B78</f>
        <v>Bretigny-sur-Morrens</v>
      </c>
      <c r="C76" s="335">
        <f>+'D) Ecrêtage'!M76</f>
        <v>27741.095753424659</v>
      </c>
      <c r="D76" s="310">
        <v>194093</v>
      </c>
      <c r="E76" s="335">
        <v>36111</v>
      </c>
      <c r="F76" s="310">
        <v>52184</v>
      </c>
      <c r="G76" s="335">
        <f t="shared" si="13"/>
        <v>282388</v>
      </c>
      <c r="H76" s="310">
        <f t="shared" si="14"/>
        <v>221928.76602739727</v>
      </c>
      <c r="I76" s="10">
        <f t="shared" si="15"/>
        <v>60459.233972602728</v>
      </c>
      <c r="J76" s="332">
        <f t="shared" si="10"/>
        <v>-43338.93584618422</v>
      </c>
      <c r="K76" s="15">
        <v>11112</v>
      </c>
      <c r="L76" s="10">
        <f t="shared" si="11"/>
        <v>27741.095753424659</v>
      </c>
      <c r="M76" s="15">
        <f t="shared" si="8"/>
        <v>0</v>
      </c>
      <c r="N76" s="2">
        <f t="shared" si="12"/>
        <v>0</v>
      </c>
      <c r="O76" s="138">
        <f t="shared" si="9"/>
        <v>-43338.93584618422</v>
      </c>
      <c r="P76" s="35">
        <f>O76/'D) Ecrêtage'!C76</f>
        <v>-1.5622647436640638</v>
      </c>
      <c r="Q76" s="134"/>
    </row>
    <row r="77" spans="1:17" x14ac:dyDescent="0.25">
      <c r="A77" s="51">
        <f>+'A) Base RI'!A79</f>
        <v>5516</v>
      </c>
      <c r="B77" s="321" t="str">
        <f>+'A) Base RI'!B79</f>
        <v>Cugy</v>
      </c>
      <c r="C77" s="335">
        <f>+'D) Ecrêtage'!M77</f>
        <v>111403.80442857141</v>
      </c>
      <c r="D77" s="310">
        <v>914915</v>
      </c>
      <c r="E77" s="335">
        <v>121064</v>
      </c>
      <c r="F77" s="310">
        <v>201420</v>
      </c>
      <c r="G77" s="335">
        <f t="shared" si="13"/>
        <v>1237399</v>
      </c>
      <c r="H77" s="310">
        <f t="shared" si="14"/>
        <v>891230.43542857131</v>
      </c>
      <c r="I77" s="10">
        <f t="shared" si="15"/>
        <v>346168.56457142869</v>
      </c>
      <c r="J77" s="332">
        <f t="shared" si="10"/>
        <v>-248143.68668192666</v>
      </c>
      <c r="K77" s="15">
        <v>22124</v>
      </c>
      <c r="L77" s="10">
        <f t="shared" si="11"/>
        <v>111403.80442857141</v>
      </c>
      <c r="M77" s="15">
        <f t="shared" si="8"/>
        <v>0</v>
      </c>
      <c r="N77" s="2">
        <f t="shared" si="12"/>
        <v>0</v>
      </c>
      <c r="O77" s="138">
        <f t="shared" si="9"/>
        <v>-248143.68668192666</v>
      </c>
      <c r="P77" s="35">
        <f>O77/'D) Ecrêtage'!C77</f>
        <v>-2.2274256068250211</v>
      </c>
      <c r="Q77" s="134"/>
    </row>
    <row r="78" spans="1:17" x14ac:dyDescent="0.25">
      <c r="A78" s="51">
        <f>+'A) Base RI'!A80</f>
        <v>5518</v>
      </c>
      <c r="B78" s="321" t="str">
        <f>+'A) Base RI'!B80</f>
        <v>Echallens</v>
      </c>
      <c r="C78" s="335">
        <f>+'D) Ecrêtage'!M78</f>
        <v>193638.72135135136</v>
      </c>
      <c r="D78" s="310">
        <v>1985497</v>
      </c>
      <c r="E78" s="335">
        <v>418206</v>
      </c>
      <c r="F78" s="310">
        <v>513428</v>
      </c>
      <c r="G78" s="335">
        <f t="shared" si="13"/>
        <v>2917131</v>
      </c>
      <c r="H78" s="310">
        <f t="shared" si="14"/>
        <v>1549109.7708108108</v>
      </c>
      <c r="I78" s="10">
        <f t="shared" si="15"/>
        <v>1368021.2291891892</v>
      </c>
      <c r="J78" s="332">
        <f t="shared" si="10"/>
        <v>-980637.37153724337</v>
      </c>
      <c r="K78" s="15">
        <v>72024</v>
      </c>
      <c r="L78" s="10">
        <f t="shared" si="11"/>
        <v>193638.72135135136</v>
      </c>
      <c r="M78" s="15">
        <f t="shared" si="8"/>
        <v>0</v>
      </c>
      <c r="N78" s="2">
        <f t="shared" si="12"/>
        <v>0</v>
      </c>
      <c r="O78" s="138">
        <f t="shared" si="9"/>
        <v>-980637.37153724337</v>
      </c>
      <c r="P78" s="35">
        <f>O78/'D) Ecrêtage'!C78</f>
        <v>-5.0642627915204406</v>
      </c>
      <c r="Q78" s="134"/>
    </row>
    <row r="79" spans="1:17" x14ac:dyDescent="0.25">
      <c r="A79" s="51">
        <f>+'A) Base RI'!A81</f>
        <v>5520</v>
      </c>
      <c r="B79" s="321" t="str">
        <f>+'A) Base RI'!B81</f>
        <v>Essertines-sur-Yverdon</v>
      </c>
      <c r="C79" s="335">
        <f>+'D) Ecrêtage'!M79</f>
        <v>32024.354520547942</v>
      </c>
      <c r="D79" s="310">
        <v>361457</v>
      </c>
      <c r="E79" s="335">
        <v>57323</v>
      </c>
      <c r="F79" s="310">
        <v>85285</v>
      </c>
      <c r="G79" s="335">
        <f t="shared" si="13"/>
        <v>504065</v>
      </c>
      <c r="H79" s="310">
        <f t="shared" si="14"/>
        <v>256194.83616438354</v>
      </c>
      <c r="I79" s="10">
        <f t="shared" si="15"/>
        <v>247870.16383561646</v>
      </c>
      <c r="J79" s="332">
        <f t="shared" si="10"/>
        <v>-177680.5365003949</v>
      </c>
      <c r="K79" s="15">
        <v>95318</v>
      </c>
      <c r="L79" s="10">
        <f t="shared" si="11"/>
        <v>32024.354520547942</v>
      </c>
      <c r="M79" s="15">
        <f t="shared" si="8"/>
        <v>63293.645479452054</v>
      </c>
      <c r="N79" s="2">
        <f t="shared" si="12"/>
        <v>-45370.724381789791</v>
      </c>
      <c r="O79" s="138">
        <f t="shared" si="9"/>
        <v>-223051.2608821847</v>
      </c>
      <c r="P79" s="35">
        <f>O79/'D) Ecrêtage'!C79</f>
        <v>-6.9650509501781599</v>
      </c>
      <c r="Q79" s="134"/>
    </row>
    <row r="80" spans="1:17" x14ac:dyDescent="0.25">
      <c r="A80" s="51">
        <f>+'A) Base RI'!A82</f>
        <v>5521</v>
      </c>
      <c r="B80" s="321" t="str">
        <f>+'A) Base RI'!B82</f>
        <v>Etagnières</v>
      </c>
      <c r="C80" s="335">
        <f>+'D) Ecrêtage'!M80</f>
        <v>41782.284931506838</v>
      </c>
      <c r="D80" s="310">
        <v>145453</v>
      </c>
      <c r="E80" s="335">
        <v>82360</v>
      </c>
      <c r="F80" s="310">
        <v>101112</v>
      </c>
      <c r="G80" s="335">
        <f t="shared" si="13"/>
        <v>328925</v>
      </c>
      <c r="H80" s="310">
        <f t="shared" si="14"/>
        <v>334258.2794520547</v>
      </c>
      <c r="I80" s="10">
        <f t="shared" si="15"/>
        <v>0</v>
      </c>
      <c r="J80" s="332">
        <f t="shared" si="10"/>
        <v>0</v>
      </c>
      <c r="K80" s="15">
        <v>-541</v>
      </c>
      <c r="L80" s="10">
        <f t="shared" si="11"/>
        <v>41782.284931506838</v>
      </c>
      <c r="M80" s="15">
        <f t="shared" si="8"/>
        <v>0</v>
      </c>
      <c r="N80" s="2">
        <f t="shared" si="12"/>
        <v>0</v>
      </c>
      <c r="O80" s="138">
        <f t="shared" si="9"/>
        <v>0</v>
      </c>
      <c r="P80" s="35">
        <f>O80/'D) Ecrêtage'!C80</f>
        <v>0</v>
      </c>
      <c r="Q80" s="134"/>
    </row>
    <row r="81" spans="1:17" x14ac:dyDescent="0.25">
      <c r="A81" s="51">
        <f>+'A) Base RI'!A83</f>
        <v>5522</v>
      </c>
      <c r="B81" s="321" t="str">
        <f>+'A) Base RI'!B83</f>
        <v>Fey</v>
      </c>
      <c r="C81" s="335">
        <f>+'D) Ecrêtage'!M81</f>
        <v>20521.084933333332</v>
      </c>
      <c r="D81" s="310">
        <v>65879</v>
      </c>
      <c r="E81" s="335">
        <v>51272</v>
      </c>
      <c r="F81" s="310">
        <v>63580</v>
      </c>
      <c r="G81" s="335">
        <f t="shared" si="13"/>
        <v>180731</v>
      </c>
      <c r="H81" s="310">
        <f t="shared" si="14"/>
        <v>164168.67946666665</v>
      </c>
      <c r="I81" s="10">
        <f t="shared" si="15"/>
        <v>16562.320533333346</v>
      </c>
      <c r="J81" s="332">
        <f t="shared" si="10"/>
        <v>-11872.352656392299</v>
      </c>
      <c r="K81" s="15">
        <v>26890</v>
      </c>
      <c r="L81" s="10">
        <f t="shared" si="11"/>
        <v>20521.084933333332</v>
      </c>
      <c r="M81" s="15">
        <f t="shared" si="8"/>
        <v>6368.9150666666683</v>
      </c>
      <c r="N81" s="2">
        <f t="shared" si="12"/>
        <v>-4565.4233993295875</v>
      </c>
      <c r="O81" s="138">
        <f t="shared" si="9"/>
        <v>-16437.776055721886</v>
      </c>
      <c r="P81" s="35">
        <f>O81/'D) Ecrêtage'!C81</f>
        <v>-0.80101885982749665</v>
      </c>
      <c r="Q81" s="134"/>
    </row>
    <row r="82" spans="1:17" x14ac:dyDescent="0.25">
      <c r="A82" s="51">
        <f>+'A) Base RI'!A84</f>
        <v>5523</v>
      </c>
      <c r="B82" s="321" t="str">
        <f>+'A) Base RI'!B84</f>
        <v>Froideville</v>
      </c>
      <c r="C82" s="335">
        <f>+'D) Ecrêtage'!M82</f>
        <v>83854.770526315799</v>
      </c>
      <c r="D82" s="310">
        <v>579342</v>
      </c>
      <c r="E82" s="335">
        <v>108688</v>
      </c>
      <c r="F82" s="310">
        <v>180937</v>
      </c>
      <c r="G82" s="335">
        <f t="shared" si="13"/>
        <v>868967</v>
      </c>
      <c r="H82" s="310">
        <f t="shared" si="14"/>
        <v>670838.16421052639</v>
      </c>
      <c r="I82" s="10">
        <f t="shared" si="15"/>
        <v>198128.83578947361</v>
      </c>
      <c r="J82" s="332">
        <f t="shared" si="10"/>
        <v>-142024.50708274354</v>
      </c>
      <c r="K82" s="15">
        <v>28249</v>
      </c>
      <c r="L82" s="10">
        <f t="shared" si="11"/>
        <v>83854.770526315799</v>
      </c>
      <c r="M82" s="15">
        <f t="shared" si="8"/>
        <v>0</v>
      </c>
      <c r="N82" s="2">
        <f t="shared" si="12"/>
        <v>0</v>
      </c>
      <c r="O82" s="138">
        <f t="shared" si="9"/>
        <v>-142024.50708274354</v>
      </c>
      <c r="P82" s="35">
        <f>O82/'D) Ecrêtage'!C82</f>
        <v>-1.6936962106189601</v>
      </c>
      <c r="Q82" s="134"/>
    </row>
    <row r="83" spans="1:17" x14ac:dyDescent="0.25">
      <c r="A83" s="51">
        <f>+'A) Base RI'!A85</f>
        <v>5527</v>
      </c>
      <c r="B83" s="321" t="str">
        <f>+'A) Base RI'!B85</f>
        <v>Morrens</v>
      </c>
      <c r="C83" s="335">
        <f>+'D) Ecrêtage'!M83</f>
        <v>39746.766619718313</v>
      </c>
      <c r="D83" s="310">
        <v>260062</v>
      </c>
      <c r="E83" s="335">
        <v>31647</v>
      </c>
      <c r="F83" s="310">
        <v>65352</v>
      </c>
      <c r="G83" s="335">
        <f t="shared" si="13"/>
        <v>357061</v>
      </c>
      <c r="H83" s="310">
        <f t="shared" si="14"/>
        <v>317974.13295774651</v>
      </c>
      <c r="I83" s="10">
        <f t="shared" si="15"/>
        <v>39086.867042253492</v>
      </c>
      <c r="J83" s="332">
        <f t="shared" si="10"/>
        <v>-28018.602153315234</v>
      </c>
      <c r="K83" s="15">
        <v>9589</v>
      </c>
      <c r="L83" s="10">
        <f t="shared" si="11"/>
        <v>39746.766619718313</v>
      </c>
      <c r="M83" s="15">
        <f t="shared" si="8"/>
        <v>0</v>
      </c>
      <c r="N83" s="2">
        <f t="shared" si="12"/>
        <v>0</v>
      </c>
      <c r="O83" s="138">
        <f t="shared" si="9"/>
        <v>-28018.602153315234</v>
      </c>
      <c r="P83" s="35">
        <f>O83/'D) Ecrêtage'!C83</f>
        <v>-0.7049278352975572</v>
      </c>
      <c r="Q83" s="134"/>
    </row>
    <row r="84" spans="1:17" x14ac:dyDescent="0.25">
      <c r="A84" s="51">
        <f>+'A) Base RI'!A86</f>
        <v>5529</v>
      </c>
      <c r="B84" s="321" t="str">
        <f>+'A) Base RI'!B86</f>
        <v>Oulens-sous-Echallens</v>
      </c>
      <c r="C84" s="335">
        <f>+'D) Ecrêtage'!M84</f>
        <v>20201.042816901412</v>
      </c>
      <c r="D84" s="310">
        <v>251656</v>
      </c>
      <c r="E84" s="335">
        <v>16501</v>
      </c>
      <c r="F84" s="310">
        <v>50646</v>
      </c>
      <c r="G84" s="335">
        <f t="shared" si="13"/>
        <v>318803</v>
      </c>
      <c r="H84" s="310">
        <f t="shared" si="14"/>
        <v>161608.3425352113</v>
      </c>
      <c r="I84" s="10">
        <f t="shared" si="15"/>
        <v>157194.6574647887</v>
      </c>
      <c r="J84" s="332">
        <f t="shared" si="10"/>
        <v>-112681.69851964303</v>
      </c>
      <c r="K84" s="15">
        <v>26799</v>
      </c>
      <c r="L84" s="10">
        <f t="shared" si="11"/>
        <v>20201.042816901412</v>
      </c>
      <c r="M84" s="15">
        <f t="shared" si="8"/>
        <v>6597.9571830985878</v>
      </c>
      <c r="N84" s="2">
        <f t="shared" si="12"/>
        <v>-4729.6074443112921</v>
      </c>
      <c r="O84" s="138">
        <f t="shared" si="9"/>
        <v>-117411.30596395432</v>
      </c>
      <c r="P84" s="35">
        <f>O84/'D) Ecrêtage'!C84</f>
        <v>-5.812140839864016</v>
      </c>
      <c r="Q84" s="134"/>
    </row>
    <row r="85" spans="1:17" x14ac:dyDescent="0.25">
      <c r="A85" s="51">
        <f>+'A) Base RI'!A87</f>
        <v>5530</v>
      </c>
      <c r="B85" s="321" t="str">
        <f>+'A) Base RI'!B87</f>
        <v>Pailly</v>
      </c>
      <c r="C85" s="335">
        <f>+'D) Ecrêtage'!M85</f>
        <v>17056.622387096773</v>
      </c>
      <c r="D85" s="310">
        <v>766710</v>
      </c>
      <c r="E85" s="335">
        <v>15735</v>
      </c>
      <c r="F85" s="310">
        <v>48295</v>
      </c>
      <c r="G85" s="335">
        <f t="shared" si="13"/>
        <v>830740</v>
      </c>
      <c r="H85" s="310">
        <f t="shared" si="14"/>
        <v>136452.97909677419</v>
      </c>
      <c r="I85" s="10">
        <f t="shared" si="15"/>
        <v>694287.02090322576</v>
      </c>
      <c r="J85" s="332">
        <f t="shared" si="10"/>
        <v>-497685.1124411943</v>
      </c>
      <c r="K85" s="15">
        <v>41221</v>
      </c>
      <c r="L85" s="10">
        <f t="shared" si="11"/>
        <v>17056.622387096773</v>
      </c>
      <c r="M85" s="15">
        <f t="shared" si="8"/>
        <v>24164.377612903227</v>
      </c>
      <c r="N85" s="2">
        <f t="shared" si="12"/>
        <v>-17321.728085459225</v>
      </c>
      <c r="O85" s="138">
        <f t="shared" si="9"/>
        <v>-515006.84052665351</v>
      </c>
      <c r="P85" s="35">
        <f>O85/'D) Ecrêtage'!C85</f>
        <v>-30.193952169349362</v>
      </c>
      <c r="Q85" s="134"/>
    </row>
    <row r="86" spans="1:17" x14ac:dyDescent="0.25">
      <c r="A86" s="51">
        <f>+'A) Base RI'!A88</f>
        <v>5531</v>
      </c>
      <c r="B86" s="321" t="str">
        <f>+'A) Base RI'!B88</f>
        <v>Penthéréaz</v>
      </c>
      <c r="C86" s="335">
        <f>+'D) Ecrêtage'!M86</f>
        <v>13134.769871794872</v>
      </c>
      <c r="D86" s="310">
        <v>121584</v>
      </c>
      <c r="E86" s="335">
        <v>12111</v>
      </c>
      <c r="F86" s="310">
        <v>37171</v>
      </c>
      <c r="G86" s="335">
        <f t="shared" si="13"/>
        <v>170866</v>
      </c>
      <c r="H86" s="310">
        <f t="shared" si="14"/>
        <v>105078.15897435897</v>
      </c>
      <c r="I86" s="10">
        <f t="shared" si="15"/>
        <v>65787.841025641028</v>
      </c>
      <c r="J86" s="332">
        <f t="shared" si="10"/>
        <v>-47158.636230178519</v>
      </c>
      <c r="K86" s="15">
        <v>27885</v>
      </c>
      <c r="L86" s="10">
        <f t="shared" si="11"/>
        <v>13134.769871794872</v>
      </c>
      <c r="M86" s="15">
        <f t="shared" si="8"/>
        <v>14750.230128205128</v>
      </c>
      <c r="N86" s="2">
        <f t="shared" si="12"/>
        <v>-10573.393594970419</v>
      </c>
      <c r="O86" s="138">
        <f t="shared" si="9"/>
        <v>-57732.029825148937</v>
      </c>
      <c r="P86" s="35">
        <f>O86/'D) Ecrêtage'!C86</f>
        <v>-4.3953590651877814</v>
      </c>
      <c r="Q86" s="134"/>
    </row>
    <row r="87" spans="1:17" x14ac:dyDescent="0.25">
      <c r="A87" s="51">
        <f>+'A) Base RI'!A89</f>
        <v>5533</v>
      </c>
      <c r="B87" s="321" t="str">
        <f>+'A) Base RI'!B89</f>
        <v>Poliez-Pittet</v>
      </c>
      <c r="C87" s="335">
        <f>+'D) Ecrêtage'!M87</f>
        <v>28042.897605633803</v>
      </c>
      <c r="D87" s="310">
        <v>162089</v>
      </c>
      <c r="E87" s="335">
        <v>24870</v>
      </c>
      <c r="F87" s="310">
        <v>76784</v>
      </c>
      <c r="G87" s="335">
        <f t="shared" si="13"/>
        <v>263743</v>
      </c>
      <c r="H87" s="310">
        <f t="shared" si="14"/>
        <v>224343.18084507043</v>
      </c>
      <c r="I87" s="10">
        <f t="shared" si="15"/>
        <v>39399.819154929573</v>
      </c>
      <c r="J87" s="332">
        <f t="shared" si="10"/>
        <v>-28242.935322014371</v>
      </c>
      <c r="K87" s="15">
        <v>45134</v>
      </c>
      <c r="L87" s="10">
        <f t="shared" si="11"/>
        <v>28042.897605633803</v>
      </c>
      <c r="M87" s="15">
        <f t="shared" si="8"/>
        <v>17091.102394366197</v>
      </c>
      <c r="N87" s="2">
        <f t="shared" si="12"/>
        <v>-12251.398860687799</v>
      </c>
      <c r="O87" s="138">
        <f t="shared" si="9"/>
        <v>-40494.334182702172</v>
      </c>
      <c r="P87" s="35">
        <f>O87/'D) Ecrêtage'!C87</f>
        <v>-1.4440139086970414</v>
      </c>
      <c r="Q87" s="134"/>
    </row>
    <row r="88" spans="1:17" x14ac:dyDescent="0.25">
      <c r="A88" s="51">
        <f>+'A) Base RI'!A90</f>
        <v>5534</v>
      </c>
      <c r="B88" s="321" t="str">
        <f>+'A) Base RI'!B90</f>
        <v>Rueyres</v>
      </c>
      <c r="C88" s="335">
        <f>+'D) Ecrêtage'!M88</f>
        <v>9722.0657534246584</v>
      </c>
      <c r="D88" s="310">
        <v>61107</v>
      </c>
      <c r="E88" s="335">
        <v>15971</v>
      </c>
      <c r="F88" s="310">
        <v>24509</v>
      </c>
      <c r="G88" s="335">
        <f t="shared" si="13"/>
        <v>101587</v>
      </c>
      <c r="H88" s="310">
        <f t="shared" si="14"/>
        <v>77776.526027397267</v>
      </c>
      <c r="I88" s="10">
        <f t="shared" si="15"/>
        <v>23810.473972602733</v>
      </c>
      <c r="J88" s="332">
        <f t="shared" si="10"/>
        <v>-17068.039671714774</v>
      </c>
      <c r="K88" s="15">
        <v>10485</v>
      </c>
      <c r="L88" s="10">
        <f t="shared" si="11"/>
        <v>9722.0657534246584</v>
      </c>
      <c r="M88" s="15">
        <f t="shared" si="8"/>
        <v>762.9342465753416</v>
      </c>
      <c r="N88" s="2">
        <f t="shared" si="12"/>
        <v>-546.89343867917694</v>
      </c>
      <c r="O88" s="138">
        <f t="shared" si="9"/>
        <v>-17614.933110393951</v>
      </c>
      <c r="P88" s="35">
        <f>O88/'D) Ecrêtage'!C88</f>
        <v>-1.8118508511618512</v>
      </c>
      <c r="Q88" s="134"/>
    </row>
    <row r="89" spans="1:17" x14ac:dyDescent="0.25">
      <c r="A89" s="51">
        <f>+'A) Base RI'!A91</f>
        <v>5535</v>
      </c>
      <c r="B89" s="321" t="str">
        <f>+'A) Base RI'!B91</f>
        <v>Saint-Barthélemy</v>
      </c>
      <c r="C89" s="335">
        <f>+'D) Ecrêtage'!M89</f>
        <v>23314.139350649355</v>
      </c>
      <c r="D89" s="310">
        <v>61931</v>
      </c>
      <c r="E89" s="335">
        <v>22896</v>
      </c>
      <c r="F89" s="310">
        <v>70272</v>
      </c>
      <c r="G89" s="335">
        <f t="shared" si="13"/>
        <v>155099</v>
      </c>
      <c r="H89" s="310">
        <f t="shared" si="14"/>
        <v>186513.11480519484</v>
      </c>
      <c r="I89" s="10">
        <f t="shared" si="15"/>
        <v>0</v>
      </c>
      <c r="J89" s="332">
        <f t="shared" si="10"/>
        <v>0</v>
      </c>
      <c r="K89" s="15">
        <v>7858</v>
      </c>
      <c r="L89" s="10">
        <f t="shared" si="11"/>
        <v>23314.139350649355</v>
      </c>
      <c r="M89" s="15">
        <f t="shared" si="8"/>
        <v>0</v>
      </c>
      <c r="N89" s="2">
        <f t="shared" si="12"/>
        <v>0</v>
      </c>
      <c r="O89" s="138">
        <f t="shared" si="9"/>
        <v>0</v>
      </c>
      <c r="P89" s="35">
        <f>O89/'D) Ecrêtage'!C89</f>
        <v>0</v>
      </c>
      <c r="Q89" s="134"/>
    </row>
    <row r="90" spans="1:17" x14ac:dyDescent="0.25">
      <c r="A90" s="51">
        <f>+'A) Base RI'!A92</f>
        <v>5537</v>
      </c>
      <c r="B90" s="321" t="str">
        <f>+'A) Base RI'!B92</f>
        <v>Villars-le-Terroir</v>
      </c>
      <c r="C90" s="335">
        <f>+'D) Ecrêtage'!M90</f>
        <v>33778.811643835616</v>
      </c>
      <c r="D90" s="310">
        <v>188066</v>
      </c>
      <c r="E90" s="335">
        <v>47117</v>
      </c>
      <c r="F90" s="310">
        <v>96409</v>
      </c>
      <c r="G90" s="335">
        <f t="shared" si="13"/>
        <v>331592</v>
      </c>
      <c r="H90" s="310">
        <f t="shared" si="14"/>
        <v>270230.49315068492</v>
      </c>
      <c r="I90" s="10">
        <f t="shared" si="15"/>
        <v>61361.506849315076</v>
      </c>
      <c r="J90" s="332">
        <f t="shared" si="10"/>
        <v>-43985.711264101497</v>
      </c>
      <c r="K90" s="15">
        <v>1393</v>
      </c>
      <c r="L90" s="10">
        <f t="shared" si="11"/>
        <v>33778.811643835616</v>
      </c>
      <c r="M90" s="15">
        <f t="shared" si="8"/>
        <v>0</v>
      </c>
      <c r="N90" s="2">
        <f t="shared" si="12"/>
        <v>0</v>
      </c>
      <c r="O90" s="138">
        <f t="shared" si="9"/>
        <v>-43985.711264101497</v>
      </c>
      <c r="P90" s="35">
        <f>O90/'D) Ecrêtage'!C90</f>
        <v>-1.3021687005418547</v>
      </c>
      <c r="Q90" s="134"/>
    </row>
    <row r="91" spans="1:17" x14ac:dyDescent="0.25">
      <c r="A91" s="51">
        <f>+'A) Base RI'!A93</f>
        <v>5539</v>
      </c>
      <c r="B91" s="321" t="str">
        <f>+'A) Base RI'!B93</f>
        <v>Vuarrens</v>
      </c>
      <c r="C91" s="335">
        <f>+'D) Ecrêtage'!M91</f>
        <v>26961.993700000003</v>
      </c>
      <c r="D91" s="310">
        <v>511463</v>
      </c>
      <c r="E91" s="335">
        <v>43891</v>
      </c>
      <c r="F91" s="310">
        <v>89807</v>
      </c>
      <c r="G91" s="335">
        <f t="shared" si="13"/>
        <v>645161</v>
      </c>
      <c r="H91" s="310">
        <f t="shared" si="14"/>
        <v>215695.94960000002</v>
      </c>
      <c r="I91" s="10">
        <f t="shared" si="15"/>
        <v>429465.05039999995</v>
      </c>
      <c r="J91" s="332">
        <f t="shared" si="10"/>
        <v>-307853.02830496005</v>
      </c>
      <c r="K91" s="15">
        <v>81084</v>
      </c>
      <c r="L91" s="10">
        <f t="shared" si="11"/>
        <v>26961.993700000003</v>
      </c>
      <c r="M91" s="15">
        <f>IF(K91&gt;L91,K91-L91,0)</f>
        <v>54122.006299999994</v>
      </c>
      <c r="N91" s="2">
        <f t="shared" si="12"/>
        <v>-38796.226891749713</v>
      </c>
      <c r="O91" s="138">
        <f>N91+J91</f>
        <v>-346649.25519670977</v>
      </c>
      <c r="P91" s="35">
        <f>O91/'D) Ecrêtage'!C91</f>
        <v>-12.856959283271019</v>
      </c>
      <c r="Q91" s="134"/>
    </row>
    <row r="92" spans="1:17" x14ac:dyDescent="0.25">
      <c r="A92" s="51">
        <f>+'A) Base RI'!A94</f>
        <v>5540</v>
      </c>
      <c r="B92" s="321" t="str">
        <f>+'A) Base RI'!B94</f>
        <v>Montilliez</v>
      </c>
      <c r="C92" s="335">
        <f>+'D) Ecrêtage'!M92</f>
        <v>57534.065472972972</v>
      </c>
      <c r="D92" s="310">
        <v>525360</v>
      </c>
      <c r="E92" s="335">
        <v>125086</v>
      </c>
      <c r="F92" s="310">
        <v>153567</v>
      </c>
      <c r="G92" s="335">
        <f t="shared" si="13"/>
        <v>804013</v>
      </c>
      <c r="H92" s="310">
        <f t="shared" si="14"/>
        <v>460272.52378378378</v>
      </c>
      <c r="I92" s="10">
        <f t="shared" si="15"/>
        <v>343740.47621621622</v>
      </c>
      <c r="J92" s="332">
        <f t="shared" si="10"/>
        <v>-246403.16238909317</v>
      </c>
      <c r="K92" s="15">
        <v>106840</v>
      </c>
      <c r="L92" s="10">
        <f t="shared" si="11"/>
        <v>57534.065472972972</v>
      </c>
      <c r="M92" s="15">
        <f>IF(K92&gt;L92,K92-L92,0)</f>
        <v>49305.934527027028</v>
      </c>
      <c r="N92" s="2">
        <f t="shared" si="12"/>
        <v>-35343.926690690641</v>
      </c>
      <c r="O92" s="138">
        <f>N92+J92</f>
        <v>-281747.08907978382</v>
      </c>
      <c r="P92" s="35">
        <f>O92/'D) Ecrêtage'!C92</f>
        <v>-4.8970481533611849</v>
      </c>
      <c r="Q92" s="134"/>
    </row>
    <row r="93" spans="1:17" x14ac:dyDescent="0.25">
      <c r="A93" s="51">
        <f>+'A) Base RI'!A95</f>
        <v>5541</v>
      </c>
      <c r="B93" s="321" t="str">
        <f>+'A) Base RI'!B95</f>
        <v>Goumoëns</v>
      </c>
      <c r="C93" s="335">
        <f>+'D) Ecrêtage'!M93</f>
        <v>38967.18311688312</v>
      </c>
      <c r="D93" s="310">
        <v>209574</v>
      </c>
      <c r="E93" s="335">
        <v>30970</v>
      </c>
      <c r="F93" s="310">
        <v>95052</v>
      </c>
      <c r="G93" s="335">
        <f t="shared" si="13"/>
        <v>335596</v>
      </c>
      <c r="H93" s="310">
        <f t="shared" si="14"/>
        <v>311737.46493506496</v>
      </c>
      <c r="I93" s="10">
        <f t="shared" si="15"/>
        <v>23858.535064935044</v>
      </c>
      <c r="J93" s="332">
        <f t="shared" si="10"/>
        <v>-17102.491259345399</v>
      </c>
      <c r="K93" s="15">
        <v>-29715</v>
      </c>
      <c r="L93" s="10">
        <f t="shared" si="11"/>
        <v>38967.18311688312</v>
      </c>
      <c r="M93" s="15">
        <f t="shared" si="8"/>
        <v>0</v>
      </c>
      <c r="N93" s="2">
        <f t="shared" si="12"/>
        <v>0</v>
      </c>
      <c r="O93" s="138">
        <f t="shared" si="9"/>
        <v>-17102.491259345399</v>
      </c>
      <c r="P93" s="35">
        <f>O93/'D) Ecrêtage'!C93</f>
        <v>-0.43889472862449447</v>
      </c>
      <c r="Q93" s="134"/>
    </row>
    <row r="94" spans="1:17" x14ac:dyDescent="0.25">
      <c r="A94" s="51">
        <f>+'A) Base RI'!A96</f>
        <v>5551</v>
      </c>
      <c r="B94" s="321" t="str">
        <f>+'A) Base RI'!B96</f>
        <v>Bonvillars</v>
      </c>
      <c r="C94" s="335">
        <f>+'D) Ecrêtage'!M94</f>
        <v>18919.686363636367</v>
      </c>
      <c r="D94" s="310">
        <v>85486</v>
      </c>
      <c r="E94" s="335">
        <v>30090</v>
      </c>
      <c r="F94" s="310">
        <v>73918</v>
      </c>
      <c r="G94" s="335">
        <f t="shared" si="13"/>
        <v>189494</v>
      </c>
      <c r="H94" s="310">
        <f t="shared" si="14"/>
        <v>151357.49090909094</v>
      </c>
      <c r="I94" s="10">
        <f t="shared" si="15"/>
        <v>38136.509090909065</v>
      </c>
      <c r="J94" s="332">
        <f t="shared" si="10"/>
        <v>-27337.357956557938</v>
      </c>
      <c r="K94" s="15">
        <v>83896</v>
      </c>
      <c r="L94" s="10">
        <f t="shared" si="11"/>
        <v>18919.686363636367</v>
      </c>
      <c r="M94" s="15">
        <f t="shared" si="8"/>
        <v>64976.313636363629</v>
      </c>
      <c r="N94" s="2">
        <f t="shared" si="12"/>
        <v>-46576.909814702391</v>
      </c>
      <c r="O94" s="138">
        <f t="shared" si="9"/>
        <v>-73914.267771260333</v>
      </c>
      <c r="P94" s="35">
        <f>O94/'D) Ecrêtage'!C94</f>
        <v>-3.9067385341716627</v>
      </c>
      <c r="Q94" s="134"/>
    </row>
    <row r="95" spans="1:17" x14ac:dyDescent="0.25">
      <c r="A95" s="51">
        <f>+'A) Base RI'!A97</f>
        <v>5552</v>
      </c>
      <c r="B95" s="321" t="str">
        <f>+'A) Base RI'!B97</f>
        <v>Bullet</v>
      </c>
      <c r="C95" s="335">
        <f>+'D) Ecrêtage'!M95</f>
        <v>17961.232428571428</v>
      </c>
      <c r="D95" s="310">
        <v>315297</v>
      </c>
      <c r="E95" s="335">
        <v>25490</v>
      </c>
      <c r="F95" s="310">
        <v>45393</v>
      </c>
      <c r="G95" s="335">
        <f t="shared" si="13"/>
        <v>386180</v>
      </c>
      <c r="H95" s="310">
        <f t="shared" si="14"/>
        <v>143689.85942857142</v>
      </c>
      <c r="I95" s="10">
        <f t="shared" si="15"/>
        <v>242490.14057142858</v>
      </c>
      <c r="J95" s="332">
        <f t="shared" si="10"/>
        <v>-173823.97948210259</v>
      </c>
      <c r="K95" s="15">
        <v>46601</v>
      </c>
      <c r="L95" s="10">
        <f t="shared" si="11"/>
        <v>17961.232428571428</v>
      </c>
      <c r="M95" s="15">
        <f t="shared" si="8"/>
        <v>28639.767571428572</v>
      </c>
      <c r="N95" s="2">
        <f t="shared" si="12"/>
        <v>-20529.817661769106</v>
      </c>
      <c r="O95" s="138">
        <f t="shared" si="9"/>
        <v>-194353.79714387169</v>
      </c>
      <c r="P95" s="35">
        <f>O95/'D) Ecrêtage'!C95</f>
        <v>-10.820738382891129</v>
      </c>
      <c r="Q95" s="134"/>
    </row>
    <row r="96" spans="1:17" x14ac:dyDescent="0.25">
      <c r="A96" s="51">
        <f>+'A) Base RI'!A98</f>
        <v>5553</v>
      </c>
      <c r="B96" s="321" t="str">
        <f>+'A) Base RI'!B98</f>
        <v>Champagne</v>
      </c>
      <c r="C96" s="335">
        <f>+'D) Ecrêtage'!M96</f>
        <v>34503.509846153851</v>
      </c>
      <c r="D96" s="310">
        <v>356945</v>
      </c>
      <c r="E96" s="335">
        <v>62429</v>
      </c>
      <c r="F96" s="310">
        <v>187652</v>
      </c>
      <c r="G96" s="335">
        <f t="shared" si="13"/>
        <v>607026</v>
      </c>
      <c r="H96" s="310">
        <f t="shared" si="14"/>
        <v>276028.07876923081</v>
      </c>
      <c r="I96" s="10">
        <f t="shared" si="15"/>
        <v>330997.92123076919</v>
      </c>
      <c r="J96" s="332">
        <f t="shared" si="10"/>
        <v>-237268.92867913551</v>
      </c>
      <c r="K96" s="15">
        <v>36904</v>
      </c>
      <c r="L96" s="10">
        <f t="shared" si="11"/>
        <v>34503.509846153851</v>
      </c>
      <c r="M96" s="15">
        <f t="shared" si="8"/>
        <v>2400.490153846149</v>
      </c>
      <c r="N96" s="2">
        <f t="shared" si="12"/>
        <v>-1720.7411000952932</v>
      </c>
      <c r="O96" s="138">
        <f t="shared" si="9"/>
        <v>-238989.66977923081</v>
      </c>
      <c r="P96" s="35">
        <f>O96/'D) Ecrêtage'!C96</f>
        <v>-6.9265321367261219</v>
      </c>
      <c r="Q96" s="134"/>
    </row>
    <row r="97" spans="1:17" x14ac:dyDescent="0.25">
      <c r="A97" s="51">
        <f>+'A) Base RI'!A99</f>
        <v>5554</v>
      </c>
      <c r="B97" s="321" t="str">
        <f>+'A) Base RI'!B99</f>
        <v>Concise</v>
      </c>
      <c r="C97" s="335">
        <f>+'D) Ecrêtage'!M97</f>
        <v>31707.482800000005</v>
      </c>
      <c r="D97" s="310">
        <v>207386</v>
      </c>
      <c r="E97" s="335">
        <v>77809</v>
      </c>
      <c r="F97" s="310">
        <v>139260</v>
      </c>
      <c r="G97" s="335">
        <f t="shared" si="13"/>
        <v>424455</v>
      </c>
      <c r="H97" s="310">
        <f t="shared" si="14"/>
        <v>253659.86240000004</v>
      </c>
      <c r="I97" s="10">
        <f t="shared" si="15"/>
        <v>170795.13759999996</v>
      </c>
      <c r="J97" s="332">
        <f t="shared" si="10"/>
        <v>-122430.91790810446</v>
      </c>
      <c r="K97" s="15">
        <v>62512</v>
      </c>
      <c r="L97" s="10">
        <f t="shared" si="11"/>
        <v>31707.482800000005</v>
      </c>
      <c r="M97" s="15">
        <f t="shared" si="8"/>
        <v>30804.517199999995</v>
      </c>
      <c r="N97" s="2">
        <f t="shared" si="12"/>
        <v>-22081.573102769595</v>
      </c>
      <c r="O97" s="138">
        <f t="shared" si="9"/>
        <v>-144512.49101087404</v>
      </c>
      <c r="P97" s="35">
        <f>O97/'D) Ecrêtage'!C97</f>
        <v>-4.5576778176435377</v>
      </c>
      <c r="Q97" s="134"/>
    </row>
    <row r="98" spans="1:17" x14ac:dyDescent="0.25">
      <c r="A98" s="51">
        <f>+'A) Base RI'!A100</f>
        <v>5555</v>
      </c>
      <c r="B98" s="321" t="str">
        <f>+'A) Base RI'!B100</f>
        <v>Corcelles-près-Concise</v>
      </c>
      <c r="C98" s="335">
        <f>+'D) Ecrêtage'!M98</f>
        <v>13647.491690140843</v>
      </c>
      <c r="D98" s="310">
        <v>153000</v>
      </c>
      <c r="E98" s="335">
        <v>23039</v>
      </c>
      <c r="F98" s="310">
        <v>57196</v>
      </c>
      <c r="G98" s="335">
        <f t="shared" si="13"/>
        <v>233235</v>
      </c>
      <c r="H98" s="310">
        <f t="shared" si="14"/>
        <v>109179.93352112675</v>
      </c>
      <c r="I98" s="10">
        <f t="shared" si="15"/>
        <v>124055.06647887325</v>
      </c>
      <c r="J98" s="332">
        <f t="shared" si="10"/>
        <v>-88926.276670298932</v>
      </c>
      <c r="K98" s="15">
        <v>25292</v>
      </c>
      <c r="L98" s="10">
        <f t="shared" si="11"/>
        <v>13647.491690140843</v>
      </c>
      <c r="M98" s="15">
        <f t="shared" si="8"/>
        <v>11644.508309859157</v>
      </c>
      <c r="N98" s="2">
        <f t="shared" si="12"/>
        <v>-8347.1219438544886</v>
      </c>
      <c r="O98" s="138">
        <f t="shared" si="9"/>
        <v>-97273.398614153426</v>
      </c>
      <c r="P98" s="35">
        <f>O98/'D) Ecrêtage'!C98</f>
        <v>-7.1275660628850366</v>
      </c>
      <c r="Q98" s="134"/>
    </row>
    <row r="99" spans="1:17" x14ac:dyDescent="0.25">
      <c r="A99" s="51">
        <f>+'A) Base RI'!A101</f>
        <v>5556</v>
      </c>
      <c r="B99" s="321" t="str">
        <f>+'A) Base RI'!B101</f>
        <v>Fiez</v>
      </c>
      <c r="C99" s="335">
        <f>+'D) Ecrêtage'!M99</f>
        <v>12912.419806763286</v>
      </c>
      <c r="D99" s="310">
        <v>145155</v>
      </c>
      <c r="E99" s="335">
        <v>17304</v>
      </c>
      <c r="F99" s="310">
        <v>100748</v>
      </c>
      <c r="G99" s="335">
        <f t="shared" si="13"/>
        <v>263207</v>
      </c>
      <c r="H99" s="310">
        <f t="shared" si="14"/>
        <v>103299.35845410629</v>
      </c>
      <c r="I99" s="10">
        <f t="shared" si="15"/>
        <v>159907.64154589371</v>
      </c>
      <c r="J99" s="332">
        <f t="shared" si="10"/>
        <v>-114626.44434781562</v>
      </c>
      <c r="K99" s="15">
        <v>13718</v>
      </c>
      <c r="L99" s="10">
        <f t="shared" si="11"/>
        <v>12912.419806763286</v>
      </c>
      <c r="M99" s="15">
        <f t="shared" si="8"/>
        <v>805.58019323671397</v>
      </c>
      <c r="N99" s="2">
        <f t="shared" si="12"/>
        <v>-577.46329252969952</v>
      </c>
      <c r="O99" s="138">
        <f t="shared" si="9"/>
        <v>-115203.90764034532</v>
      </c>
      <c r="P99" s="35">
        <f>O99/'D) Ecrêtage'!C99</f>
        <v>-8.9219456433722559</v>
      </c>
      <c r="Q99" s="134"/>
    </row>
    <row r="100" spans="1:17" x14ac:dyDescent="0.25">
      <c r="A100" s="51">
        <f>+'A) Base RI'!A102</f>
        <v>5557</v>
      </c>
      <c r="B100" s="321" t="str">
        <f>+'A) Base RI'!B102</f>
        <v>Fontaines-sur-Grandson</v>
      </c>
      <c r="C100" s="335">
        <f>+'D) Ecrêtage'!M100</f>
        <v>4472.1762318840592</v>
      </c>
      <c r="D100" s="310">
        <v>18765</v>
      </c>
      <c r="E100" s="335">
        <v>8105</v>
      </c>
      <c r="F100" s="310">
        <v>41605</v>
      </c>
      <c r="G100" s="335">
        <f t="shared" si="13"/>
        <v>68475</v>
      </c>
      <c r="H100" s="310">
        <f t="shared" si="14"/>
        <v>35777.409855072474</v>
      </c>
      <c r="I100" s="10">
        <f t="shared" si="15"/>
        <v>32697.590144927526</v>
      </c>
      <c r="J100" s="332">
        <f t="shared" si="10"/>
        <v>-23438.582802057874</v>
      </c>
      <c r="K100" s="15">
        <v>22230</v>
      </c>
      <c r="L100" s="10">
        <f t="shared" si="11"/>
        <v>4472.1762318840592</v>
      </c>
      <c r="M100" s="15">
        <f t="shared" si="8"/>
        <v>17757.823768115941</v>
      </c>
      <c r="N100" s="2">
        <f t="shared" si="12"/>
        <v>-12729.324116196558</v>
      </c>
      <c r="O100" s="138">
        <f t="shared" si="9"/>
        <v>-36167.906918254434</v>
      </c>
      <c r="P100" s="35">
        <f>O100/'D) Ecrêtage'!C100</f>
        <v>-8.0873170114357169</v>
      </c>
      <c r="Q100" s="134"/>
    </row>
    <row r="101" spans="1:17" x14ac:dyDescent="0.25">
      <c r="A101" s="51">
        <f>+'A) Base RI'!A103</f>
        <v>5559</v>
      </c>
      <c r="B101" s="321" t="str">
        <f>+'A) Base RI'!B103</f>
        <v>Giez</v>
      </c>
      <c r="C101" s="335">
        <f>+'D) Ecrêtage'!M101</f>
        <v>14390.805000000002</v>
      </c>
      <c r="D101" s="310">
        <v>66638</v>
      </c>
      <c r="E101" s="335">
        <v>16534</v>
      </c>
      <c r="F101" s="310">
        <v>66374</v>
      </c>
      <c r="G101" s="335">
        <f t="shared" si="13"/>
        <v>149546</v>
      </c>
      <c r="H101" s="310">
        <f t="shared" si="14"/>
        <v>115126.44000000002</v>
      </c>
      <c r="I101" s="10">
        <f t="shared" si="15"/>
        <v>34419.559999999983</v>
      </c>
      <c r="J101" s="332">
        <f t="shared" si="10"/>
        <v>-24672.940834312572</v>
      </c>
      <c r="K101" s="15">
        <v>15159</v>
      </c>
      <c r="L101" s="10">
        <f t="shared" si="11"/>
        <v>14390.805000000002</v>
      </c>
      <c r="M101" s="15">
        <f t="shared" si="8"/>
        <v>768.19499999999789</v>
      </c>
      <c r="N101" s="2">
        <f t="shared" si="12"/>
        <v>-550.66449961053263</v>
      </c>
      <c r="O101" s="138">
        <f t="shared" si="9"/>
        <v>-25223.605333923104</v>
      </c>
      <c r="P101" s="35">
        <f>O101/'D) Ecrêtage'!C101</f>
        <v>-1.7527584686140283</v>
      </c>
      <c r="Q101" s="134"/>
    </row>
    <row r="102" spans="1:17" x14ac:dyDescent="0.25">
      <c r="A102" s="51">
        <f>+'A) Base RI'!A104</f>
        <v>5560</v>
      </c>
      <c r="B102" s="321" t="str">
        <f>+'A) Base RI'!B104</f>
        <v>Grandevent</v>
      </c>
      <c r="C102" s="335">
        <f>+'D) Ecrêtage'!M102</f>
        <v>6268.2104411764703</v>
      </c>
      <c r="D102" s="310">
        <v>30449</v>
      </c>
      <c r="E102" s="335">
        <v>9401</v>
      </c>
      <c r="F102" s="310">
        <v>31800</v>
      </c>
      <c r="G102" s="335">
        <f t="shared" si="13"/>
        <v>71650</v>
      </c>
      <c r="H102" s="310">
        <f t="shared" si="14"/>
        <v>50145.683529411763</v>
      </c>
      <c r="I102" s="10">
        <f t="shared" si="15"/>
        <v>21504.316470588237</v>
      </c>
      <c r="J102" s="332">
        <f t="shared" si="10"/>
        <v>-15414.918957742551</v>
      </c>
      <c r="K102" s="15">
        <v>9656</v>
      </c>
      <c r="L102" s="10">
        <f t="shared" si="11"/>
        <v>6268.2104411764703</v>
      </c>
      <c r="M102" s="15">
        <f t="shared" si="8"/>
        <v>3387.7895588235297</v>
      </c>
      <c r="N102" s="2">
        <f t="shared" si="12"/>
        <v>-2428.4660043287854</v>
      </c>
      <c r="O102" s="138">
        <f t="shared" si="9"/>
        <v>-17843.384962071337</v>
      </c>
      <c r="P102" s="35">
        <f>O102/'D) Ecrêtage'!C102</f>
        <v>-2.8466474011236835</v>
      </c>
      <c r="Q102" s="134"/>
    </row>
    <row r="103" spans="1:17" x14ac:dyDescent="0.25">
      <c r="A103" s="51">
        <f>+'A) Base RI'!A105</f>
        <v>5561</v>
      </c>
      <c r="B103" s="321" t="str">
        <f>+'A) Base RI'!B105</f>
        <v>Grandson</v>
      </c>
      <c r="C103" s="335">
        <f>+'D) Ecrêtage'!M103</f>
        <v>116951.12594202899</v>
      </c>
      <c r="D103" s="310">
        <v>1294833</v>
      </c>
      <c r="E103" s="335">
        <v>335650</v>
      </c>
      <c r="F103" s="310">
        <v>477437</v>
      </c>
      <c r="G103" s="335">
        <f t="shared" si="13"/>
        <v>2107920</v>
      </c>
      <c r="H103" s="310">
        <f t="shared" si="14"/>
        <v>935609.00753623189</v>
      </c>
      <c r="I103" s="10">
        <f t="shared" si="15"/>
        <v>1172310.992463768</v>
      </c>
      <c r="J103" s="332">
        <f t="shared" si="10"/>
        <v>-840346.58654767275</v>
      </c>
      <c r="K103" s="15">
        <v>45683</v>
      </c>
      <c r="L103" s="10">
        <f t="shared" si="11"/>
        <v>116951.12594202899</v>
      </c>
      <c r="M103" s="15">
        <f t="shared" si="8"/>
        <v>0</v>
      </c>
      <c r="N103" s="2">
        <f t="shared" si="12"/>
        <v>0</v>
      </c>
      <c r="O103" s="138">
        <f t="shared" si="9"/>
        <v>-840346.58654767275</v>
      </c>
      <c r="P103" s="35">
        <f>O103/'D) Ecrêtage'!C103</f>
        <v>-7.1854510145051584</v>
      </c>
      <c r="Q103" s="134"/>
    </row>
    <row r="104" spans="1:17" x14ac:dyDescent="0.25">
      <c r="A104" s="51">
        <f>+'A) Base RI'!A106</f>
        <v>5562</v>
      </c>
      <c r="B104" s="321" t="str">
        <f>+'A) Base RI'!B106</f>
        <v>Mauborget</v>
      </c>
      <c r="C104" s="335">
        <f>+'D) Ecrêtage'!M104</f>
        <v>5914.7906428571432</v>
      </c>
      <c r="D104" s="310">
        <v>42755</v>
      </c>
      <c r="E104" s="335">
        <v>4984</v>
      </c>
      <c r="F104" s="310">
        <v>8087</v>
      </c>
      <c r="G104" s="335">
        <f t="shared" si="13"/>
        <v>55826</v>
      </c>
      <c r="H104" s="310">
        <f t="shared" si="14"/>
        <v>47318.325142857146</v>
      </c>
      <c r="I104" s="10">
        <f t="shared" si="15"/>
        <v>8507.6748571428543</v>
      </c>
      <c r="J104" s="332">
        <f t="shared" si="10"/>
        <v>-6098.5485691233243</v>
      </c>
      <c r="K104" s="15">
        <v>10852</v>
      </c>
      <c r="L104" s="10">
        <f t="shared" si="11"/>
        <v>5914.7906428571432</v>
      </c>
      <c r="M104" s="15">
        <f t="shared" si="8"/>
        <v>4937.2093571428568</v>
      </c>
      <c r="N104" s="2">
        <f t="shared" si="12"/>
        <v>-3539.1351416287766</v>
      </c>
      <c r="O104" s="138">
        <f t="shared" si="9"/>
        <v>-9637.6837107521005</v>
      </c>
      <c r="P104" s="35">
        <f>O104/'D) Ecrêtage'!C104</f>
        <v>-1.6294209368831711</v>
      </c>
      <c r="Q104" s="134"/>
    </row>
    <row r="105" spans="1:17" x14ac:dyDescent="0.25">
      <c r="A105" s="51">
        <f>+'A) Base RI'!A107</f>
        <v>5563</v>
      </c>
      <c r="B105" s="321" t="str">
        <f>+'A) Base RI'!B107</f>
        <v>Mutrux</v>
      </c>
      <c r="C105" s="335">
        <f>+'D) Ecrêtage'!M105</f>
        <v>3113.0356687898088</v>
      </c>
      <c r="D105" s="310">
        <v>35580</v>
      </c>
      <c r="E105" s="335">
        <v>6565</v>
      </c>
      <c r="F105" s="310">
        <v>30126</v>
      </c>
      <c r="G105" s="335">
        <f t="shared" si="13"/>
        <v>72271</v>
      </c>
      <c r="H105" s="310">
        <f t="shared" si="14"/>
        <v>24904.285350318471</v>
      </c>
      <c r="I105" s="10">
        <f t="shared" si="15"/>
        <v>47366.714649681526</v>
      </c>
      <c r="J105" s="332">
        <f t="shared" si="10"/>
        <v>-33953.837529223485</v>
      </c>
      <c r="K105" s="15">
        <v>-3864</v>
      </c>
      <c r="L105" s="10">
        <f t="shared" si="11"/>
        <v>3113.0356687898088</v>
      </c>
      <c r="M105" s="15">
        <f t="shared" si="8"/>
        <v>0</v>
      </c>
      <c r="N105" s="2">
        <f t="shared" si="12"/>
        <v>0</v>
      </c>
      <c r="O105" s="138">
        <f t="shared" si="9"/>
        <v>-33953.837529223485</v>
      </c>
      <c r="P105" s="35">
        <f>O105/'D) Ecrêtage'!C105</f>
        <v>-10.906986344433061</v>
      </c>
      <c r="Q105" s="134"/>
    </row>
    <row r="106" spans="1:17" x14ac:dyDescent="0.25">
      <c r="A106" s="51">
        <f>+'A) Base RI'!A108</f>
        <v>5564</v>
      </c>
      <c r="B106" s="321" t="str">
        <f>+'A) Base RI'!B108</f>
        <v>Novalles</v>
      </c>
      <c r="C106" s="335">
        <f>+'D) Ecrêtage'!M106</f>
        <v>2626.7922039473683</v>
      </c>
      <c r="D106" s="310">
        <v>11485</v>
      </c>
      <c r="E106" s="335">
        <v>4093</v>
      </c>
      <c r="F106" s="310">
        <v>14541</v>
      </c>
      <c r="G106" s="335">
        <f t="shared" si="13"/>
        <v>30119</v>
      </c>
      <c r="H106" s="310">
        <f t="shared" si="14"/>
        <v>21014.337631578946</v>
      </c>
      <c r="I106" s="10">
        <f t="shared" si="15"/>
        <v>9104.6623684210535</v>
      </c>
      <c r="J106" s="332">
        <f t="shared" si="10"/>
        <v>-6526.4865655587973</v>
      </c>
      <c r="K106" s="15">
        <v>8611</v>
      </c>
      <c r="L106" s="10">
        <f t="shared" si="11"/>
        <v>2626.7922039473683</v>
      </c>
      <c r="M106" s="15">
        <f t="shared" si="8"/>
        <v>5984.2077960526312</v>
      </c>
      <c r="N106" s="2">
        <f t="shared" si="12"/>
        <v>-4289.6540482283526</v>
      </c>
      <c r="O106" s="138">
        <f t="shared" si="9"/>
        <v>-10816.140613787149</v>
      </c>
      <c r="P106" s="35">
        <f>O106/'D) Ecrêtage'!C106</f>
        <v>-4.1176232354936086</v>
      </c>
      <c r="Q106" s="134"/>
    </row>
    <row r="107" spans="1:17" x14ac:dyDescent="0.25">
      <c r="A107" s="51">
        <f>+'A) Base RI'!A109</f>
        <v>5565</v>
      </c>
      <c r="B107" s="321" t="str">
        <f>+'A) Base RI'!B109</f>
        <v>Onnens</v>
      </c>
      <c r="C107" s="335">
        <f>+'D) Ecrêtage'!M107</f>
        <v>19016.562615384613</v>
      </c>
      <c r="D107" s="310">
        <v>82352</v>
      </c>
      <c r="E107" s="335">
        <v>30394</v>
      </c>
      <c r="F107" s="310">
        <v>80444</v>
      </c>
      <c r="G107" s="335">
        <f t="shared" si="13"/>
        <v>193190</v>
      </c>
      <c r="H107" s="310">
        <f t="shared" si="14"/>
        <v>152132.50092307691</v>
      </c>
      <c r="I107" s="10">
        <f t="shared" si="15"/>
        <v>41057.499076923094</v>
      </c>
      <c r="J107" s="332">
        <f t="shared" si="10"/>
        <v>-29431.208461984032</v>
      </c>
      <c r="K107" s="15">
        <v>38735</v>
      </c>
      <c r="L107" s="10">
        <f t="shared" si="11"/>
        <v>19016.562615384613</v>
      </c>
      <c r="M107" s="15">
        <f t="shared" si="8"/>
        <v>19718.437384615387</v>
      </c>
      <c r="N107" s="2">
        <f t="shared" si="12"/>
        <v>-14134.748931587528</v>
      </c>
      <c r="O107" s="138">
        <f t="shared" si="9"/>
        <v>-43565.95739357156</v>
      </c>
      <c r="P107" s="35">
        <f>O107/'D) Ecrêtage'!C107</f>
        <v>-2.2909480685182406</v>
      </c>
      <c r="Q107" s="134"/>
    </row>
    <row r="108" spans="1:17" x14ac:dyDescent="0.25">
      <c r="A108" s="51">
        <f>+'A) Base RI'!A110</f>
        <v>5566</v>
      </c>
      <c r="B108" s="321" t="str">
        <f>+'A) Base RI'!B110</f>
        <v>Provence</v>
      </c>
      <c r="C108" s="335">
        <f>+'D) Ecrêtage'!M108</f>
        <v>7944.5948559670787</v>
      </c>
      <c r="D108" s="310">
        <v>252179</v>
      </c>
      <c r="E108" s="335">
        <v>15805</v>
      </c>
      <c r="F108" s="310">
        <v>29290</v>
      </c>
      <c r="G108" s="335">
        <f t="shared" si="13"/>
        <v>297274</v>
      </c>
      <c r="H108" s="310">
        <f t="shared" si="14"/>
        <v>63556.75884773663</v>
      </c>
      <c r="I108" s="10">
        <f t="shared" si="15"/>
        <v>233717.24115226336</v>
      </c>
      <c r="J108" s="332">
        <f t="shared" si="10"/>
        <v>-167535.31023954289</v>
      </c>
      <c r="K108" s="15">
        <v>54156</v>
      </c>
      <c r="L108" s="10">
        <f t="shared" si="11"/>
        <v>7944.5948559670787</v>
      </c>
      <c r="M108" s="15">
        <f t="shared" si="8"/>
        <v>46211.40514403292</v>
      </c>
      <c r="N108" s="2">
        <f t="shared" si="12"/>
        <v>-33125.678102485115</v>
      </c>
      <c r="O108" s="138">
        <f t="shared" si="9"/>
        <v>-200660.98834202799</v>
      </c>
      <c r="P108" s="35">
        <f>O108/'D) Ecrêtage'!C108</f>
        <v>-25.257548305476423</v>
      </c>
      <c r="Q108" s="134"/>
    </row>
    <row r="109" spans="1:17" x14ac:dyDescent="0.25">
      <c r="A109" s="51">
        <f>+'A) Base RI'!A111</f>
        <v>5568</v>
      </c>
      <c r="B109" s="321" t="str">
        <f>+'A) Base RI'!B111</f>
        <v>Sainte-Croix</v>
      </c>
      <c r="C109" s="335">
        <f>+'D) Ecrêtage'!M109</f>
        <v>100789.16114285712</v>
      </c>
      <c r="D109" s="310">
        <v>1746303</v>
      </c>
      <c r="E109" s="335">
        <v>491470</v>
      </c>
      <c r="F109" s="310">
        <v>151643</v>
      </c>
      <c r="G109" s="335">
        <f t="shared" si="13"/>
        <v>2389416</v>
      </c>
      <c r="H109" s="310">
        <f t="shared" si="14"/>
        <v>806313.28914285696</v>
      </c>
      <c r="I109" s="10">
        <f t="shared" si="15"/>
        <v>1583102.7108571432</v>
      </c>
      <c r="J109" s="332">
        <f t="shared" si="10"/>
        <v>-1134814.027826566</v>
      </c>
      <c r="K109" s="15">
        <v>150710</v>
      </c>
      <c r="L109" s="10">
        <f t="shared" si="11"/>
        <v>100789.16114285712</v>
      </c>
      <c r="M109" s="15">
        <f t="shared" si="8"/>
        <v>49920.83885714288</v>
      </c>
      <c r="N109" s="2">
        <f t="shared" si="12"/>
        <v>-35784.707983528519</v>
      </c>
      <c r="O109" s="138">
        <f t="shared" si="9"/>
        <v>-1170598.7358100945</v>
      </c>
      <c r="P109" s="35">
        <f>O109/'D) Ecrêtage'!C109</f>
        <v>-11.614331566376514</v>
      </c>
      <c r="Q109" s="134"/>
    </row>
    <row r="110" spans="1:17" x14ac:dyDescent="0.25">
      <c r="A110" s="51">
        <f>+'A) Base RI'!A112</f>
        <v>5571</v>
      </c>
      <c r="B110" s="321" t="str">
        <f>+'A) Base RI'!B112</f>
        <v>Tévenon</v>
      </c>
      <c r="C110" s="335">
        <f>+'D) Ecrêtage'!M110</f>
        <v>21355.706643835612</v>
      </c>
      <c r="D110" s="310">
        <v>220528</v>
      </c>
      <c r="E110" s="335">
        <v>32056</v>
      </c>
      <c r="F110" s="310">
        <v>136409</v>
      </c>
      <c r="G110" s="335">
        <f t="shared" si="13"/>
        <v>388993</v>
      </c>
      <c r="H110" s="310">
        <f t="shared" si="14"/>
        <v>170845.6531506849</v>
      </c>
      <c r="I110" s="10">
        <f t="shared" si="15"/>
        <v>218147.3468493151</v>
      </c>
      <c r="J110" s="332">
        <f t="shared" si="10"/>
        <v>-156374.35754482096</v>
      </c>
      <c r="K110" s="15">
        <v>53310</v>
      </c>
      <c r="L110" s="10">
        <f t="shared" si="11"/>
        <v>21355.706643835612</v>
      </c>
      <c r="M110" s="15">
        <f t="shared" si="8"/>
        <v>31954.293356164388</v>
      </c>
      <c r="N110" s="2">
        <f t="shared" si="12"/>
        <v>-22905.766063799529</v>
      </c>
      <c r="O110" s="138">
        <f t="shared" si="9"/>
        <v>-179280.12360862049</v>
      </c>
      <c r="P110" s="35">
        <f>O110/'D) Ecrêtage'!C110</f>
        <v>-8.3949515976503744</v>
      </c>
      <c r="Q110" s="134"/>
    </row>
    <row r="111" spans="1:17" x14ac:dyDescent="0.25">
      <c r="A111" s="51">
        <f>+'A) Base RI'!A113</f>
        <v>5581</v>
      </c>
      <c r="B111" s="321" t="str">
        <f>+'A) Base RI'!B113</f>
        <v>Belmont-sur-Lausanne</v>
      </c>
      <c r="C111" s="335">
        <f>+'D) Ecrêtage'!M111</f>
        <v>192798.41534772189</v>
      </c>
      <c r="D111" s="310">
        <v>1050200</v>
      </c>
      <c r="E111" s="335">
        <v>809556</v>
      </c>
      <c r="F111" s="310">
        <v>229113</v>
      </c>
      <c r="G111" s="335">
        <f t="shared" si="13"/>
        <v>2088869</v>
      </c>
      <c r="H111" s="310">
        <f t="shared" si="14"/>
        <v>1542387.3227817751</v>
      </c>
      <c r="I111" s="10">
        <f t="shared" si="15"/>
        <v>546481.67721822485</v>
      </c>
      <c r="J111" s="332">
        <f t="shared" si="10"/>
        <v>-391733.94689069729</v>
      </c>
      <c r="K111" s="15">
        <v>23252</v>
      </c>
      <c r="L111" s="10">
        <f t="shared" si="11"/>
        <v>192798.41534772189</v>
      </c>
      <c r="M111" s="15">
        <f t="shared" si="8"/>
        <v>0</v>
      </c>
      <c r="N111" s="2">
        <f t="shared" si="12"/>
        <v>0</v>
      </c>
      <c r="O111" s="138">
        <f t="shared" si="9"/>
        <v>-391733.94689069729</v>
      </c>
      <c r="P111" s="35">
        <f>O111/'D) Ecrêtage'!C111</f>
        <v>-2.0318317771657246</v>
      </c>
      <c r="Q111" s="134"/>
    </row>
    <row r="112" spans="1:17" x14ac:dyDescent="0.25">
      <c r="A112" s="51">
        <f>+'A) Base RI'!A114</f>
        <v>5582</v>
      </c>
      <c r="B112" s="321" t="str">
        <f>+'A) Base RI'!B114</f>
        <v>Cheseaux-sur-Lausanne</v>
      </c>
      <c r="C112" s="335">
        <f>+'D) Ecrêtage'!M112</f>
        <v>181145.82187919464</v>
      </c>
      <c r="D112" s="310">
        <v>1306197</v>
      </c>
      <c r="E112" s="335">
        <v>394662</v>
      </c>
      <c r="F112" s="310">
        <v>309552</v>
      </c>
      <c r="G112" s="335">
        <f t="shared" si="13"/>
        <v>2010411</v>
      </c>
      <c r="H112" s="310">
        <f t="shared" si="14"/>
        <v>1449166.5750335571</v>
      </c>
      <c r="I112" s="10">
        <f t="shared" si="15"/>
        <v>561244.42496644286</v>
      </c>
      <c r="J112" s="332">
        <f t="shared" si="10"/>
        <v>-402316.3134794528</v>
      </c>
      <c r="K112" s="15">
        <v>151128</v>
      </c>
      <c r="L112" s="10">
        <f t="shared" si="11"/>
        <v>181145.82187919464</v>
      </c>
      <c r="M112" s="15">
        <f t="shared" si="8"/>
        <v>0</v>
      </c>
      <c r="N112" s="2">
        <f t="shared" si="12"/>
        <v>0</v>
      </c>
      <c r="O112" s="138">
        <f t="shared" si="9"/>
        <v>-402316.3134794528</v>
      </c>
      <c r="P112" s="35">
        <f>O112/'D) Ecrêtage'!C112</f>
        <v>-2.2209527622875882</v>
      </c>
      <c r="Q112" s="134"/>
    </row>
    <row r="113" spans="1:17" x14ac:dyDescent="0.25">
      <c r="A113" s="51">
        <f>+'A) Base RI'!A115</f>
        <v>5583</v>
      </c>
      <c r="B113" s="321" t="str">
        <f>+'A) Base RI'!B115</f>
        <v>Crissier</v>
      </c>
      <c r="C113" s="335">
        <f>+'D) Ecrêtage'!M113</f>
        <v>315798.9015384615</v>
      </c>
      <c r="D113" s="310">
        <v>2153640</v>
      </c>
      <c r="E113" s="335">
        <v>3086614</v>
      </c>
      <c r="F113" s="310">
        <v>295608</v>
      </c>
      <c r="G113" s="335">
        <f t="shared" si="13"/>
        <v>5535862</v>
      </c>
      <c r="H113" s="310">
        <f t="shared" si="14"/>
        <v>2526391.212307692</v>
      </c>
      <c r="I113" s="10">
        <f t="shared" si="15"/>
        <v>3009470.787692308</v>
      </c>
      <c r="J113" s="332">
        <f t="shared" si="10"/>
        <v>-2157276.115305495</v>
      </c>
      <c r="K113" s="15">
        <v>125288</v>
      </c>
      <c r="L113" s="10">
        <f t="shared" si="11"/>
        <v>315798.9015384615</v>
      </c>
      <c r="M113" s="15">
        <f t="shared" si="8"/>
        <v>0</v>
      </c>
      <c r="N113" s="2">
        <f t="shared" si="12"/>
        <v>0</v>
      </c>
      <c r="O113" s="138">
        <f t="shared" si="9"/>
        <v>-2157276.115305495</v>
      </c>
      <c r="P113" s="35">
        <f>O113/'D) Ecrêtage'!C113</f>
        <v>-6.8311704214169282</v>
      </c>
      <c r="Q113" s="134"/>
    </row>
    <row r="114" spans="1:17" x14ac:dyDescent="0.25">
      <c r="A114" s="51">
        <f>+'A) Base RI'!A116</f>
        <v>5584</v>
      </c>
      <c r="B114" s="321" t="str">
        <f>+'A) Base RI'!B116</f>
        <v>Epalinges</v>
      </c>
      <c r="C114" s="335">
        <f>+'D) Ecrêtage'!M114</f>
        <v>424408.2359090909</v>
      </c>
      <c r="D114" s="310">
        <v>3873082</v>
      </c>
      <c r="E114" s="335">
        <v>3487177</v>
      </c>
      <c r="F114" s="310">
        <v>725729</v>
      </c>
      <c r="G114" s="335">
        <f t="shared" si="13"/>
        <v>8085988</v>
      </c>
      <c r="H114" s="310">
        <f t="shared" si="14"/>
        <v>3395265.8872727272</v>
      </c>
      <c r="I114" s="10">
        <f t="shared" si="15"/>
        <v>4690722.1127272733</v>
      </c>
      <c r="J114" s="332">
        <f t="shared" si="10"/>
        <v>-3362445.9219560549</v>
      </c>
      <c r="K114" s="15">
        <v>329082</v>
      </c>
      <c r="L114" s="10">
        <f t="shared" si="11"/>
        <v>424408.2359090909</v>
      </c>
      <c r="M114" s="15">
        <f t="shared" si="8"/>
        <v>0</v>
      </c>
      <c r="N114" s="2">
        <f t="shared" si="12"/>
        <v>0</v>
      </c>
      <c r="O114" s="138">
        <f t="shared" si="9"/>
        <v>-3362445.9219560549</v>
      </c>
      <c r="P114" s="35">
        <f>O114/'D) Ecrêtage'!C114</f>
        <v>-7.9226688774161715</v>
      </c>
      <c r="Q114" s="134"/>
    </row>
    <row r="115" spans="1:17" x14ac:dyDescent="0.25">
      <c r="A115" s="51">
        <f>+'A) Base RI'!A117</f>
        <v>5585</v>
      </c>
      <c r="B115" s="321" t="str">
        <f>+'A) Base RI'!B117</f>
        <v>Jouxtens-Mézery</v>
      </c>
      <c r="C115" s="335">
        <f>+'D) Ecrêtage'!M115</f>
        <v>143746.14069536969</v>
      </c>
      <c r="D115" s="310">
        <v>463674</v>
      </c>
      <c r="E115" s="335">
        <v>106670</v>
      </c>
      <c r="F115" s="310">
        <v>33421</v>
      </c>
      <c r="G115" s="335">
        <f t="shared" si="13"/>
        <v>603765</v>
      </c>
      <c r="H115" s="310">
        <f t="shared" si="14"/>
        <v>1149969.1255629575</v>
      </c>
      <c r="I115" s="10">
        <f t="shared" si="15"/>
        <v>0</v>
      </c>
      <c r="J115" s="332">
        <f t="shared" si="10"/>
        <v>0</v>
      </c>
      <c r="K115" s="15">
        <v>32370</v>
      </c>
      <c r="L115" s="10">
        <f t="shared" si="11"/>
        <v>143746.14069536969</v>
      </c>
      <c r="M115" s="15">
        <f t="shared" ref="M115:M165" si="16">IF(K115&gt;L115,K115-L115,0)</f>
        <v>0</v>
      </c>
      <c r="N115" s="2">
        <f t="shared" si="12"/>
        <v>0</v>
      </c>
      <c r="O115" s="138">
        <f t="shared" ref="O115:O165" si="17">N115+J115</f>
        <v>0</v>
      </c>
      <c r="P115" s="35">
        <f>O115/'D) Ecrêtage'!C115</f>
        <v>0</v>
      </c>
      <c r="Q115" s="134"/>
    </row>
    <row r="116" spans="1:17" x14ac:dyDescent="0.25">
      <c r="A116" s="51">
        <f>+'A) Base RI'!A118</f>
        <v>5586</v>
      </c>
      <c r="B116" s="321" t="str">
        <f>+'A) Base RI'!B118</f>
        <v>Lausanne</v>
      </c>
      <c r="C116" s="335">
        <f>+'D) Ecrêtage'!M116</f>
        <v>6228304.1083544316</v>
      </c>
      <c r="D116" s="310">
        <v>57447113</v>
      </c>
      <c r="E116" s="335">
        <v>51144175</v>
      </c>
      <c r="F116" s="310">
        <v>2209696</v>
      </c>
      <c r="G116" s="335">
        <f t="shared" si="13"/>
        <v>110800984</v>
      </c>
      <c r="H116" s="310">
        <f t="shared" si="14"/>
        <v>49826432.866835453</v>
      </c>
      <c r="I116" s="10">
        <f t="shared" si="15"/>
        <v>60974551.133164547</v>
      </c>
      <c r="J116" s="332">
        <f t="shared" si="10"/>
        <v>-43708330.161900274</v>
      </c>
      <c r="K116" s="15">
        <v>2740617</v>
      </c>
      <c r="L116" s="10">
        <f t="shared" si="11"/>
        <v>6228304.1083544316</v>
      </c>
      <c r="M116" s="15">
        <f t="shared" si="16"/>
        <v>0</v>
      </c>
      <c r="N116" s="2">
        <f t="shared" si="12"/>
        <v>0</v>
      </c>
      <c r="O116" s="138">
        <f t="shared" si="17"/>
        <v>-43708330.161900274</v>
      </c>
      <c r="P116" s="35">
        <f>O116/'D) Ecrêtage'!C116</f>
        <v>-7.0176936452527157</v>
      </c>
      <c r="Q116" s="134"/>
    </row>
    <row r="117" spans="1:17" x14ac:dyDescent="0.25">
      <c r="A117" s="51">
        <f>+'A) Base RI'!A119</f>
        <v>5587</v>
      </c>
      <c r="B117" s="321" t="str">
        <f>+'A) Base RI'!B119</f>
        <v>Le Mont-sur-Lausanne</v>
      </c>
      <c r="C117" s="335">
        <f>+'D) Ecrêtage'!M117</f>
        <v>419199.48633333331</v>
      </c>
      <c r="D117" s="310">
        <v>3624909</v>
      </c>
      <c r="E117" s="335">
        <v>2098525</v>
      </c>
      <c r="F117" s="310">
        <v>734978</v>
      </c>
      <c r="G117" s="335">
        <f t="shared" si="13"/>
        <v>6458412</v>
      </c>
      <c r="H117" s="310">
        <f t="shared" si="14"/>
        <v>3353595.8906666664</v>
      </c>
      <c r="I117" s="10">
        <f t="shared" si="15"/>
        <v>3104816.1093333336</v>
      </c>
      <c r="J117" s="332">
        <f t="shared" si="10"/>
        <v>-2225622.4125759285</v>
      </c>
      <c r="K117" s="15">
        <v>36654</v>
      </c>
      <c r="L117" s="10">
        <f t="shared" si="11"/>
        <v>419199.48633333331</v>
      </c>
      <c r="M117" s="15">
        <f t="shared" si="16"/>
        <v>0</v>
      </c>
      <c r="N117" s="2">
        <f t="shared" si="12"/>
        <v>0</v>
      </c>
      <c r="O117" s="138">
        <f t="shared" si="17"/>
        <v>-2225622.4125759285</v>
      </c>
      <c r="P117" s="35">
        <f>O117/'D) Ecrêtage'!C117</f>
        <v>-5.3092202761102349</v>
      </c>
      <c r="Q117" s="134"/>
    </row>
    <row r="118" spans="1:17" x14ac:dyDescent="0.25">
      <c r="A118" s="51">
        <f>+'A) Base RI'!A120</f>
        <v>5588</v>
      </c>
      <c r="B118" s="321" t="str">
        <f>+'A) Base RI'!B120</f>
        <v>Paudex</v>
      </c>
      <c r="C118" s="335">
        <f>+'D) Ecrêtage'!M118</f>
        <v>127175.68911671983</v>
      </c>
      <c r="D118" s="310">
        <v>128825</v>
      </c>
      <c r="E118" s="335">
        <v>478566</v>
      </c>
      <c r="F118" s="310">
        <v>30368</v>
      </c>
      <c r="G118" s="335">
        <f t="shared" si="13"/>
        <v>637759</v>
      </c>
      <c r="H118" s="310">
        <f t="shared" si="14"/>
        <v>1017405.5129337587</v>
      </c>
      <c r="I118" s="10">
        <f t="shared" si="15"/>
        <v>0</v>
      </c>
      <c r="J118" s="332">
        <f t="shared" si="10"/>
        <v>0</v>
      </c>
      <c r="K118" s="15">
        <v>1752</v>
      </c>
      <c r="L118" s="10">
        <f t="shared" si="11"/>
        <v>127175.68911671983</v>
      </c>
      <c r="M118" s="15">
        <f t="shared" si="16"/>
        <v>0</v>
      </c>
      <c r="N118" s="2">
        <f t="shared" si="12"/>
        <v>0</v>
      </c>
      <c r="O118" s="138">
        <f t="shared" si="17"/>
        <v>0</v>
      </c>
      <c r="P118" s="35">
        <f>O118/'D) Ecrêtage'!C118</f>
        <v>0</v>
      </c>
      <c r="Q118" s="134"/>
    </row>
    <row r="119" spans="1:17" x14ac:dyDescent="0.25">
      <c r="A119" s="51">
        <f>+'A) Base RI'!A121</f>
        <v>5589</v>
      </c>
      <c r="B119" s="321" t="str">
        <f>+'A) Base RI'!B121</f>
        <v>Prilly</v>
      </c>
      <c r="C119" s="335">
        <f>+'D) Ecrêtage'!M119</f>
        <v>433086.92517006805</v>
      </c>
      <c r="D119" s="310">
        <v>2822810</v>
      </c>
      <c r="E119" s="335">
        <v>3155448</v>
      </c>
      <c r="F119" s="310">
        <v>111660</v>
      </c>
      <c r="G119" s="335">
        <f t="shared" si="13"/>
        <v>6089918</v>
      </c>
      <c r="H119" s="310">
        <f t="shared" si="14"/>
        <v>3464695.4013605444</v>
      </c>
      <c r="I119" s="10">
        <f t="shared" si="15"/>
        <v>2625222.5986394556</v>
      </c>
      <c r="J119" s="332">
        <f t="shared" si="10"/>
        <v>-1881835.8472081462</v>
      </c>
      <c r="K119" s="15">
        <v>19840</v>
      </c>
      <c r="L119" s="10">
        <f t="shared" si="11"/>
        <v>433086.92517006805</v>
      </c>
      <c r="M119" s="15">
        <f t="shared" si="16"/>
        <v>0</v>
      </c>
      <c r="N119" s="2">
        <f t="shared" si="12"/>
        <v>0</v>
      </c>
      <c r="O119" s="138">
        <f t="shared" si="17"/>
        <v>-1881835.8472081462</v>
      </c>
      <c r="P119" s="35">
        <f>O119/'D) Ecrêtage'!C119</f>
        <v>-4.345168920694551</v>
      </c>
      <c r="Q119" s="134"/>
    </row>
    <row r="120" spans="1:17" x14ac:dyDescent="0.25">
      <c r="A120" s="51">
        <f>+'A) Base RI'!A122</f>
        <v>5590</v>
      </c>
      <c r="B120" s="321" t="str">
        <f>+'A) Base RI'!B122</f>
        <v>Pully</v>
      </c>
      <c r="C120" s="335">
        <f>+'D) Ecrêtage'!M120</f>
        <v>1325739.9889937579</v>
      </c>
      <c r="D120" s="310">
        <v>5453433</v>
      </c>
      <c r="E120" s="335">
        <v>8024455</v>
      </c>
      <c r="F120" s="310">
        <v>318341</v>
      </c>
      <c r="G120" s="335">
        <f t="shared" si="13"/>
        <v>13796229</v>
      </c>
      <c r="H120" s="310">
        <f t="shared" si="14"/>
        <v>10605919.911950063</v>
      </c>
      <c r="I120" s="10">
        <f t="shared" si="15"/>
        <v>3190309.088049937</v>
      </c>
      <c r="J120" s="332">
        <f t="shared" si="10"/>
        <v>-2286906.2641307977</v>
      </c>
      <c r="K120" s="15">
        <v>448613</v>
      </c>
      <c r="L120" s="10">
        <f t="shared" si="11"/>
        <v>1325739.9889937579</v>
      </c>
      <c r="M120" s="15">
        <f t="shared" si="16"/>
        <v>0</v>
      </c>
      <c r="N120" s="2">
        <f t="shared" si="12"/>
        <v>0</v>
      </c>
      <c r="O120" s="138">
        <f t="shared" si="17"/>
        <v>-2286906.2641307977</v>
      </c>
      <c r="P120" s="35">
        <f>O120/'D) Ecrêtage'!C120</f>
        <v>-1.5916964813550174</v>
      </c>
      <c r="Q120" s="134"/>
    </row>
    <row r="121" spans="1:17" x14ac:dyDescent="0.25">
      <c r="A121" s="51">
        <f>+'A) Base RI'!A123</f>
        <v>5591</v>
      </c>
      <c r="B121" s="321" t="str">
        <f>+'A) Base RI'!B123</f>
        <v>Renens</v>
      </c>
      <c r="C121" s="335">
        <f>+'D) Ecrêtage'!M121</f>
        <v>547576.12760691531</v>
      </c>
      <c r="D121" s="310">
        <v>4368353</v>
      </c>
      <c r="E121" s="335">
        <v>7311050</v>
      </c>
      <c r="F121" s="310">
        <v>175865</v>
      </c>
      <c r="G121" s="335">
        <f t="shared" si="13"/>
        <v>11855268</v>
      </c>
      <c r="H121" s="310">
        <f t="shared" si="14"/>
        <v>4380609.0208553225</v>
      </c>
      <c r="I121" s="10">
        <f t="shared" si="15"/>
        <v>7474658.9791446775</v>
      </c>
      <c r="J121" s="332">
        <f t="shared" si="10"/>
        <v>-5358052.7685159231</v>
      </c>
      <c r="K121" s="15">
        <v>21569</v>
      </c>
      <c r="L121" s="10">
        <f t="shared" si="11"/>
        <v>547576.12760691531</v>
      </c>
      <c r="M121" s="15">
        <f t="shared" si="16"/>
        <v>0</v>
      </c>
      <c r="N121" s="2">
        <f t="shared" si="12"/>
        <v>0</v>
      </c>
      <c r="O121" s="138">
        <f t="shared" si="17"/>
        <v>-5358052.7685159231</v>
      </c>
      <c r="P121" s="35">
        <f>O121/'D) Ecrêtage'!C121</f>
        <v>-9.7850371818295763</v>
      </c>
      <c r="Q121" s="134"/>
    </row>
    <row r="122" spans="1:17" x14ac:dyDescent="0.25">
      <c r="A122" s="51">
        <f>+'A) Base RI'!A124</f>
        <v>5592</v>
      </c>
      <c r="B122" s="321" t="str">
        <f>+'A) Base RI'!B124</f>
        <v>Romanel-sur-Lausanne</v>
      </c>
      <c r="C122" s="335">
        <f>+'D) Ecrêtage'!M122</f>
        <v>115829.88928571428</v>
      </c>
      <c r="D122" s="310">
        <v>986402</v>
      </c>
      <c r="E122" s="335">
        <v>246931</v>
      </c>
      <c r="F122" s="310">
        <v>31138</v>
      </c>
      <c r="G122" s="335">
        <f t="shared" si="13"/>
        <v>1264471</v>
      </c>
      <c r="H122" s="310">
        <f t="shared" si="14"/>
        <v>926639.11428571423</v>
      </c>
      <c r="I122" s="10">
        <f t="shared" si="15"/>
        <v>337831.88571428577</v>
      </c>
      <c r="J122" s="332">
        <f t="shared" si="10"/>
        <v>-242167.71301471675</v>
      </c>
      <c r="K122" s="15">
        <v>9149</v>
      </c>
      <c r="L122" s="10">
        <f t="shared" si="11"/>
        <v>115829.88928571428</v>
      </c>
      <c r="M122" s="15">
        <f t="shared" si="16"/>
        <v>0</v>
      </c>
      <c r="N122" s="2">
        <f t="shared" si="12"/>
        <v>0</v>
      </c>
      <c r="O122" s="138">
        <f t="shared" si="17"/>
        <v>-242167.71301471675</v>
      </c>
      <c r="P122" s="35">
        <f>O122/'D) Ecrêtage'!C122</f>
        <v>-2.0907186781243361</v>
      </c>
      <c r="Q122" s="134"/>
    </row>
    <row r="123" spans="1:17" x14ac:dyDescent="0.25">
      <c r="A123" s="51">
        <f>+'A) Base RI'!A125</f>
        <v>5601</v>
      </c>
      <c r="B123" s="321" t="str">
        <f>+'A) Base RI'!B125</f>
        <v>Chexbres</v>
      </c>
      <c r="C123" s="335">
        <f>+'D) Ecrêtage'!M123</f>
        <v>117508.63062500001</v>
      </c>
      <c r="D123" s="310">
        <v>706417</v>
      </c>
      <c r="E123" s="335">
        <v>159394</v>
      </c>
      <c r="F123" s="310">
        <v>248462</v>
      </c>
      <c r="G123" s="335">
        <f t="shared" si="13"/>
        <v>1114273</v>
      </c>
      <c r="H123" s="310">
        <f t="shared" si="14"/>
        <v>940069.04500000004</v>
      </c>
      <c r="I123" s="10">
        <f t="shared" si="15"/>
        <v>174203.95499999996</v>
      </c>
      <c r="J123" s="332">
        <f t="shared" si="10"/>
        <v>-124874.45728005387</v>
      </c>
      <c r="K123" s="15">
        <v>54376</v>
      </c>
      <c r="L123" s="10">
        <f t="shared" si="11"/>
        <v>117508.63062500001</v>
      </c>
      <c r="M123" s="15">
        <f t="shared" si="16"/>
        <v>0</v>
      </c>
      <c r="N123" s="2">
        <f t="shared" si="12"/>
        <v>0</v>
      </c>
      <c r="O123" s="138">
        <f t="shared" si="17"/>
        <v>-124874.45728005387</v>
      </c>
      <c r="P123" s="35">
        <f>O123/'D) Ecrêtage'!C123</f>
        <v>-1.0626832822055436</v>
      </c>
      <c r="Q123" s="134"/>
    </row>
    <row r="124" spans="1:17" x14ac:dyDescent="0.25">
      <c r="A124" s="51">
        <f>+'A) Base RI'!A126</f>
        <v>5604</v>
      </c>
      <c r="B124" s="321" t="str">
        <f>+'A) Base RI'!B126</f>
        <v>Forel (Lavaux)</v>
      </c>
      <c r="C124" s="335">
        <f>+'D) Ecrêtage'!M124</f>
        <v>71631.535147058821</v>
      </c>
      <c r="D124" s="310">
        <v>607598</v>
      </c>
      <c r="E124" s="335">
        <v>91317</v>
      </c>
      <c r="F124" s="310">
        <v>232962</v>
      </c>
      <c r="G124" s="335">
        <f t="shared" si="13"/>
        <v>931877</v>
      </c>
      <c r="H124" s="310">
        <f t="shared" si="14"/>
        <v>573052.28117647057</v>
      </c>
      <c r="I124" s="10">
        <f t="shared" si="15"/>
        <v>358824.71882352943</v>
      </c>
      <c r="J124" s="332">
        <f t="shared" si="10"/>
        <v>-257215.98583543167</v>
      </c>
      <c r="K124" s="15">
        <v>59296</v>
      </c>
      <c r="L124" s="10">
        <f t="shared" si="11"/>
        <v>71631.535147058821</v>
      </c>
      <c r="M124" s="15">
        <f t="shared" si="16"/>
        <v>0</v>
      </c>
      <c r="N124" s="2">
        <f t="shared" si="12"/>
        <v>0</v>
      </c>
      <c r="O124" s="138">
        <f t="shared" si="17"/>
        <v>-257215.98583543167</v>
      </c>
      <c r="P124" s="35">
        <f>O124/'D) Ecrêtage'!C124</f>
        <v>-3.5908205137216429</v>
      </c>
      <c r="Q124" s="134"/>
    </row>
    <row r="125" spans="1:17" x14ac:dyDescent="0.25">
      <c r="A125" s="51">
        <f>+'A) Base RI'!A127</f>
        <v>5606</v>
      </c>
      <c r="B125" s="321" t="str">
        <f>+'A) Base RI'!B127</f>
        <v>Lutry</v>
      </c>
      <c r="C125" s="335">
        <f>+'D) Ecrêtage'!M125</f>
        <v>758715.71300431201</v>
      </c>
      <c r="D125" s="310">
        <v>4250498</v>
      </c>
      <c r="E125" s="335">
        <v>2829513</v>
      </c>
      <c r="F125" s="310">
        <v>1550803</v>
      </c>
      <c r="G125" s="335">
        <f t="shared" si="13"/>
        <v>8630814</v>
      </c>
      <c r="H125" s="310">
        <f t="shared" si="14"/>
        <v>6069725.7040344961</v>
      </c>
      <c r="I125" s="10">
        <f t="shared" si="15"/>
        <v>2561088.2959655039</v>
      </c>
      <c r="J125" s="332">
        <f t="shared" si="10"/>
        <v>-1835862.51531999</v>
      </c>
      <c r="K125" s="15">
        <v>324954</v>
      </c>
      <c r="L125" s="10">
        <f t="shared" si="11"/>
        <v>758715.71300431201</v>
      </c>
      <c r="M125" s="15">
        <f t="shared" si="16"/>
        <v>0</v>
      </c>
      <c r="N125" s="2">
        <f t="shared" si="12"/>
        <v>0</v>
      </c>
      <c r="O125" s="138">
        <f t="shared" si="17"/>
        <v>-1835862.51531999</v>
      </c>
      <c r="P125" s="35">
        <f>O125/'D) Ecrêtage'!C125</f>
        <v>-2.2051503740130798</v>
      </c>
      <c r="Q125" s="134"/>
    </row>
    <row r="126" spans="1:17" x14ac:dyDescent="0.25">
      <c r="A126" s="51">
        <f>+'A) Base RI'!A128</f>
        <v>5607</v>
      </c>
      <c r="B126" s="321" t="str">
        <f>+'A) Base RI'!B128</f>
        <v>Puidoux</v>
      </c>
      <c r="C126" s="335">
        <f>+'D) Ecrêtage'!M126</f>
        <v>108525.10310559007</v>
      </c>
      <c r="D126" s="310">
        <v>1142108</v>
      </c>
      <c r="E126" s="335">
        <v>256206</v>
      </c>
      <c r="F126" s="310">
        <v>606805</v>
      </c>
      <c r="G126" s="335">
        <f t="shared" si="13"/>
        <v>2005119</v>
      </c>
      <c r="H126" s="310">
        <f t="shared" si="14"/>
        <v>868200.82484472054</v>
      </c>
      <c r="I126" s="10">
        <f t="shared" si="15"/>
        <v>1136918.1751552795</v>
      </c>
      <c r="J126" s="332">
        <f t="shared" si="10"/>
        <v>-814975.98659195064</v>
      </c>
      <c r="K126" s="15">
        <v>21448</v>
      </c>
      <c r="L126" s="10">
        <f t="shared" si="11"/>
        <v>108525.10310559007</v>
      </c>
      <c r="M126" s="15">
        <f t="shared" si="16"/>
        <v>0</v>
      </c>
      <c r="N126" s="2">
        <f t="shared" si="12"/>
        <v>0</v>
      </c>
      <c r="O126" s="138">
        <f t="shared" si="17"/>
        <v>-814975.98659195064</v>
      </c>
      <c r="P126" s="35">
        <f>O126/'D) Ecrêtage'!C126</f>
        <v>-7.509561965575978</v>
      </c>
      <c r="Q126" s="134"/>
    </row>
    <row r="127" spans="1:17" x14ac:dyDescent="0.25">
      <c r="A127" s="51">
        <f>+'A) Base RI'!A129</f>
        <v>5609</v>
      </c>
      <c r="B127" s="321" t="str">
        <f>+'A) Base RI'!B129</f>
        <v>Rivaz</v>
      </c>
      <c r="C127" s="335">
        <f>+'D) Ecrêtage'!M127</f>
        <v>15580.699212598427</v>
      </c>
      <c r="D127" s="310">
        <v>88921</v>
      </c>
      <c r="E127" s="335">
        <v>31825</v>
      </c>
      <c r="F127" s="310">
        <v>55672</v>
      </c>
      <c r="G127" s="335">
        <f t="shared" si="13"/>
        <v>176418</v>
      </c>
      <c r="H127" s="310">
        <f t="shared" si="14"/>
        <v>124645.59370078742</v>
      </c>
      <c r="I127" s="10">
        <f t="shared" si="15"/>
        <v>51772.406299212584</v>
      </c>
      <c r="J127" s="332">
        <f t="shared" si="10"/>
        <v>-37111.965332225751</v>
      </c>
      <c r="K127" s="15">
        <v>46100</v>
      </c>
      <c r="L127" s="10">
        <f t="shared" si="11"/>
        <v>15580.699212598427</v>
      </c>
      <c r="M127" s="15">
        <f t="shared" si="16"/>
        <v>30519.300787401575</v>
      </c>
      <c r="N127" s="2">
        <f t="shared" si="12"/>
        <v>-21877.121689880652</v>
      </c>
      <c r="O127" s="138">
        <f t="shared" si="17"/>
        <v>-58989.087022106403</v>
      </c>
      <c r="P127" s="35">
        <f>O127/'D) Ecrêtage'!C127</f>
        <v>-3.7860359292738486</v>
      </c>
      <c r="Q127" s="134"/>
    </row>
    <row r="128" spans="1:17" x14ac:dyDescent="0.25">
      <c r="A128" s="51">
        <f>+'A) Base RI'!A130</f>
        <v>5610</v>
      </c>
      <c r="B128" s="321" t="str">
        <f>+'A) Base RI'!B130</f>
        <v>St-Saphorin (Lavaux)</v>
      </c>
      <c r="C128" s="335">
        <f>+'D) Ecrêtage'!M128</f>
        <v>21964.993093148194</v>
      </c>
      <c r="D128" s="310">
        <v>139372</v>
      </c>
      <c r="E128" s="335">
        <v>35480</v>
      </c>
      <c r="F128" s="310">
        <v>84733</v>
      </c>
      <c r="G128" s="335">
        <f t="shared" si="13"/>
        <v>259585</v>
      </c>
      <c r="H128" s="310">
        <f t="shared" si="14"/>
        <v>175719.94474518555</v>
      </c>
      <c r="I128" s="10">
        <f t="shared" si="15"/>
        <v>83865.055254814448</v>
      </c>
      <c r="J128" s="332">
        <f t="shared" si="10"/>
        <v>-60116.90871029126</v>
      </c>
      <c r="K128" s="15">
        <v>13649</v>
      </c>
      <c r="L128" s="10">
        <f t="shared" si="11"/>
        <v>21964.993093148194</v>
      </c>
      <c r="M128" s="15">
        <f t="shared" si="16"/>
        <v>0</v>
      </c>
      <c r="N128" s="2">
        <f t="shared" si="12"/>
        <v>0</v>
      </c>
      <c r="O128" s="138">
        <f t="shared" si="17"/>
        <v>-60116.90871029126</v>
      </c>
      <c r="P128" s="35">
        <f>O128/'D) Ecrêtage'!C128</f>
        <v>-2.723318976215078</v>
      </c>
      <c r="Q128" s="134"/>
    </row>
    <row r="129" spans="1:17" x14ac:dyDescent="0.25">
      <c r="A129" s="51">
        <f>+'A) Base RI'!A131</f>
        <v>5611</v>
      </c>
      <c r="B129" s="321" t="str">
        <f>+'A) Base RI'!B131</f>
        <v>Savigny</v>
      </c>
      <c r="C129" s="335">
        <f>+'D) Ecrêtage'!M129</f>
        <v>134510.93620772948</v>
      </c>
      <c r="D129" s="310">
        <v>1260593</v>
      </c>
      <c r="E129" s="335">
        <v>144799</v>
      </c>
      <c r="F129" s="310">
        <v>359906</v>
      </c>
      <c r="G129" s="335">
        <f t="shared" si="13"/>
        <v>1765298</v>
      </c>
      <c r="H129" s="310">
        <f t="shared" si="14"/>
        <v>1076087.4896618358</v>
      </c>
      <c r="I129" s="10">
        <f t="shared" si="15"/>
        <v>689210.51033816417</v>
      </c>
      <c r="J129" s="332">
        <f t="shared" si="10"/>
        <v>-494046.12214566098</v>
      </c>
      <c r="K129" s="15">
        <v>12123</v>
      </c>
      <c r="L129" s="10">
        <f t="shared" si="11"/>
        <v>134510.93620772948</v>
      </c>
      <c r="M129" s="15">
        <f t="shared" si="16"/>
        <v>0</v>
      </c>
      <c r="N129" s="2">
        <f t="shared" si="12"/>
        <v>0</v>
      </c>
      <c r="O129" s="138">
        <f t="shared" si="17"/>
        <v>-494046.12214566098</v>
      </c>
      <c r="P129" s="35">
        <f>O129/'D) Ecrêtage'!C129</f>
        <v>-3.6729067247193194</v>
      </c>
      <c r="Q129" s="134"/>
    </row>
    <row r="130" spans="1:17" x14ac:dyDescent="0.25">
      <c r="A130" s="51">
        <f>+'A) Base RI'!A132</f>
        <v>5613</v>
      </c>
      <c r="B130" s="321" t="str">
        <f>+'A) Base RI'!B132</f>
        <v>Bourg-en-Lavaux</v>
      </c>
      <c r="C130" s="335">
        <f>+'D) Ecrêtage'!M130</f>
        <v>322026.63656055502</v>
      </c>
      <c r="D130" s="310">
        <v>1836845</v>
      </c>
      <c r="E130" s="335">
        <v>390139</v>
      </c>
      <c r="F130" s="310">
        <v>720179</v>
      </c>
      <c r="G130" s="335">
        <f t="shared" si="13"/>
        <v>2947163</v>
      </c>
      <c r="H130" s="310">
        <f t="shared" si="14"/>
        <v>2576213.0924844402</v>
      </c>
      <c r="I130" s="10">
        <f t="shared" si="15"/>
        <v>370949.90751555981</v>
      </c>
      <c r="J130" s="332">
        <f t="shared" si="10"/>
        <v>-265907.67344571318</v>
      </c>
      <c r="K130" s="15">
        <v>170864</v>
      </c>
      <c r="L130" s="10">
        <f t="shared" si="11"/>
        <v>322026.63656055502</v>
      </c>
      <c r="M130" s="15">
        <f t="shared" si="16"/>
        <v>0</v>
      </c>
      <c r="N130" s="2">
        <f t="shared" si="12"/>
        <v>0</v>
      </c>
      <c r="O130" s="138">
        <f t="shared" si="17"/>
        <v>-265907.67344571318</v>
      </c>
      <c r="P130" s="35">
        <f>O130/'D) Ecrêtage'!C130</f>
        <v>-0.80412323077960746</v>
      </c>
      <c r="Q130" s="134"/>
    </row>
    <row r="131" spans="1:17" x14ac:dyDescent="0.25">
      <c r="A131" s="51">
        <f>+'A) Base RI'!A133</f>
        <v>5621</v>
      </c>
      <c r="B131" s="321" t="str">
        <f>+'A) Base RI'!B133</f>
        <v>Aclens</v>
      </c>
      <c r="C131" s="335">
        <f>+'D) Ecrêtage'!M131</f>
        <v>32448.080278851183</v>
      </c>
      <c r="D131" s="310">
        <v>215479</v>
      </c>
      <c r="E131" s="335">
        <v>18104</v>
      </c>
      <c r="F131" s="310">
        <v>41167</v>
      </c>
      <c r="G131" s="335">
        <f t="shared" si="13"/>
        <v>274750</v>
      </c>
      <c r="H131" s="310">
        <f t="shared" si="14"/>
        <v>259584.64223080946</v>
      </c>
      <c r="I131" s="10">
        <f t="shared" si="15"/>
        <v>15165.357769190538</v>
      </c>
      <c r="J131" s="332">
        <f t="shared" si="10"/>
        <v>-10870.969151564424</v>
      </c>
      <c r="K131" s="15">
        <v>37453</v>
      </c>
      <c r="L131" s="10">
        <f t="shared" si="11"/>
        <v>32448.080278851183</v>
      </c>
      <c r="M131" s="15">
        <f t="shared" si="16"/>
        <v>5004.9197211488172</v>
      </c>
      <c r="N131" s="2">
        <f t="shared" si="12"/>
        <v>-3587.671898199425</v>
      </c>
      <c r="O131" s="138">
        <f t="shared" si="17"/>
        <v>-14458.64104976385</v>
      </c>
      <c r="P131" s="35">
        <f>O131/'D) Ecrêtage'!C131</f>
        <v>-0.4366381850063793</v>
      </c>
      <c r="Q131" s="134"/>
    </row>
    <row r="132" spans="1:17" x14ac:dyDescent="0.25">
      <c r="A132" s="51">
        <f>+'A) Base RI'!A134</f>
        <v>5622</v>
      </c>
      <c r="B132" s="321" t="str">
        <f>+'A) Base RI'!B134</f>
        <v>Bremblens</v>
      </c>
      <c r="C132" s="335">
        <f>+'D) Ecrêtage'!M132</f>
        <v>31043.054707464271</v>
      </c>
      <c r="D132" s="310">
        <v>87847</v>
      </c>
      <c r="E132" s="335">
        <v>17930</v>
      </c>
      <c r="F132" s="310">
        <v>37798</v>
      </c>
      <c r="G132" s="335">
        <f t="shared" si="13"/>
        <v>143575</v>
      </c>
      <c r="H132" s="310">
        <f t="shared" si="14"/>
        <v>248344.43765971417</v>
      </c>
      <c r="I132" s="10">
        <f t="shared" si="15"/>
        <v>0</v>
      </c>
      <c r="J132" s="332">
        <f t="shared" si="10"/>
        <v>0</v>
      </c>
      <c r="K132" s="15">
        <v>24395</v>
      </c>
      <c r="L132" s="10">
        <f t="shared" si="11"/>
        <v>31043.054707464271</v>
      </c>
      <c r="M132" s="15">
        <f t="shared" si="16"/>
        <v>0</v>
      </c>
      <c r="N132" s="2">
        <f t="shared" si="12"/>
        <v>0</v>
      </c>
      <c r="O132" s="138">
        <f t="shared" si="17"/>
        <v>0</v>
      </c>
      <c r="P132" s="35">
        <f>O132/'D) Ecrêtage'!C132</f>
        <v>0</v>
      </c>
      <c r="Q132" s="134"/>
    </row>
    <row r="133" spans="1:17" x14ac:dyDescent="0.25">
      <c r="A133" s="51">
        <f>+'A) Base RI'!A135</f>
        <v>5623</v>
      </c>
      <c r="B133" s="321" t="str">
        <f>+'A) Base RI'!B135</f>
        <v>Buchillon</v>
      </c>
      <c r="C133" s="335">
        <f>+'D) Ecrêtage'!M133</f>
        <v>62211.128546879416</v>
      </c>
      <c r="D133" s="310">
        <v>131900</v>
      </c>
      <c r="E133" s="335">
        <v>60565</v>
      </c>
      <c r="F133" s="310">
        <v>65377</v>
      </c>
      <c r="G133" s="335">
        <f t="shared" si="13"/>
        <v>257842</v>
      </c>
      <c r="H133" s="310">
        <f t="shared" si="14"/>
        <v>497689.02837503533</v>
      </c>
      <c r="I133" s="10">
        <f t="shared" si="15"/>
        <v>0</v>
      </c>
      <c r="J133" s="332">
        <f t="shared" ref="J133:J191" si="18">-I133*J$4</f>
        <v>0</v>
      </c>
      <c r="K133" s="15">
        <v>15216</v>
      </c>
      <c r="L133" s="10">
        <f t="shared" ref="L133:L191" si="19">C133*M$4</f>
        <v>62211.128546879416</v>
      </c>
      <c r="M133" s="15">
        <f t="shared" si="16"/>
        <v>0</v>
      </c>
      <c r="N133" s="2">
        <f t="shared" ref="N133:N191" si="20">-M133*N$4</f>
        <v>0</v>
      </c>
      <c r="O133" s="138">
        <f t="shared" si="17"/>
        <v>0</v>
      </c>
      <c r="P133" s="35">
        <f>O133/'D) Ecrêtage'!C133</f>
        <v>0</v>
      </c>
      <c r="Q133" s="134"/>
    </row>
    <row r="134" spans="1:17" x14ac:dyDescent="0.25">
      <c r="A134" s="51">
        <f>+'A) Base RI'!A136</f>
        <v>5624</v>
      </c>
      <c r="B134" s="321" t="str">
        <f>+'A) Base RI'!B136</f>
        <v>Bussigny</v>
      </c>
      <c r="C134" s="335">
        <f>+'D) Ecrêtage'!M134</f>
        <v>336696.75822580646</v>
      </c>
      <c r="D134" s="310">
        <v>1261550</v>
      </c>
      <c r="E134" s="335">
        <v>2405679</v>
      </c>
      <c r="F134" s="310">
        <v>274943</v>
      </c>
      <c r="G134" s="335">
        <f t="shared" ref="G134:G197" si="21">SUM(D134:F134)</f>
        <v>3942172</v>
      </c>
      <c r="H134" s="310">
        <f t="shared" ref="H134:H197" si="22">+C134*$I$4</f>
        <v>2693574.0658064517</v>
      </c>
      <c r="I134" s="10">
        <f t="shared" ref="I134:I197" si="23">IF(G134&gt;H134,G134-H134,0)</f>
        <v>1248597.9341935483</v>
      </c>
      <c r="J134" s="332">
        <f t="shared" si="18"/>
        <v>-895031.28326458368</v>
      </c>
      <c r="K134" s="15">
        <v>210130</v>
      </c>
      <c r="L134" s="10">
        <f t="shared" si="19"/>
        <v>336696.75822580646</v>
      </c>
      <c r="M134" s="15">
        <f t="shared" si="16"/>
        <v>0</v>
      </c>
      <c r="N134" s="2">
        <f t="shared" si="20"/>
        <v>0</v>
      </c>
      <c r="O134" s="138">
        <f t="shared" si="17"/>
        <v>-895031.28326458368</v>
      </c>
      <c r="P134" s="35">
        <f>O134/'D) Ecrêtage'!C134</f>
        <v>-2.6582711635861038</v>
      </c>
      <c r="Q134" s="134"/>
    </row>
    <row r="135" spans="1:17" x14ac:dyDescent="0.25">
      <c r="A135" s="51">
        <f>+'A) Base RI'!A137</f>
        <v>5625</v>
      </c>
      <c r="B135" s="321" t="str">
        <f>+'A) Base RI'!B137</f>
        <v>Bussy-Chardonney</v>
      </c>
      <c r="C135" s="335">
        <f>+'D) Ecrêtage'!M135</f>
        <v>13792.360683760684</v>
      </c>
      <c r="D135" s="310">
        <v>48685</v>
      </c>
      <c r="E135" s="335">
        <v>32055</v>
      </c>
      <c r="F135" s="310">
        <v>48752</v>
      </c>
      <c r="G135" s="335">
        <f t="shared" si="21"/>
        <v>129492</v>
      </c>
      <c r="H135" s="310">
        <f t="shared" si="22"/>
        <v>110338.88547008547</v>
      </c>
      <c r="I135" s="10">
        <f t="shared" si="23"/>
        <v>19153.114529914528</v>
      </c>
      <c r="J135" s="332">
        <f t="shared" si="18"/>
        <v>-13729.509081156</v>
      </c>
      <c r="K135" s="15">
        <v>6420</v>
      </c>
      <c r="L135" s="10">
        <f t="shared" si="19"/>
        <v>13792.360683760684</v>
      </c>
      <c r="M135" s="15">
        <f t="shared" si="16"/>
        <v>0</v>
      </c>
      <c r="N135" s="2">
        <f t="shared" si="20"/>
        <v>0</v>
      </c>
      <c r="O135" s="138">
        <f t="shared" si="17"/>
        <v>-13729.509081156</v>
      </c>
      <c r="P135" s="35">
        <f>O135/'D) Ecrêtage'!C135</f>
        <v>-0.99544301341548547</v>
      </c>
      <c r="Q135" s="134"/>
    </row>
    <row r="136" spans="1:17" x14ac:dyDescent="0.25">
      <c r="A136" s="51">
        <f>+'A) Base RI'!A138</f>
        <v>5627</v>
      </c>
      <c r="B136" s="321" t="str">
        <f>+'A) Base RI'!B138</f>
        <v>Chavannes-près-Renens</v>
      </c>
      <c r="C136" s="335">
        <f>+'D) Ecrêtage'!M136</f>
        <v>175193.96054852317</v>
      </c>
      <c r="D136" s="310">
        <v>945239</v>
      </c>
      <c r="E136" s="335">
        <v>2341447</v>
      </c>
      <c r="F136" s="310">
        <v>5564</v>
      </c>
      <c r="G136" s="335">
        <f t="shared" si="21"/>
        <v>3292250</v>
      </c>
      <c r="H136" s="310">
        <f t="shared" si="22"/>
        <v>1401551.6843881854</v>
      </c>
      <c r="I136" s="10">
        <f t="shared" si="23"/>
        <v>1890698.3156118146</v>
      </c>
      <c r="J136" s="332">
        <f t="shared" si="18"/>
        <v>-1355307.4959884661</v>
      </c>
      <c r="K136" s="15">
        <v>11212</v>
      </c>
      <c r="L136" s="10">
        <f t="shared" si="19"/>
        <v>175193.96054852317</v>
      </c>
      <c r="M136" s="15">
        <f t="shared" si="16"/>
        <v>0</v>
      </c>
      <c r="N136" s="2">
        <f t="shared" si="20"/>
        <v>0</v>
      </c>
      <c r="O136" s="138">
        <f t="shared" si="17"/>
        <v>-1355307.4959884661</v>
      </c>
      <c r="P136" s="35">
        <f>O136/'D) Ecrêtage'!C136</f>
        <v>-7.7360400538070424</v>
      </c>
      <c r="Q136" s="134"/>
    </row>
    <row r="137" spans="1:17" x14ac:dyDescent="0.25">
      <c r="A137" s="51">
        <f>+'A) Base RI'!A139</f>
        <v>5628</v>
      </c>
      <c r="B137" s="321" t="str">
        <f>+'A) Base RI'!B139</f>
        <v>Chigny</v>
      </c>
      <c r="C137" s="335">
        <f>+'D) Ecrêtage'!M137</f>
        <v>19325.492137498935</v>
      </c>
      <c r="D137" s="310">
        <v>12647</v>
      </c>
      <c r="E137" s="335">
        <v>29796</v>
      </c>
      <c r="F137" s="310">
        <v>37406</v>
      </c>
      <c r="G137" s="335">
        <f t="shared" si="21"/>
        <v>79849</v>
      </c>
      <c r="H137" s="310">
        <f t="shared" si="22"/>
        <v>154603.93709999148</v>
      </c>
      <c r="I137" s="10">
        <f t="shared" si="23"/>
        <v>0</v>
      </c>
      <c r="J137" s="332">
        <f t="shared" si="18"/>
        <v>0</v>
      </c>
      <c r="K137" s="15">
        <v>3201</v>
      </c>
      <c r="L137" s="10">
        <f t="shared" si="19"/>
        <v>19325.492137498935</v>
      </c>
      <c r="M137" s="15">
        <f t="shared" si="16"/>
        <v>0</v>
      </c>
      <c r="N137" s="2">
        <f t="shared" si="20"/>
        <v>0</v>
      </c>
      <c r="O137" s="138">
        <f t="shared" si="17"/>
        <v>0</v>
      </c>
      <c r="P137" s="35">
        <f>O137/'D) Ecrêtage'!C137</f>
        <v>0</v>
      </c>
      <c r="Q137" s="134"/>
    </row>
    <row r="138" spans="1:17" x14ac:dyDescent="0.25">
      <c r="A138" s="51">
        <f>+'A) Base RI'!A140</f>
        <v>5629</v>
      </c>
      <c r="B138" s="321" t="str">
        <f>+'A) Base RI'!B140</f>
        <v>Clarmont</v>
      </c>
      <c r="C138" s="335">
        <f>+'D) Ecrêtage'!M138</f>
        <v>7511.8584000000001</v>
      </c>
      <c r="D138" s="310">
        <v>86826</v>
      </c>
      <c r="E138" s="335">
        <v>6081</v>
      </c>
      <c r="F138" s="310">
        <v>21522</v>
      </c>
      <c r="G138" s="335">
        <f t="shared" si="21"/>
        <v>114429</v>
      </c>
      <c r="H138" s="310">
        <f t="shared" si="22"/>
        <v>60094.867200000001</v>
      </c>
      <c r="I138" s="10">
        <f t="shared" si="23"/>
        <v>54334.132799999999</v>
      </c>
      <c r="J138" s="332">
        <f t="shared" si="18"/>
        <v>-38948.285331308209</v>
      </c>
      <c r="K138" s="15">
        <v>350</v>
      </c>
      <c r="L138" s="10">
        <f t="shared" si="19"/>
        <v>7511.8584000000001</v>
      </c>
      <c r="M138" s="15">
        <f t="shared" si="16"/>
        <v>0</v>
      </c>
      <c r="N138" s="2">
        <f t="shared" si="20"/>
        <v>0</v>
      </c>
      <c r="O138" s="138">
        <f t="shared" si="17"/>
        <v>-38948.285331308209</v>
      </c>
      <c r="P138" s="35">
        <f>O138/'D) Ecrêtage'!C138</f>
        <v>-5.1849067510788283</v>
      </c>
      <c r="Q138" s="134"/>
    </row>
    <row r="139" spans="1:17" x14ac:dyDescent="0.25">
      <c r="A139" s="51">
        <f>+'A) Base RI'!A141</f>
        <v>5631</v>
      </c>
      <c r="B139" s="321" t="str">
        <f>+'A) Base RI'!B141</f>
        <v>Denens</v>
      </c>
      <c r="C139" s="335">
        <f>+'D) Ecrêtage'!M139</f>
        <v>44860.345540429065</v>
      </c>
      <c r="D139" s="310">
        <v>307140</v>
      </c>
      <c r="E139" s="335">
        <v>33295</v>
      </c>
      <c r="F139" s="310">
        <v>72655</v>
      </c>
      <c r="G139" s="335">
        <f t="shared" si="21"/>
        <v>413090</v>
      </c>
      <c r="H139" s="310">
        <f t="shared" si="22"/>
        <v>358882.76432343252</v>
      </c>
      <c r="I139" s="10">
        <f t="shared" si="23"/>
        <v>54207.235676567478</v>
      </c>
      <c r="J139" s="332">
        <f t="shared" si="18"/>
        <v>-38857.321785623863</v>
      </c>
      <c r="K139" s="15">
        <v>7517</v>
      </c>
      <c r="L139" s="10">
        <f t="shared" si="19"/>
        <v>44860.345540429065</v>
      </c>
      <c r="M139" s="15">
        <f t="shared" si="16"/>
        <v>0</v>
      </c>
      <c r="N139" s="2">
        <f t="shared" si="20"/>
        <v>0</v>
      </c>
      <c r="O139" s="138">
        <f t="shared" si="17"/>
        <v>-38857.321785623863</v>
      </c>
      <c r="P139" s="35">
        <f>O139/'D) Ecrêtage'!C139</f>
        <v>-0.8552820520421357</v>
      </c>
      <c r="Q139" s="134"/>
    </row>
    <row r="140" spans="1:17" x14ac:dyDescent="0.25">
      <c r="A140" s="51">
        <f>+'A) Base RI'!A142</f>
        <v>5632</v>
      </c>
      <c r="B140" s="321" t="str">
        <f>+'A) Base RI'!B142</f>
        <v>Denges</v>
      </c>
      <c r="C140" s="335">
        <f>+'D) Ecrêtage'!M140</f>
        <v>67894.99080645162</v>
      </c>
      <c r="D140" s="310">
        <v>147813</v>
      </c>
      <c r="E140" s="335">
        <v>364823</v>
      </c>
      <c r="F140" s="310">
        <v>55236</v>
      </c>
      <c r="G140" s="335">
        <f t="shared" si="21"/>
        <v>567872</v>
      </c>
      <c r="H140" s="310">
        <f t="shared" si="22"/>
        <v>543159.92645161296</v>
      </c>
      <c r="I140" s="10">
        <f t="shared" si="23"/>
        <v>24712.073548387038</v>
      </c>
      <c r="J140" s="332">
        <f t="shared" si="18"/>
        <v>-17714.332447960824</v>
      </c>
      <c r="K140" s="15">
        <v>135</v>
      </c>
      <c r="L140" s="10">
        <f t="shared" si="19"/>
        <v>67894.99080645162</v>
      </c>
      <c r="M140" s="15">
        <f t="shared" si="16"/>
        <v>0</v>
      </c>
      <c r="N140" s="2">
        <f t="shared" si="20"/>
        <v>0</v>
      </c>
      <c r="O140" s="138">
        <f t="shared" si="17"/>
        <v>-17714.332447960824</v>
      </c>
      <c r="P140" s="35">
        <f>O140/'D) Ecrêtage'!C140</f>
        <v>-0.26090779654804147</v>
      </c>
      <c r="Q140" s="134"/>
    </row>
    <row r="141" spans="1:17" x14ac:dyDescent="0.25">
      <c r="A141" s="51">
        <f>+'A) Base RI'!A143</f>
        <v>5633</v>
      </c>
      <c r="B141" s="321" t="str">
        <f>+'A) Base RI'!B143</f>
        <v>Echandens</v>
      </c>
      <c r="C141" s="335">
        <f>+'D) Ecrêtage'!M141</f>
        <v>131889.87370967743</v>
      </c>
      <c r="D141" s="310">
        <v>773778</v>
      </c>
      <c r="E141" s="335">
        <v>660535</v>
      </c>
      <c r="F141" s="310">
        <v>155646</v>
      </c>
      <c r="G141" s="335">
        <f t="shared" si="21"/>
        <v>1589959</v>
      </c>
      <c r="H141" s="310">
        <f t="shared" si="22"/>
        <v>1055118.9896774194</v>
      </c>
      <c r="I141" s="10">
        <f t="shared" si="23"/>
        <v>534840.01032258058</v>
      </c>
      <c r="J141" s="332">
        <f t="shared" si="18"/>
        <v>-383388.86175512301</v>
      </c>
      <c r="K141" s="15">
        <v>40826</v>
      </c>
      <c r="L141" s="10">
        <f t="shared" si="19"/>
        <v>131889.87370967743</v>
      </c>
      <c r="M141" s="15">
        <f t="shared" si="16"/>
        <v>0</v>
      </c>
      <c r="N141" s="2">
        <f t="shared" si="20"/>
        <v>0</v>
      </c>
      <c r="O141" s="138">
        <f t="shared" si="17"/>
        <v>-383388.86175512301</v>
      </c>
      <c r="P141" s="35">
        <f>O141/'D) Ecrêtage'!C141</f>
        <v>-2.9068862602678482</v>
      </c>
      <c r="Q141" s="134"/>
    </row>
    <row r="142" spans="1:17" x14ac:dyDescent="0.25">
      <c r="A142" s="51">
        <f>+'A) Base RI'!A144</f>
        <v>5634</v>
      </c>
      <c r="B142" s="321" t="str">
        <f>+'A) Base RI'!B144</f>
        <v>Echichens</v>
      </c>
      <c r="C142" s="335">
        <f>+'D) Ecrêtage'!M142</f>
        <v>127167.81867647056</v>
      </c>
      <c r="D142" s="310">
        <v>327518</v>
      </c>
      <c r="E142" s="335">
        <v>301838</v>
      </c>
      <c r="F142" s="310">
        <v>199276</v>
      </c>
      <c r="G142" s="335">
        <f t="shared" si="21"/>
        <v>828632</v>
      </c>
      <c r="H142" s="310">
        <f t="shared" si="22"/>
        <v>1017342.5494117645</v>
      </c>
      <c r="I142" s="10">
        <f t="shared" si="23"/>
        <v>0</v>
      </c>
      <c r="J142" s="332">
        <f t="shared" si="18"/>
        <v>0</v>
      </c>
      <c r="K142" s="15">
        <v>37538</v>
      </c>
      <c r="L142" s="10">
        <f t="shared" si="19"/>
        <v>127167.81867647056</v>
      </c>
      <c r="M142" s="15">
        <f t="shared" si="16"/>
        <v>0</v>
      </c>
      <c r="N142" s="2">
        <f t="shared" si="20"/>
        <v>0</v>
      </c>
      <c r="O142" s="138">
        <f t="shared" si="17"/>
        <v>0</v>
      </c>
      <c r="P142" s="35">
        <f>O142/'D) Ecrêtage'!C142</f>
        <v>0</v>
      </c>
      <c r="Q142" s="134"/>
    </row>
    <row r="143" spans="1:17" x14ac:dyDescent="0.25">
      <c r="A143" s="51">
        <f>+'A) Base RI'!A145</f>
        <v>5635</v>
      </c>
      <c r="B143" s="321" t="str">
        <f>+'A) Base RI'!B145</f>
        <v>Ecublens</v>
      </c>
      <c r="C143" s="335">
        <f>+'D) Ecrêtage'!M143</f>
        <v>453953.99228353141</v>
      </c>
      <c r="D143" s="310">
        <v>3458050</v>
      </c>
      <c r="E143" s="335">
        <v>3631126</v>
      </c>
      <c r="F143" s="310">
        <v>161767</v>
      </c>
      <c r="G143" s="335">
        <f t="shared" si="21"/>
        <v>7250943</v>
      </c>
      <c r="H143" s="310">
        <f t="shared" si="22"/>
        <v>3631631.9382682513</v>
      </c>
      <c r="I143" s="10">
        <f t="shared" si="23"/>
        <v>3619311.0617317487</v>
      </c>
      <c r="J143" s="332">
        <f t="shared" si="18"/>
        <v>-2594427.3455872331</v>
      </c>
      <c r="K143" s="15">
        <v>123711</v>
      </c>
      <c r="L143" s="10">
        <f t="shared" si="19"/>
        <v>453953.99228353141</v>
      </c>
      <c r="M143" s="15">
        <f t="shared" si="16"/>
        <v>0</v>
      </c>
      <c r="N143" s="2">
        <f t="shared" si="20"/>
        <v>0</v>
      </c>
      <c r="O143" s="138">
        <f t="shared" si="17"/>
        <v>-2594427.3455872331</v>
      </c>
      <c r="P143" s="35">
        <f>O143/'D) Ecrêtage'!C143</f>
        <v>-5.7151768454253418</v>
      </c>
      <c r="Q143" s="134"/>
    </row>
    <row r="144" spans="1:17" x14ac:dyDescent="0.25">
      <c r="A144" s="51">
        <f>+'A) Base RI'!A146</f>
        <v>5636</v>
      </c>
      <c r="B144" s="321" t="str">
        <f>+'A) Base RI'!B146</f>
        <v>Etoy</v>
      </c>
      <c r="C144" s="335">
        <f>+'D) Ecrêtage'!M144</f>
        <v>157303.40508196724</v>
      </c>
      <c r="D144" s="310">
        <v>513012</v>
      </c>
      <c r="E144" s="335">
        <v>339485</v>
      </c>
      <c r="F144" s="310">
        <v>348087</v>
      </c>
      <c r="G144" s="335">
        <f t="shared" si="21"/>
        <v>1200584</v>
      </c>
      <c r="H144" s="310">
        <f t="shared" si="22"/>
        <v>1258427.2406557379</v>
      </c>
      <c r="I144" s="10">
        <f t="shared" si="23"/>
        <v>0</v>
      </c>
      <c r="J144" s="332">
        <f t="shared" si="18"/>
        <v>0</v>
      </c>
      <c r="K144" s="15">
        <v>13446</v>
      </c>
      <c r="L144" s="10">
        <f t="shared" si="19"/>
        <v>157303.40508196724</v>
      </c>
      <c r="M144" s="15">
        <f t="shared" si="16"/>
        <v>0</v>
      </c>
      <c r="N144" s="2">
        <f t="shared" si="20"/>
        <v>0</v>
      </c>
      <c r="O144" s="138">
        <f t="shared" si="17"/>
        <v>0</v>
      </c>
      <c r="P144" s="35">
        <f>O144/'D) Ecrêtage'!C144</f>
        <v>0</v>
      </c>
      <c r="Q144" s="134"/>
    </row>
    <row r="145" spans="1:17" x14ac:dyDescent="0.25">
      <c r="A145" s="51">
        <f>+'A) Base RI'!A147</f>
        <v>5637</v>
      </c>
      <c r="B145" s="321" t="str">
        <f>+'A) Base RI'!B147</f>
        <v>Lavigny</v>
      </c>
      <c r="C145" s="335">
        <f>+'D) Ecrêtage'!M145</f>
        <v>36259.562058165546</v>
      </c>
      <c r="D145" s="310">
        <v>204076</v>
      </c>
      <c r="E145" s="335">
        <v>72220</v>
      </c>
      <c r="F145" s="310">
        <v>134938</v>
      </c>
      <c r="G145" s="335">
        <f t="shared" si="21"/>
        <v>411234</v>
      </c>
      <c r="H145" s="310">
        <f t="shared" si="22"/>
        <v>290076.49646532437</v>
      </c>
      <c r="I145" s="10">
        <f t="shared" si="23"/>
        <v>121157.50353467563</v>
      </c>
      <c r="J145" s="332">
        <f t="shared" si="18"/>
        <v>-86849.219349232517</v>
      </c>
      <c r="K145" s="15">
        <v>0</v>
      </c>
      <c r="L145" s="10">
        <f t="shared" si="19"/>
        <v>36259.562058165546</v>
      </c>
      <c r="M145" s="15">
        <f t="shared" si="16"/>
        <v>0</v>
      </c>
      <c r="N145" s="2">
        <f t="shared" si="20"/>
        <v>0</v>
      </c>
      <c r="O145" s="138">
        <f t="shared" si="17"/>
        <v>-86849.219349232517</v>
      </c>
      <c r="P145" s="35">
        <f>O145/'D) Ecrêtage'!C145</f>
        <v>-2.3952087234234627</v>
      </c>
      <c r="Q145" s="134"/>
    </row>
    <row r="146" spans="1:17" x14ac:dyDescent="0.25">
      <c r="A146" s="51">
        <f>+'A) Base RI'!A148</f>
        <v>5638</v>
      </c>
      <c r="B146" s="321" t="str">
        <f>+'A) Base RI'!B148</f>
        <v>Lonay</v>
      </c>
      <c r="C146" s="335">
        <f>+'D) Ecrêtage'!M146</f>
        <v>150321.62938264804</v>
      </c>
      <c r="D146" s="310">
        <v>755175</v>
      </c>
      <c r="E146" s="335">
        <v>773090</v>
      </c>
      <c r="F146" s="310">
        <v>62710</v>
      </c>
      <c r="G146" s="335">
        <f t="shared" si="21"/>
        <v>1590975</v>
      </c>
      <c r="H146" s="310">
        <f t="shared" si="22"/>
        <v>1202573.0350611843</v>
      </c>
      <c r="I146" s="10">
        <f t="shared" si="23"/>
        <v>388401.96493881568</v>
      </c>
      <c r="J146" s="332">
        <f t="shared" si="18"/>
        <v>-278417.81536039826</v>
      </c>
      <c r="K146" s="15">
        <v>-2795</v>
      </c>
      <c r="L146" s="10">
        <f t="shared" si="19"/>
        <v>150321.62938264804</v>
      </c>
      <c r="M146" s="15">
        <f t="shared" si="16"/>
        <v>0</v>
      </c>
      <c r="N146" s="2">
        <f t="shared" si="20"/>
        <v>0</v>
      </c>
      <c r="O146" s="138">
        <f t="shared" si="17"/>
        <v>-278417.81536039826</v>
      </c>
      <c r="P146" s="35">
        <f>O146/'D) Ecrêtage'!C146</f>
        <v>-1.8083629097920761</v>
      </c>
      <c r="Q146" s="134"/>
    </row>
    <row r="147" spans="1:17" x14ac:dyDescent="0.25">
      <c r="A147" s="51">
        <f>+'A) Base RI'!A149</f>
        <v>5639</v>
      </c>
      <c r="B147" s="321" t="str">
        <f>+'A) Base RI'!B149</f>
        <v>Lully</v>
      </c>
      <c r="C147" s="335">
        <f>+'D) Ecrêtage'!M147</f>
        <v>49975.06593843337</v>
      </c>
      <c r="D147" s="310">
        <v>76510</v>
      </c>
      <c r="E147" s="335">
        <v>121944</v>
      </c>
      <c r="F147" s="310">
        <v>16954</v>
      </c>
      <c r="G147" s="335">
        <f t="shared" si="21"/>
        <v>215408</v>
      </c>
      <c r="H147" s="310">
        <f t="shared" si="22"/>
        <v>399800.52750746696</v>
      </c>
      <c r="I147" s="10">
        <f t="shared" si="23"/>
        <v>0</v>
      </c>
      <c r="J147" s="332">
        <f t="shared" si="18"/>
        <v>0</v>
      </c>
      <c r="K147" s="15">
        <v>8110</v>
      </c>
      <c r="L147" s="10">
        <f t="shared" si="19"/>
        <v>49975.06593843337</v>
      </c>
      <c r="M147" s="15">
        <f t="shared" si="16"/>
        <v>0</v>
      </c>
      <c r="N147" s="2">
        <f t="shared" si="20"/>
        <v>0</v>
      </c>
      <c r="O147" s="138">
        <f t="shared" si="17"/>
        <v>0</v>
      </c>
      <c r="P147" s="35">
        <f>O147/'D) Ecrêtage'!C147</f>
        <v>0</v>
      </c>
      <c r="Q147" s="134"/>
    </row>
    <row r="148" spans="1:17" x14ac:dyDescent="0.25">
      <c r="A148" s="51">
        <f>+'A) Base RI'!A150</f>
        <v>5640</v>
      </c>
      <c r="B148" s="321" t="str">
        <f>+'A) Base RI'!B150</f>
        <v>Lussy-sur-Morges</v>
      </c>
      <c r="C148" s="335">
        <f>+'D) Ecrêtage'!M148</f>
        <v>50651.70710935448</v>
      </c>
      <c r="D148" s="310">
        <v>164209</v>
      </c>
      <c r="E148" s="335">
        <v>91340</v>
      </c>
      <c r="F148" s="310">
        <v>74967</v>
      </c>
      <c r="G148" s="335">
        <f t="shared" si="21"/>
        <v>330516</v>
      </c>
      <c r="H148" s="310">
        <f t="shared" si="22"/>
        <v>405213.65687483584</v>
      </c>
      <c r="I148" s="10">
        <f t="shared" si="23"/>
        <v>0</v>
      </c>
      <c r="J148" s="332">
        <f t="shared" si="18"/>
        <v>0</v>
      </c>
      <c r="K148" s="15">
        <v>12094</v>
      </c>
      <c r="L148" s="10">
        <f t="shared" si="19"/>
        <v>50651.70710935448</v>
      </c>
      <c r="M148" s="15">
        <f t="shared" si="16"/>
        <v>0</v>
      </c>
      <c r="N148" s="2">
        <f t="shared" si="20"/>
        <v>0</v>
      </c>
      <c r="O148" s="138">
        <f t="shared" si="17"/>
        <v>0</v>
      </c>
      <c r="P148" s="35">
        <f>O148/'D) Ecrêtage'!C148</f>
        <v>0</v>
      </c>
      <c r="Q148" s="134"/>
    </row>
    <row r="149" spans="1:17" x14ac:dyDescent="0.25">
      <c r="A149" s="51">
        <f>+'A) Base RI'!A151</f>
        <v>5642</v>
      </c>
      <c r="B149" s="321" t="str">
        <f>+'A) Base RI'!B151</f>
        <v>Morges</v>
      </c>
      <c r="C149" s="335">
        <f>+'D) Ecrêtage'!M149</f>
        <v>777988.51795620425</v>
      </c>
      <c r="D149" s="310">
        <v>3198481</v>
      </c>
      <c r="E149" s="335">
        <v>3717052</v>
      </c>
      <c r="F149" s="310">
        <v>95042</v>
      </c>
      <c r="G149" s="335">
        <f t="shared" si="21"/>
        <v>7010575</v>
      </c>
      <c r="H149" s="310">
        <f t="shared" si="22"/>
        <v>6223908.143649634</v>
      </c>
      <c r="I149" s="10">
        <f t="shared" si="23"/>
        <v>786666.85635036603</v>
      </c>
      <c r="J149" s="332">
        <f t="shared" si="18"/>
        <v>-563905.66303134779</v>
      </c>
      <c r="K149" s="15">
        <v>105357</v>
      </c>
      <c r="L149" s="10">
        <f t="shared" si="19"/>
        <v>777988.51795620425</v>
      </c>
      <c r="M149" s="15">
        <f t="shared" si="16"/>
        <v>0</v>
      </c>
      <c r="N149" s="2">
        <f t="shared" si="20"/>
        <v>0</v>
      </c>
      <c r="O149" s="138">
        <f t="shared" si="17"/>
        <v>-563905.66303134779</v>
      </c>
      <c r="P149" s="35">
        <f>O149/'D) Ecrêtage'!C149</f>
        <v>-0.72482517417190473</v>
      </c>
      <c r="Q149" s="134"/>
    </row>
    <row r="150" spans="1:17" x14ac:dyDescent="0.25">
      <c r="A150" s="51">
        <f>+'A) Base RI'!A152</f>
        <v>5643</v>
      </c>
      <c r="B150" s="321" t="str">
        <f>+'A) Base RI'!B152</f>
        <v>Préverenges</v>
      </c>
      <c r="C150" s="335">
        <f>+'D) Ecrêtage'!M150</f>
        <v>264736.09703124996</v>
      </c>
      <c r="D150" s="310">
        <v>166026</v>
      </c>
      <c r="E150" s="335">
        <v>1031286</v>
      </c>
      <c r="F150" s="310">
        <v>123041</v>
      </c>
      <c r="G150" s="335">
        <f t="shared" si="21"/>
        <v>1320353</v>
      </c>
      <c r="H150" s="310">
        <f t="shared" si="22"/>
        <v>2117888.7762499996</v>
      </c>
      <c r="I150" s="10">
        <f t="shared" si="23"/>
        <v>0</v>
      </c>
      <c r="J150" s="332">
        <f t="shared" si="18"/>
        <v>0</v>
      </c>
      <c r="K150" s="15">
        <v>150</v>
      </c>
      <c r="L150" s="10">
        <f t="shared" si="19"/>
        <v>264736.09703124996</v>
      </c>
      <c r="M150" s="15">
        <f t="shared" si="16"/>
        <v>0</v>
      </c>
      <c r="N150" s="2">
        <f t="shared" si="20"/>
        <v>0</v>
      </c>
      <c r="O150" s="138">
        <f t="shared" si="17"/>
        <v>0</v>
      </c>
      <c r="P150" s="35">
        <f>O150/'D) Ecrêtage'!C150</f>
        <v>0</v>
      </c>
      <c r="Q150" s="134"/>
    </row>
    <row r="151" spans="1:17" x14ac:dyDescent="0.25">
      <c r="A151" s="51">
        <f>+'A) Base RI'!A153</f>
        <v>5644</v>
      </c>
      <c r="B151" s="321" t="str">
        <f>+'A) Base RI'!B153</f>
        <v>Reverolle</v>
      </c>
      <c r="C151" s="335">
        <f>+'D) Ecrêtage'!M151</f>
        <v>15137.442236842104</v>
      </c>
      <c r="D151" s="310">
        <v>95943</v>
      </c>
      <c r="E151" s="335">
        <v>25574</v>
      </c>
      <c r="F151" s="310">
        <v>47184</v>
      </c>
      <c r="G151" s="335">
        <f t="shared" si="21"/>
        <v>168701</v>
      </c>
      <c r="H151" s="310">
        <f t="shared" si="22"/>
        <v>121099.53789473683</v>
      </c>
      <c r="I151" s="10">
        <f t="shared" si="23"/>
        <v>47601.46210526317</v>
      </c>
      <c r="J151" s="332">
        <f t="shared" si="18"/>
        <v>-34122.111327103856</v>
      </c>
      <c r="K151" s="15">
        <v>6888</v>
      </c>
      <c r="L151" s="10">
        <f t="shared" si="19"/>
        <v>15137.442236842104</v>
      </c>
      <c r="M151" s="15">
        <f t="shared" si="16"/>
        <v>0</v>
      </c>
      <c r="N151" s="2">
        <f t="shared" si="20"/>
        <v>0</v>
      </c>
      <c r="O151" s="138">
        <f t="shared" si="17"/>
        <v>-34122.111327103856</v>
      </c>
      <c r="P151" s="35">
        <f>O151/'D) Ecrêtage'!C151</f>
        <v>-2.2541530328060388</v>
      </c>
      <c r="Q151" s="134"/>
    </row>
    <row r="152" spans="1:17" x14ac:dyDescent="0.25">
      <c r="A152" s="51">
        <f>+'A) Base RI'!A154</f>
        <v>5645</v>
      </c>
      <c r="B152" s="321" t="str">
        <f>+'A) Base RI'!B154</f>
        <v>Romanel-sur-Morges</v>
      </c>
      <c r="C152" s="335">
        <f>+'D) Ecrêtage'!M152</f>
        <v>26740.464147907049</v>
      </c>
      <c r="D152" s="310">
        <v>26238</v>
      </c>
      <c r="E152" s="335">
        <v>16575</v>
      </c>
      <c r="F152" s="310">
        <v>35498</v>
      </c>
      <c r="G152" s="335">
        <f t="shared" si="21"/>
        <v>78311</v>
      </c>
      <c r="H152" s="310">
        <f t="shared" si="22"/>
        <v>213923.71318325639</v>
      </c>
      <c r="I152" s="10">
        <f t="shared" si="23"/>
        <v>0</v>
      </c>
      <c r="J152" s="332">
        <f t="shared" si="18"/>
        <v>0</v>
      </c>
      <c r="K152" s="15">
        <v>11058</v>
      </c>
      <c r="L152" s="10">
        <f t="shared" si="19"/>
        <v>26740.464147907049</v>
      </c>
      <c r="M152" s="15">
        <f t="shared" si="16"/>
        <v>0</v>
      </c>
      <c r="N152" s="2">
        <f t="shared" si="20"/>
        <v>0</v>
      </c>
      <c r="O152" s="138">
        <f t="shared" si="17"/>
        <v>0</v>
      </c>
      <c r="P152" s="35">
        <f>O152/'D) Ecrêtage'!C152</f>
        <v>0</v>
      </c>
      <c r="Q152" s="134"/>
    </row>
    <row r="153" spans="1:17" x14ac:dyDescent="0.25">
      <c r="A153" s="51">
        <f>+'A) Base RI'!A155</f>
        <v>5646</v>
      </c>
      <c r="B153" s="321" t="str">
        <f>+'A) Base RI'!B155</f>
        <v>Saint-Prex</v>
      </c>
      <c r="C153" s="335">
        <f>+'D) Ecrêtage'!M153</f>
        <v>369808.23845823808</v>
      </c>
      <c r="D153" s="310">
        <v>872469</v>
      </c>
      <c r="E153" s="335">
        <v>491765</v>
      </c>
      <c r="F153" s="310">
        <v>143368</v>
      </c>
      <c r="G153" s="335">
        <f t="shared" si="21"/>
        <v>1507602</v>
      </c>
      <c r="H153" s="310">
        <f t="shared" si="22"/>
        <v>2958465.9076659046</v>
      </c>
      <c r="I153" s="10">
        <f t="shared" si="23"/>
        <v>0</v>
      </c>
      <c r="J153" s="332">
        <f t="shared" si="18"/>
        <v>0</v>
      </c>
      <c r="K153" s="15">
        <v>16653</v>
      </c>
      <c r="L153" s="10">
        <f t="shared" si="19"/>
        <v>369808.23845823808</v>
      </c>
      <c r="M153" s="15">
        <f t="shared" si="16"/>
        <v>0</v>
      </c>
      <c r="N153" s="2">
        <f t="shared" si="20"/>
        <v>0</v>
      </c>
      <c r="O153" s="138">
        <f t="shared" si="17"/>
        <v>0</v>
      </c>
      <c r="P153" s="35">
        <f>O153/'D) Ecrêtage'!C153</f>
        <v>0</v>
      </c>
      <c r="Q153" s="134"/>
    </row>
    <row r="154" spans="1:17" x14ac:dyDescent="0.25">
      <c r="A154" s="51">
        <f>+'A) Base RI'!A156</f>
        <v>5648</v>
      </c>
      <c r="B154" s="321" t="str">
        <f>+'A) Base RI'!B156</f>
        <v>Saint-Sulpice</v>
      </c>
      <c r="C154" s="335">
        <f>+'D) Ecrêtage'!M154</f>
        <v>334205.15465588256</v>
      </c>
      <c r="D154" s="310">
        <v>398359</v>
      </c>
      <c r="E154" s="335">
        <v>1916973</v>
      </c>
      <c r="F154" s="310">
        <v>49588</v>
      </c>
      <c r="G154" s="335">
        <f t="shared" si="21"/>
        <v>2364920</v>
      </c>
      <c r="H154" s="310">
        <f t="shared" si="22"/>
        <v>2673641.2372470605</v>
      </c>
      <c r="I154" s="10">
        <f t="shared" si="23"/>
        <v>0</v>
      </c>
      <c r="J154" s="332">
        <f t="shared" si="18"/>
        <v>0</v>
      </c>
      <c r="K154" s="15">
        <v>37622</v>
      </c>
      <c r="L154" s="10">
        <f t="shared" si="19"/>
        <v>334205.15465588256</v>
      </c>
      <c r="M154" s="15">
        <f t="shared" si="16"/>
        <v>0</v>
      </c>
      <c r="N154" s="2">
        <f t="shared" si="20"/>
        <v>0</v>
      </c>
      <c r="O154" s="138">
        <f t="shared" si="17"/>
        <v>0</v>
      </c>
      <c r="P154" s="35">
        <f>O154/'D) Ecrêtage'!C154</f>
        <v>0</v>
      </c>
      <c r="Q154" s="134"/>
    </row>
    <row r="155" spans="1:17" x14ac:dyDescent="0.25">
      <c r="A155" s="51">
        <f>+'A) Base RI'!A157</f>
        <v>5649</v>
      </c>
      <c r="B155" s="321" t="str">
        <f>+'A) Base RI'!B157</f>
        <v>Tolochenaz</v>
      </c>
      <c r="C155" s="335">
        <f>+'D) Ecrêtage'!M155</f>
        <v>195848.93852904905</v>
      </c>
      <c r="D155" s="310">
        <v>353481</v>
      </c>
      <c r="E155" s="335">
        <v>548275</v>
      </c>
      <c r="F155" s="310">
        <v>31652</v>
      </c>
      <c r="G155" s="335">
        <f t="shared" si="21"/>
        <v>933408</v>
      </c>
      <c r="H155" s="310">
        <f t="shared" si="22"/>
        <v>1566791.5082323924</v>
      </c>
      <c r="I155" s="10">
        <f t="shared" si="23"/>
        <v>0</v>
      </c>
      <c r="J155" s="332">
        <f t="shared" si="18"/>
        <v>0</v>
      </c>
      <c r="K155" s="15">
        <v>16582</v>
      </c>
      <c r="L155" s="10">
        <f t="shared" si="19"/>
        <v>195848.93852904905</v>
      </c>
      <c r="M155" s="15">
        <f t="shared" si="16"/>
        <v>0</v>
      </c>
      <c r="N155" s="2">
        <f t="shared" si="20"/>
        <v>0</v>
      </c>
      <c r="O155" s="138">
        <f t="shared" si="17"/>
        <v>0</v>
      </c>
      <c r="P155" s="35">
        <f>O155/'D) Ecrêtage'!C155</f>
        <v>0</v>
      </c>
      <c r="Q155" s="134"/>
    </row>
    <row r="156" spans="1:17" x14ac:dyDescent="0.25">
      <c r="A156" s="51">
        <f>+'A) Base RI'!A158</f>
        <v>5650</v>
      </c>
      <c r="B156" s="321" t="str">
        <f>+'A) Base RI'!B158</f>
        <v>Vaux-sur-Morges</v>
      </c>
      <c r="C156" s="335">
        <f>+'D) Ecrêtage'!M156</f>
        <v>103424.65367092534</v>
      </c>
      <c r="D156" s="310">
        <v>30681</v>
      </c>
      <c r="E156" s="335">
        <v>6950</v>
      </c>
      <c r="F156" s="310">
        <v>21084</v>
      </c>
      <c r="G156" s="335">
        <f t="shared" si="21"/>
        <v>58715</v>
      </c>
      <c r="H156" s="310">
        <f t="shared" si="22"/>
        <v>827397.22936740273</v>
      </c>
      <c r="I156" s="10">
        <f t="shared" si="23"/>
        <v>0</v>
      </c>
      <c r="J156" s="332">
        <f t="shared" si="18"/>
        <v>0</v>
      </c>
      <c r="K156" s="15">
        <v>-6</v>
      </c>
      <c r="L156" s="10">
        <f t="shared" si="19"/>
        <v>103424.65367092534</v>
      </c>
      <c r="M156" s="15">
        <f t="shared" si="16"/>
        <v>0</v>
      </c>
      <c r="N156" s="2">
        <f t="shared" si="20"/>
        <v>0</v>
      </c>
      <c r="O156" s="138">
        <f t="shared" si="17"/>
        <v>0</v>
      </c>
      <c r="P156" s="35">
        <f>O156/'D) Ecrêtage'!C156</f>
        <v>0</v>
      </c>
      <c r="Q156" s="134"/>
    </row>
    <row r="157" spans="1:17" x14ac:dyDescent="0.25">
      <c r="A157" s="51">
        <f>+'A) Base RI'!A159</f>
        <v>5651</v>
      </c>
      <c r="B157" s="321" t="str">
        <f>+'A) Base RI'!B159</f>
        <v>Villars-Sainte-Croix</v>
      </c>
      <c r="C157" s="335">
        <f>+'D) Ecrêtage'!M157</f>
        <v>52872.416721397552</v>
      </c>
      <c r="D157" s="310">
        <v>127645</v>
      </c>
      <c r="E157" s="335">
        <v>125622</v>
      </c>
      <c r="F157" s="310">
        <v>24677</v>
      </c>
      <c r="G157" s="335">
        <f t="shared" si="21"/>
        <v>277944</v>
      </c>
      <c r="H157" s="310">
        <f t="shared" si="22"/>
        <v>422979.33377118042</v>
      </c>
      <c r="I157" s="10">
        <f t="shared" si="23"/>
        <v>0</v>
      </c>
      <c r="J157" s="332">
        <f t="shared" si="18"/>
        <v>0</v>
      </c>
      <c r="K157" s="15">
        <v>15166</v>
      </c>
      <c r="L157" s="10">
        <f t="shared" si="19"/>
        <v>52872.416721397552</v>
      </c>
      <c r="M157" s="15">
        <f t="shared" si="16"/>
        <v>0</v>
      </c>
      <c r="N157" s="2">
        <f t="shared" si="20"/>
        <v>0</v>
      </c>
      <c r="O157" s="138">
        <f t="shared" si="17"/>
        <v>0</v>
      </c>
      <c r="P157" s="35">
        <f>O157/'D) Ecrêtage'!C157</f>
        <v>0</v>
      </c>
      <c r="Q157" s="134"/>
    </row>
    <row r="158" spans="1:17" x14ac:dyDescent="0.25">
      <c r="A158" s="51">
        <f>+'A) Base RI'!A160</f>
        <v>5652</v>
      </c>
      <c r="B158" s="321" t="str">
        <f>+'A) Base RI'!B160</f>
        <v>Villars-sous-Yens</v>
      </c>
      <c r="C158" s="335">
        <f>+'D) Ecrêtage'!M158</f>
        <v>25892.335109649121</v>
      </c>
      <c r="D158" s="310">
        <v>99537</v>
      </c>
      <c r="E158" s="335">
        <v>47819</v>
      </c>
      <c r="F158" s="310">
        <v>63157</v>
      </c>
      <c r="G158" s="335">
        <f t="shared" si="21"/>
        <v>210513</v>
      </c>
      <c r="H158" s="310">
        <f t="shared" si="22"/>
        <v>207138.68087719296</v>
      </c>
      <c r="I158" s="10">
        <f t="shared" si="23"/>
        <v>3374.3191228070355</v>
      </c>
      <c r="J158" s="332">
        <f t="shared" si="18"/>
        <v>-2418.8100043436793</v>
      </c>
      <c r="K158" s="15">
        <v>10163</v>
      </c>
      <c r="L158" s="10">
        <f t="shared" si="19"/>
        <v>25892.335109649121</v>
      </c>
      <c r="M158" s="15">
        <f t="shared" si="16"/>
        <v>0</v>
      </c>
      <c r="N158" s="2">
        <f t="shared" si="20"/>
        <v>0</v>
      </c>
      <c r="O158" s="138">
        <f t="shared" si="17"/>
        <v>-2418.8100043436793</v>
      </c>
      <c r="P158" s="35">
        <f>O158/'D) Ecrêtage'!C158</f>
        <v>-9.3417993939151428E-2</v>
      </c>
      <c r="Q158" s="134"/>
    </row>
    <row r="159" spans="1:17" x14ac:dyDescent="0.25">
      <c r="A159" s="51">
        <f>+'A) Base RI'!A161</f>
        <v>5653</v>
      </c>
      <c r="B159" s="321" t="str">
        <f>+'A) Base RI'!B161</f>
        <v>Vufflens-le-Château</v>
      </c>
      <c r="C159" s="335">
        <f>+'D) Ecrêtage'!M159</f>
        <v>56018.487471928405</v>
      </c>
      <c r="D159" s="310">
        <v>100916</v>
      </c>
      <c r="E159" s="335">
        <v>73057</v>
      </c>
      <c r="F159" s="310">
        <v>11580</v>
      </c>
      <c r="G159" s="335">
        <f t="shared" si="21"/>
        <v>185553</v>
      </c>
      <c r="H159" s="310">
        <f t="shared" si="22"/>
        <v>448147.89977542724</v>
      </c>
      <c r="I159" s="10">
        <f t="shared" si="23"/>
        <v>0</v>
      </c>
      <c r="J159" s="332">
        <f t="shared" si="18"/>
        <v>0</v>
      </c>
      <c r="K159" s="15">
        <v>13338</v>
      </c>
      <c r="L159" s="10">
        <f t="shared" si="19"/>
        <v>56018.487471928405</v>
      </c>
      <c r="M159" s="15">
        <f t="shared" si="16"/>
        <v>0</v>
      </c>
      <c r="N159" s="2">
        <f t="shared" si="20"/>
        <v>0</v>
      </c>
      <c r="O159" s="138">
        <f t="shared" si="17"/>
        <v>0</v>
      </c>
      <c r="P159" s="35">
        <f>O159/'D) Ecrêtage'!C159</f>
        <v>0</v>
      </c>
      <c r="Q159" s="134"/>
    </row>
    <row r="160" spans="1:17" x14ac:dyDescent="0.25">
      <c r="A160" s="51">
        <f>+'A) Base RI'!A162</f>
        <v>5654</v>
      </c>
      <c r="B160" s="321" t="str">
        <f>+'A) Base RI'!B162</f>
        <v>Vullierens</v>
      </c>
      <c r="C160" s="335">
        <f>+'D) Ecrêtage'!M160</f>
        <v>18691.767368421053</v>
      </c>
      <c r="D160" s="310">
        <v>99072</v>
      </c>
      <c r="E160" s="335">
        <v>16019</v>
      </c>
      <c r="F160" s="310">
        <v>41284</v>
      </c>
      <c r="G160" s="335">
        <f t="shared" si="21"/>
        <v>156375</v>
      </c>
      <c r="H160" s="310">
        <f t="shared" si="22"/>
        <v>149534.13894736842</v>
      </c>
      <c r="I160" s="10">
        <f t="shared" si="23"/>
        <v>6840.8610526315751</v>
      </c>
      <c r="J160" s="332">
        <f t="shared" si="18"/>
        <v>-4903.7279967359309</v>
      </c>
      <c r="K160" s="15">
        <v>13039</v>
      </c>
      <c r="L160" s="10">
        <f t="shared" si="19"/>
        <v>18691.767368421053</v>
      </c>
      <c r="M160" s="15">
        <f t="shared" si="16"/>
        <v>0</v>
      </c>
      <c r="N160" s="2">
        <f t="shared" si="20"/>
        <v>0</v>
      </c>
      <c r="O160" s="138">
        <f t="shared" si="17"/>
        <v>-4903.7279967359309</v>
      </c>
      <c r="P160" s="35">
        <f>O160/'D) Ecrêtage'!C160</f>
        <v>-0.26234694130746411</v>
      </c>
      <c r="Q160" s="134"/>
    </row>
    <row r="161" spans="1:17" x14ac:dyDescent="0.25">
      <c r="A161" s="51">
        <f>+'A) Base RI'!A163</f>
        <v>5655</v>
      </c>
      <c r="B161" s="321" t="str">
        <f>+'A) Base RI'!B163</f>
        <v>Yens</v>
      </c>
      <c r="C161" s="335">
        <f>+'D) Ecrêtage'!M161</f>
        <v>72322.592328767118</v>
      </c>
      <c r="D161" s="310">
        <v>299946</v>
      </c>
      <c r="E161" s="335">
        <v>120574</v>
      </c>
      <c r="F161" s="310">
        <v>155703</v>
      </c>
      <c r="G161" s="335">
        <f t="shared" si="21"/>
        <v>576223</v>
      </c>
      <c r="H161" s="310">
        <f t="shared" si="22"/>
        <v>578580.73863013694</v>
      </c>
      <c r="I161" s="10">
        <f t="shared" si="23"/>
        <v>0</v>
      </c>
      <c r="J161" s="332">
        <f t="shared" si="18"/>
        <v>0</v>
      </c>
      <c r="K161" s="15">
        <v>67348</v>
      </c>
      <c r="L161" s="10">
        <f t="shared" si="19"/>
        <v>72322.592328767118</v>
      </c>
      <c r="M161" s="15">
        <f t="shared" si="16"/>
        <v>0</v>
      </c>
      <c r="N161" s="2">
        <f t="shared" si="20"/>
        <v>0</v>
      </c>
      <c r="O161" s="138">
        <f t="shared" si="17"/>
        <v>0</v>
      </c>
      <c r="P161" s="35">
        <f>O161/'D) Ecrêtage'!C161</f>
        <v>0</v>
      </c>
      <c r="Q161" s="134"/>
    </row>
    <row r="162" spans="1:17" x14ac:dyDescent="0.25">
      <c r="A162" s="51">
        <f>+'A) Base RI'!A164</f>
        <v>5661</v>
      </c>
      <c r="B162" s="321" t="str">
        <f>+'A) Base RI'!B164</f>
        <v>Boulens</v>
      </c>
      <c r="C162" s="335">
        <f>+'D) Ecrêtage'!M162</f>
        <v>9059.2982278481013</v>
      </c>
      <c r="D162" s="310">
        <v>9644</v>
      </c>
      <c r="E162" s="335">
        <v>11173</v>
      </c>
      <c r="F162" s="310">
        <v>33282</v>
      </c>
      <c r="G162" s="335">
        <f t="shared" si="21"/>
        <v>54099</v>
      </c>
      <c r="H162" s="310">
        <f t="shared" si="22"/>
        <v>72474.38582278481</v>
      </c>
      <c r="I162" s="10">
        <f t="shared" si="23"/>
        <v>0</v>
      </c>
      <c r="J162" s="332">
        <f t="shared" si="18"/>
        <v>0</v>
      </c>
      <c r="K162" s="15">
        <v>30886</v>
      </c>
      <c r="L162" s="10">
        <f t="shared" si="19"/>
        <v>9059.2982278481013</v>
      </c>
      <c r="M162" s="15">
        <f t="shared" si="16"/>
        <v>21826.701772151901</v>
      </c>
      <c r="N162" s="2">
        <f t="shared" si="20"/>
        <v>-15646.014110363105</v>
      </c>
      <c r="O162" s="138">
        <f t="shared" si="17"/>
        <v>-15646.014110363105</v>
      </c>
      <c r="P162" s="35">
        <f>O162/'D) Ecrêtage'!C162</f>
        <v>-1.7270669004214445</v>
      </c>
      <c r="Q162" s="134"/>
    </row>
    <row r="163" spans="1:17" x14ac:dyDescent="0.25">
      <c r="A163" s="51">
        <f>+'A) Base RI'!A165</f>
        <v>5663</v>
      </c>
      <c r="B163" s="321" t="str">
        <f>+'A) Base RI'!B165</f>
        <v>Bussy-sur-Moudon</v>
      </c>
      <c r="C163" s="335">
        <f>+'D) Ecrêtage'!M163</f>
        <v>5679.6416249999993</v>
      </c>
      <c r="D163" s="310">
        <v>103093</v>
      </c>
      <c r="E163" s="335">
        <v>6315</v>
      </c>
      <c r="F163" s="310">
        <v>12248</v>
      </c>
      <c r="G163" s="335">
        <f t="shared" si="21"/>
        <v>121656</v>
      </c>
      <c r="H163" s="310">
        <f t="shared" si="22"/>
        <v>45437.132999999994</v>
      </c>
      <c r="I163" s="10">
        <f t="shared" si="23"/>
        <v>76218.866999999998</v>
      </c>
      <c r="J163" s="332">
        <f t="shared" si="18"/>
        <v>-54635.898772364897</v>
      </c>
      <c r="K163" s="15">
        <v>25695</v>
      </c>
      <c r="L163" s="10">
        <f t="shared" si="19"/>
        <v>5679.6416249999993</v>
      </c>
      <c r="M163" s="15">
        <f t="shared" si="16"/>
        <v>20015.358375</v>
      </c>
      <c r="N163" s="2">
        <f t="shared" si="20"/>
        <v>-14347.590525966569</v>
      </c>
      <c r="O163" s="138">
        <f t="shared" si="17"/>
        <v>-68983.489298331464</v>
      </c>
      <c r="P163" s="35">
        <f>O163/'D) Ecrêtage'!C163</f>
        <v>-12.14574683632992</v>
      </c>
      <c r="Q163" s="134"/>
    </row>
    <row r="164" spans="1:17" x14ac:dyDescent="0.25">
      <c r="A164" s="51">
        <f>+'A) Base RI'!A166</f>
        <v>5665</v>
      </c>
      <c r="B164" s="321" t="str">
        <f>+'A) Base RI'!B166</f>
        <v>Chavannes-sur-Moudon</v>
      </c>
      <c r="C164" s="335">
        <f>+'D) Ecrêtage'!M164</f>
        <v>5041.8972602739723</v>
      </c>
      <c r="D164" s="310">
        <v>28676</v>
      </c>
      <c r="E164" s="335">
        <v>6801</v>
      </c>
      <c r="F164" s="310">
        <v>12147</v>
      </c>
      <c r="G164" s="335">
        <f t="shared" si="21"/>
        <v>47624</v>
      </c>
      <c r="H164" s="310">
        <f t="shared" si="22"/>
        <v>40335.178082191778</v>
      </c>
      <c r="I164" s="10">
        <f t="shared" si="23"/>
        <v>7288.8219178082218</v>
      </c>
      <c r="J164" s="332">
        <f t="shared" si="18"/>
        <v>-5224.8393625578901</v>
      </c>
      <c r="K164" s="15">
        <v>3195</v>
      </c>
      <c r="L164" s="10">
        <f t="shared" si="19"/>
        <v>5041.8972602739723</v>
      </c>
      <c r="M164" s="15">
        <f t="shared" si="16"/>
        <v>0</v>
      </c>
      <c r="N164" s="2">
        <f t="shared" si="20"/>
        <v>0</v>
      </c>
      <c r="O164" s="138">
        <f t="shared" si="17"/>
        <v>-5224.8393625578901</v>
      </c>
      <c r="P164" s="35">
        <f>O164/'D) Ecrêtage'!C164</f>
        <v>-1.0362843772572186</v>
      </c>
      <c r="Q164" s="134"/>
    </row>
    <row r="165" spans="1:17" x14ac:dyDescent="0.25">
      <c r="A165" s="51">
        <f>+'A) Base RI'!A167</f>
        <v>5669</v>
      </c>
      <c r="B165" s="321" t="str">
        <f>+'A) Base RI'!B167</f>
        <v>Curtilles</v>
      </c>
      <c r="C165" s="335">
        <f>+'D) Ecrêtage'!M165</f>
        <v>9002.5637333333325</v>
      </c>
      <c r="D165" s="310">
        <v>44085</v>
      </c>
      <c r="E165" s="335">
        <v>18764</v>
      </c>
      <c r="F165" s="310">
        <v>18399</v>
      </c>
      <c r="G165" s="335">
        <f t="shared" si="21"/>
        <v>81248</v>
      </c>
      <c r="H165" s="310">
        <f t="shared" si="22"/>
        <v>72020.50986666666</v>
      </c>
      <c r="I165" s="10">
        <f t="shared" si="23"/>
        <v>9227.4901333333401</v>
      </c>
      <c r="J165" s="332">
        <f t="shared" si="18"/>
        <v>-6614.5330768010008</v>
      </c>
      <c r="K165" s="15">
        <v>147</v>
      </c>
      <c r="L165" s="10">
        <f t="shared" si="19"/>
        <v>9002.5637333333325</v>
      </c>
      <c r="M165" s="15">
        <f t="shared" si="16"/>
        <v>0</v>
      </c>
      <c r="N165" s="2">
        <f t="shared" si="20"/>
        <v>0</v>
      </c>
      <c r="O165" s="138">
        <f t="shared" si="17"/>
        <v>-6614.5330768010008</v>
      </c>
      <c r="P165" s="35">
        <f>O165/'D) Ecrêtage'!C165</f>
        <v>-0.73473882248783284</v>
      </c>
      <c r="Q165" s="134"/>
    </row>
    <row r="166" spans="1:17" x14ac:dyDescent="0.25">
      <c r="A166" s="51">
        <f>+'A) Base RI'!A168</f>
        <v>5671</v>
      </c>
      <c r="B166" s="321" t="str">
        <f>+'A) Base RI'!B168</f>
        <v>Dompierre</v>
      </c>
      <c r="C166" s="335">
        <f>+'D) Ecrêtage'!M166</f>
        <v>6375.2653750000009</v>
      </c>
      <c r="D166" s="310">
        <v>80023</v>
      </c>
      <c r="E166" s="335">
        <v>7347</v>
      </c>
      <c r="F166" s="310">
        <v>34903</v>
      </c>
      <c r="G166" s="335">
        <f t="shared" si="21"/>
        <v>122273</v>
      </c>
      <c r="H166" s="310">
        <f t="shared" si="22"/>
        <v>51002.123000000007</v>
      </c>
      <c r="I166" s="10">
        <f t="shared" si="23"/>
        <v>71270.876999999993</v>
      </c>
      <c r="J166" s="332">
        <f t="shared" si="18"/>
        <v>-51089.035752652548</v>
      </c>
      <c r="K166" s="15">
        <v>13491</v>
      </c>
      <c r="L166" s="10">
        <f t="shared" si="19"/>
        <v>6375.2653750000009</v>
      </c>
      <c r="M166" s="15">
        <f t="shared" ref="M166:M218" si="24">IF(K166&gt;L166,K166-L166,0)</f>
        <v>7115.7346249999991</v>
      </c>
      <c r="N166" s="2">
        <f t="shared" si="20"/>
        <v>-5100.7653611869073</v>
      </c>
      <c r="O166" s="138">
        <f t="shared" ref="O166:O218" si="25">N166+J166</f>
        <v>-56189.801113839458</v>
      </c>
      <c r="P166" s="35">
        <f>O166/'D) Ecrêtage'!C166</f>
        <v>-8.8137195565509217</v>
      </c>
      <c r="Q166" s="134"/>
    </row>
    <row r="167" spans="1:17" x14ac:dyDescent="0.25">
      <c r="A167" s="51">
        <f>+'A) Base RI'!A169</f>
        <v>5673</v>
      </c>
      <c r="B167" s="321" t="str">
        <f>+'A) Base RI'!B169</f>
        <v>Hermenches</v>
      </c>
      <c r="C167" s="335">
        <f>+'D) Ecrêtage'!M167</f>
        <v>8890.2024444444451</v>
      </c>
      <c r="D167" s="310">
        <v>76651</v>
      </c>
      <c r="E167" s="335">
        <v>11507</v>
      </c>
      <c r="F167" s="310">
        <v>23526</v>
      </c>
      <c r="G167" s="335">
        <f t="shared" si="21"/>
        <v>111684</v>
      </c>
      <c r="H167" s="310">
        <f t="shared" si="22"/>
        <v>71121.619555555561</v>
      </c>
      <c r="I167" s="10">
        <f t="shared" si="23"/>
        <v>40562.380444444439</v>
      </c>
      <c r="J167" s="332">
        <f t="shared" si="18"/>
        <v>-29076.293038163632</v>
      </c>
      <c r="K167" s="15">
        <v>42906</v>
      </c>
      <c r="L167" s="10">
        <f t="shared" si="19"/>
        <v>8890.2024444444451</v>
      </c>
      <c r="M167" s="15">
        <f t="shared" si="24"/>
        <v>34015.797555555553</v>
      </c>
      <c r="N167" s="2">
        <f t="shared" si="20"/>
        <v>-24383.512180869737</v>
      </c>
      <c r="O167" s="138">
        <f t="shared" si="25"/>
        <v>-53459.805219033369</v>
      </c>
      <c r="P167" s="35">
        <f>O167/'D) Ecrêtage'!C167</f>
        <v>-6.0133394659016801</v>
      </c>
      <c r="Q167" s="134"/>
    </row>
    <row r="168" spans="1:17" x14ac:dyDescent="0.25">
      <c r="A168" s="51">
        <f>+'A) Base RI'!A170</f>
        <v>5674</v>
      </c>
      <c r="B168" s="321" t="str">
        <f>+'A) Base RI'!B170</f>
        <v>Lovatens</v>
      </c>
      <c r="C168" s="335">
        <f>+'D) Ecrêtage'!M168</f>
        <v>3625.6310666666668</v>
      </c>
      <c r="D168" s="310">
        <v>41184</v>
      </c>
      <c r="E168" s="335">
        <v>4342</v>
      </c>
      <c r="F168" s="310">
        <v>7126</v>
      </c>
      <c r="G168" s="335">
        <f t="shared" si="21"/>
        <v>52652</v>
      </c>
      <c r="H168" s="310">
        <f t="shared" si="22"/>
        <v>29005.048533333334</v>
      </c>
      <c r="I168" s="10">
        <f t="shared" si="23"/>
        <v>23646.951466666666</v>
      </c>
      <c r="J168" s="332">
        <f t="shared" ref="J168" si="26">-I168*J$4</f>
        <v>-16950.821987524763</v>
      </c>
      <c r="K168" s="15">
        <v>2991</v>
      </c>
      <c r="L168" s="10">
        <f t="shared" ref="L168" si="27">C168*M$4</f>
        <v>3625.6310666666668</v>
      </c>
      <c r="M168" s="15">
        <f t="shared" ref="M168" si="28">IF(K168&gt;L168,K168-L168,0)</f>
        <v>0</v>
      </c>
      <c r="N168" s="2">
        <f t="shared" ref="N168" si="29">-M168*N$4</f>
        <v>0</v>
      </c>
      <c r="O168" s="138">
        <f t="shared" ref="O168" si="30">N168+J168</f>
        <v>-16950.821987524763</v>
      </c>
      <c r="P168" s="35">
        <f>O168/'D) Ecrêtage'!C168</f>
        <v>-4.6752749178942281</v>
      </c>
      <c r="Q168" s="134"/>
    </row>
    <row r="169" spans="1:17" x14ac:dyDescent="0.25">
      <c r="A169" s="51">
        <f>+'A) Base RI'!A171</f>
        <v>5675</v>
      </c>
      <c r="B169" s="321" t="str">
        <f>+'A) Base RI'!B171</f>
        <v>Lucens</v>
      </c>
      <c r="C169" s="335">
        <f>+'D) Ecrêtage'!M169</f>
        <v>86340.116763085374</v>
      </c>
      <c r="D169" s="310">
        <v>742175</v>
      </c>
      <c r="E169" s="335">
        <v>304301</v>
      </c>
      <c r="F169" s="310">
        <v>245559</v>
      </c>
      <c r="G169" s="335">
        <f t="shared" si="21"/>
        <v>1292035</v>
      </c>
      <c r="H169" s="310">
        <f t="shared" si="22"/>
        <v>690720.93410468299</v>
      </c>
      <c r="I169" s="10">
        <f t="shared" si="23"/>
        <v>601314.06589531701</v>
      </c>
      <c r="J169" s="332">
        <f t="shared" si="18"/>
        <v>-431039.39651393262</v>
      </c>
      <c r="K169" s="15">
        <v>76016</v>
      </c>
      <c r="L169" s="10">
        <f t="shared" si="19"/>
        <v>86340.116763085374</v>
      </c>
      <c r="M169" s="15">
        <f t="shared" si="24"/>
        <v>0</v>
      </c>
      <c r="N169" s="2">
        <f t="shared" si="20"/>
        <v>0</v>
      </c>
      <c r="O169" s="138">
        <f t="shared" si="25"/>
        <v>-431039.39651393262</v>
      </c>
      <c r="P169" s="35">
        <f>O169/'D) Ecrêtage'!C169</f>
        <v>-4.9923420615319696</v>
      </c>
      <c r="Q169" s="134"/>
    </row>
    <row r="170" spans="1:17" x14ac:dyDescent="0.25">
      <c r="A170" s="51">
        <f>+'A) Base RI'!A172</f>
        <v>5678</v>
      </c>
      <c r="B170" s="321" t="str">
        <f>+'A) Base RI'!B172</f>
        <v>Moudon</v>
      </c>
      <c r="C170" s="335">
        <f>+'D) Ecrêtage'!M170</f>
        <v>119887.03426666667</v>
      </c>
      <c r="D170" s="310">
        <v>1654463</v>
      </c>
      <c r="E170" s="335">
        <v>455654</v>
      </c>
      <c r="F170" s="310">
        <v>389733</v>
      </c>
      <c r="G170" s="335">
        <f t="shared" si="21"/>
        <v>2499850</v>
      </c>
      <c r="H170" s="310">
        <f t="shared" si="22"/>
        <v>959096.27413333335</v>
      </c>
      <c r="I170" s="10">
        <f t="shared" si="23"/>
        <v>1540753.7258666665</v>
      </c>
      <c r="J170" s="332">
        <f t="shared" si="18"/>
        <v>-1104457.0447313951</v>
      </c>
      <c r="K170" s="15">
        <v>180366</v>
      </c>
      <c r="L170" s="10">
        <f t="shared" si="19"/>
        <v>119887.03426666667</v>
      </c>
      <c r="M170" s="15">
        <f t="shared" si="24"/>
        <v>60478.965733333331</v>
      </c>
      <c r="N170" s="2">
        <f t="shared" si="20"/>
        <v>-43353.080145677384</v>
      </c>
      <c r="O170" s="138">
        <f t="shared" si="25"/>
        <v>-1147810.1248770724</v>
      </c>
      <c r="P170" s="35">
        <f>O170/'D) Ecrêtage'!C170</f>
        <v>-9.5740972482810758</v>
      </c>
      <c r="Q170" s="134"/>
    </row>
    <row r="171" spans="1:17" x14ac:dyDescent="0.25">
      <c r="A171" s="51">
        <f>+'A) Base RI'!A173</f>
        <v>5680</v>
      </c>
      <c r="B171" s="321" t="str">
        <f>+'A) Base RI'!B173</f>
        <v>Ogens</v>
      </c>
      <c r="C171" s="335">
        <f>+'D) Ecrêtage'!M171</f>
        <v>7440.7528632478625</v>
      </c>
      <c r="D171" s="310">
        <v>31327</v>
      </c>
      <c r="E171" s="335">
        <v>11996</v>
      </c>
      <c r="F171" s="310">
        <v>26770</v>
      </c>
      <c r="G171" s="335">
        <f t="shared" si="21"/>
        <v>70093</v>
      </c>
      <c r="H171" s="310">
        <f t="shared" si="22"/>
        <v>59526.0229059829</v>
      </c>
      <c r="I171" s="10">
        <f t="shared" si="23"/>
        <v>10566.9770940171</v>
      </c>
      <c r="J171" s="332">
        <f t="shared" si="18"/>
        <v>-7574.7162554727674</v>
      </c>
      <c r="K171" s="15">
        <v>19613</v>
      </c>
      <c r="L171" s="10">
        <f t="shared" si="19"/>
        <v>7440.7528632478625</v>
      </c>
      <c r="M171" s="15">
        <f t="shared" si="24"/>
        <v>12172.247136752138</v>
      </c>
      <c r="N171" s="2">
        <f t="shared" si="20"/>
        <v>-8725.4204709681435</v>
      </c>
      <c r="O171" s="138">
        <f t="shared" si="25"/>
        <v>-16300.136726440911</v>
      </c>
      <c r="P171" s="35">
        <f>O171/'D) Ecrêtage'!C171</f>
        <v>-2.1906569168494006</v>
      </c>
      <c r="Q171" s="134"/>
    </row>
    <row r="172" spans="1:17" x14ac:dyDescent="0.25">
      <c r="A172" s="51">
        <f>+'A) Base RI'!A174</f>
        <v>5683</v>
      </c>
      <c r="B172" s="321" t="str">
        <f>+'A) Base RI'!B174</f>
        <v>Prévonloup</v>
      </c>
      <c r="C172" s="335">
        <f>+'D) Ecrêtage'!M172</f>
        <v>3896.046081081081</v>
      </c>
      <c r="D172" s="310">
        <v>148212</v>
      </c>
      <c r="E172" s="335">
        <v>7560</v>
      </c>
      <c r="F172" s="310">
        <v>9012</v>
      </c>
      <c r="G172" s="335">
        <f t="shared" si="21"/>
        <v>164784</v>
      </c>
      <c r="H172" s="310">
        <f t="shared" si="22"/>
        <v>31168.368648648648</v>
      </c>
      <c r="I172" s="10">
        <f t="shared" si="23"/>
        <v>133615.63135135136</v>
      </c>
      <c r="J172" s="332">
        <f t="shared" si="18"/>
        <v>-95779.567399211781</v>
      </c>
      <c r="K172" s="15">
        <v>3219</v>
      </c>
      <c r="L172" s="10">
        <f t="shared" si="19"/>
        <v>3896.046081081081</v>
      </c>
      <c r="M172" s="15">
        <f t="shared" si="24"/>
        <v>0</v>
      </c>
      <c r="N172" s="2">
        <f t="shared" si="20"/>
        <v>0</v>
      </c>
      <c r="O172" s="138">
        <f t="shared" si="25"/>
        <v>-95779.567399211781</v>
      </c>
      <c r="P172" s="35">
        <f>O172/'D) Ecrêtage'!C172</f>
        <v>-24.583787102598826</v>
      </c>
      <c r="Q172" s="134"/>
    </row>
    <row r="173" spans="1:17" x14ac:dyDescent="0.25">
      <c r="A173" s="51">
        <f>+'A) Base RI'!A175</f>
        <v>5684</v>
      </c>
      <c r="B173" s="321" t="str">
        <f>+'A) Base RI'!B175</f>
        <v>Rossenges</v>
      </c>
      <c r="C173" s="335">
        <f>+'D) Ecrêtage'!M173</f>
        <v>2935.9523333333332</v>
      </c>
      <c r="D173" s="310">
        <v>5237</v>
      </c>
      <c r="E173" s="335">
        <v>1821</v>
      </c>
      <c r="F173" s="310">
        <v>3443</v>
      </c>
      <c r="G173" s="335">
        <f t="shared" si="21"/>
        <v>10501</v>
      </c>
      <c r="H173" s="310">
        <f t="shared" si="22"/>
        <v>23487.618666666665</v>
      </c>
      <c r="I173" s="10">
        <f t="shared" si="23"/>
        <v>0</v>
      </c>
      <c r="J173" s="332">
        <f t="shared" si="18"/>
        <v>0</v>
      </c>
      <c r="K173" s="15">
        <v>0</v>
      </c>
      <c r="L173" s="10">
        <f t="shared" si="19"/>
        <v>2935.9523333333332</v>
      </c>
      <c r="M173" s="15">
        <f t="shared" si="24"/>
        <v>0</v>
      </c>
      <c r="N173" s="2">
        <f t="shared" si="20"/>
        <v>0</v>
      </c>
      <c r="O173" s="138">
        <f t="shared" si="25"/>
        <v>0</v>
      </c>
      <c r="P173" s="35">
        <f>O173/'D) Ecrêtage'!C173</f>
        <v>0</v>
      </c>
      <c r="Q173" s="134"/>
    </row>
    <row r="174" spans="1:17" x14ac:dyDescent="0.25">
      <c r="A174" s="51">
        <f>+'A) Base RI'!A176</f>
        <v>5688</v>
      </c>
      <c r="B174" s="321" t="str">
        <f>+'A) Base RI'!B176</f>
        <v>Syens</v>
      </c>
      <c r="C174" s="335">
        <f>+'D) Ecrêtage'!M174</f>
        <v>6288.5417989418002</v>
      </c>
      <c r="D174" s="310">
        <v>48585</v>
      </c>
      <c r="E174" s="335">
        <v>6604</v>
      </c>
      <c r="F174" s="310">
        <v>16996</v>
      </c>
      <c r="G174" s="335">
        <f t="shared" si="21"/>
        <v>72185</v>
      </c>
      <c r="H174" s="310">
        <f t="shared" si="22"/>
        <v>50308.334391534401</v>
      </c>
      <c r="I174" s="10">
        <f t="shared" si="23"/>
        <v>21876.665608465599</v>
      </c>
      <c r="J174" s="332">
        <f t="shared" si="18"/>
        <v>-15681.829640172989</v>
      </c>
      <c r="K174" s="15">
        <v>5387</v>
      </c>
      <c r="L174" s="10">
        <f t="shared" si="19"/>
        <v>6288.5417989418002</v>
      </c>
      <c r="M174" s="15">
        <f t="shared" si="24"/>
        <v>0</v>
      </c>
      <c r="N174" s="2">
        <f t="shared" si="20"/>
        <v>0</v>
      </c>
      <c r="O174" s="138">
        <f t="shared" si="25"/>
        <v>-15681.829640172989</v>
      </c>
      <c r="P174" s="35">
        <f>O174/'D) Ecrêtage'!C174</f>
        <v>-2.4937147818293641</v>
      </c>
      <c r="Q174" s="134"/>
    </row>
    <row r="175" spans="1:17" x14ac:dyDescent="0.25">
      <c r="A175" s="51">
        <f>+'A) Base RI'!A177</f>
        <v>5690</v>
      </c>
      <c r="B175" s="321" t="str">
        <f>+'A) Base RI'!B177</f>
        <v>Villars-le-Comte</v>
      </c>
      <c r="C175" s="335">
        <f>+'D) Ecrêtage'!M175</f>
        <v>3582.5831666666668</v>
      </c>
      <c r="D175" s="310">
        <v>20282</v>
      </c>
      <c r="E175" s="335">
        <v>4342</v>
      </c>
      <c r="F175" s="310">
        <v>8028</v>
      </c>
      <c r="G175" s="335">
        <f t="shared" si="21"/>
        <v>32652</v>
      </c>
      <c r="H175" s="310">
        <f t="shared" si="22"/>
        <v>28660.665333333334</v>
      </c>
      <c r="I175" s="10">
        <f t="shared" si="23"/>
        <v>3991.3346666666657</v>
      </c>
      <c r="J175" s="332">
        <f t="shared" si="18"/>
        <v>-2861.1046765445981</v>
      </c>
      <c r="K175" s="15">
        <v>4050</v>
      </c>
      <c r="L175" s="10">
        <f t="shared" si="19"/>
        <v>3582.5831666666668</v>
      </c>
      <c r="M175" s="15">
        <f t="shared" si="24"/>
        <v>467.41683333333322</v>
      </c>
      <c r="N175" s="2">
        <f t="shared" si="20"/>
        <v>-335.05796918365826</v>
      </c>
      <c r="O175" s="138">
        <f t="shared" si="25"/>
        <v>-3196.1626457282564</v>
      </c>
      <c r="P175" s="35">
        <f>O175/'D) Ecrêtage'!C175</f>
        <v>-0.89213913454019089</v>
      </c>
      <c r="Q175" s="134"/>
    </row>
    <row r="176" spans="1:17" x14ac:dyDescent="0.25">
      <c r="A176" s="51">
        <f>+'A) Base RI'!A178</f>
        <v>5692</v>
      </c>
      <c r="B176" s="321" t="str">
        <f>+'A) Base RI'!B178</f>
        <v>Vucherens</v>
      </c>
      <c r="C176" s="335">
        <f>+'D) Ecrêtage'!M176</f>
        <v>17338.328227848098</v>
      </c>
      <c r="D176" s="310">
        <v>112563</v>
      </c>
      <c r="E176" s="335">
        <v>25367</v>
      </c>
      <c r="F176" s="310">
        <v>66511</v>
      </c>
      <c r="G176" s="335">
        <f t="shared" si="21"/>
        <v>204441</v>
      </c>
      <c r="H176" s="310">
        <f t="shared" si="22"/>
        <v>138706.62582278479</v>
      </c>
      <c r="I176" s="10">
        <f t="shared" si="23"/>
        <v>65734.374177215213</v>
      </c>
      <c r="J176" s="332">
        <f t="shared" si="18"/>
        <v>-47120.309639489751</v>
      </c>
      <c r="K176" s="15">
        <v>5133</v>
      </c>
      <c r="L176" s="10">
        <f t="shared" si="19"/>
        <v>17338.328227848098</v>
      </c>
      <c r="M176" s="15">
        <f>IF(K176&gt;L176,K176-L176,0)</f>
        <v>0</v>
      </c>
      <c r="N176" s="2">
        <f t="shared" si="20"/>
        <v>0</v>
      </c>
      <c r="O176" s="138">
        <f>N176+J176</f>
        <v>-47120.309639489751</v>
      </c>
      <c r="P176" s="35">
        <f>O176/'D) Ecrêtage'!C176</f>
        <v>-2.7176962519262426</v>
      </c>
      <c r="Q176" s="134"/>
    </row>
    <row r="177" spans="1:17" x14ac:dyDescent="0.25">
      <c r="A177" s="51">
        <f>+'A) Base RI'!A179</f>
        <v>5693</v>
      </c>
      <c r="B177" s="321" t="str">
        <f>+'A) Base RI'!B179</f>
        <v>Montanaire</v>
      </c>
      <c r="C177" s="335">
        <f>+'D) Ecrêtage'!M177</f>
        <v>71023.934305555566</v>
      </c>
      <c r="D177" s="310">
        <v>797111</v>
      </c>
      <c r="E177" s="335">
        <v>75904</v>
      </c>
      <c r="F177" s="310">
        <v>226100</v>
      </c>
      <c r="G177" s="335">
        <f t="shared" si="21"/>
        <v>1099115</v>
      </c>
      <c r="H177" s="310">
        <f t="shared" si="22"/>
        <v>568191.47444444452</v>
      </c>
      <c r="I177" s="10">
        <f t="shared" si="23"/>
        <v>530923.52555555548</v>
      </c>
      <c r="J177" s="332">
        <f t="shared" si="18"/>
        <v>-380581.41166176635</v>
      </c>
      <c r="K177" s="15">
        <v>109824</v>
      </c>
      <c r="L177" s="10">
        <f t="shared" si="19"/>
        <v>71023.934305555566</v>
      </c>
      <c r="M177" s="15">
        <f t="shared" si="24"/>
        <v>38800.065694444434</v>
      </c>
      <c r="N177" s="2">
        <f t="shared" si="20"/>
        <v>-27813.014612809373</v>
      </c>
      <c r="O177" s="138">
        <f t="shared" si="25"/>
        <v>-408394.4262745757</v>
      </c>
      <c r="P177" s="35">
        <f>O177/'D) Ecrêtage'!C177</f>
        <v>-5.7500957989401424</v>
      </c>
      <c r="Q177" s="134"/>
    </row>
    <row r="178" spans="1:17" x14ac:dyDescent="0.25">
      <c r="A178" s="51">
        <f>+'A) Base RI'!A180</f>
        <v>5701</v>
      </c>
      <c r="B178" s="321" t="str">
        <f>+'A) Base RI'!B180</f>
        <v>Arnex-sur-Nyon</v>
      </c>
      <c r="C178" s="335">
        <f>+'D) Ecrêtage'!M178</f>
        <v>14061.940305841415</v>
      </c>
      <c r="D178" s="310">
        <v>18909</v>
      </c>
      <c r="E178" s="335">
        <v>7686</v>
      </c>
      <c r="F178" s="310">
        <v>44028</v>
      </c>
      <c r="G178" s="335">
        <f t="shared" si="21"/>
        <v>70623</v>
      </c>
      <c r="H178" s="310">
        <f t="shared" si="22"/>
        <v>112495.52244673132</v>
      </c>
      <c r="I178" s="10">
        <f t="shared" si="23"/>
        <v>0</v>
      </c>
      <c r="J178" s="332">
        <f t="shared" si="18"/>
        <v>0</v>
      </c>
      <c r="K178" s="15">
        <v>6536</v>
      </c>
      <c r="L178" s="10">
        <f t="shared" si="19"/>
        <v>14061.940305841415</v>
      </c>
      <c r="M178" s="15">
        <f t="shared" si="24"/>
        <v>0</v>
      </c>
      <c r="N178" s="2">
        <f t="shared" si="20"/>
        <v>0</v>
      </c>
      <c r="O178" s="138">
        <f t="shared" si="25"/>
        <v>0</v>
      </c>
      <c r="P178" s="35">
        <f>O178/'D) Ecrêtage'!C178</f>
        <v>0</v>
      </c>
      <c r="Q178" s="134"/>
    </row>
    <row r="179" spans="1:17" x14ac:dyDescent="0.25">
      <c r="A179" s="51">
        <f>+'A) Base RI'!A181</f>
        <v>5702</v>
      </c>
      <c r="B179" s="321" t="str">
        <f>+'A) Base RI'!B181</f>
        <v>Arzier-Le Muids</v>
      </c>
      <c r="C179" s="335">
        <f>+'D) Ecrêtage'!M179</f>
        <v>154163.71357205033</v>
      </c>
      <c r="D179" s="310">
        <v>709760</v>
      </c>
      <c r="E179" s="335">
        <v>153541</v>
      </c>
      <c r="F179" s="310">
        <v>104495</v>
      </c>
      <c r="G179" s="335">
        <f t="shared" si="21"/>
        <v>967796</v>
      </c>
      <c r="H179" s="310">
        <f t="shared" si="22"/>
        <v>1233309.7085764026</v>
      </c>
      <c r="I179" s="10">
        <f t="shared" si="23"/>
        <v>0</v>
      </c>
      <c r="J179" s="332">
        <f t="shared" si="18"/>
        <v>0</v>
      </c>
      <c r="K179" s="15">
        <v>557540</v>
      </c>
      <c r="L179" s="10">
        <f t="shared" si="19"/>
        <v>154163.71357205033</v>
      </c>
      <c r="M179" s="15">
        <f t="shared" si="24"/>
        <v>403376.28642794967</v>
      </c>
      <c r="N179" s="2">
        <f t="shared" si="20"/>
        <v>-289151.84415493772</v>
      </c>
      <c r="O179" s="138">
        <f t="shared" si="25"/>
        <v>-289151.84415493772</v>
      </c>
      <c r="P179" s="35">
        <f>O179/'D) Ecrêtage'!C179</f>
        <v>-1.8506264830522958</v>
      </c>
      <c r="Q179" s="134"/>
    </row>
    <row r="180" spans="1:17" x14ac:dyDescent="0.25">
      <c r="A180" s="51">
        <f>+'A) Base RI'!A182</f>
        <v>5703</v>
      </c>
      <c r="B180" s="321" t="str">
        <f>+'A) Base RI'!B182</f>
        <v>Bassins</v>
      </c>
      <c r="C180" s="335">
        <f>+'D) Ecrêtage'!M180</f>
        <v>56627.812818532817</v>
      </c>
      <c r="D180" s="310">
        <v>277707</v>
      </c>
      <c r="E180" s="335">
        <v>83086</v>
      </c>
      <c r="F180" s="310">
        <v>148157</v>
      </c>
      <c r="G180" s="335">
        <f t="shared" si="21"/>
        <v>508950</v>
      </c>
      <c r="H180" s="310">
        <f t="shared" si="22"/>
        <v>453022.50254826254</v>
      </c>
      <c r="I180" s="10">
        <f t="shared" si="23"/>
        <v>55927.497451737465</v>
      </c>
      <c r="J180" s="332">
        <f t="shared" si="18"/>
        <v>-40090.455416567973</v>
      </c>
      <c r="K180" s="15">
        <v>307010</v>
      </c>
      <c r="L180" s="10">
        <f t="shared" si="19"/>
        <v>56627.812818532817</v>
      </c>
      <c r="M180" s="15">
        <f t="shared" si="24"/>
        <v>250382.18718146719</v>
      </c>
      <c r="N180" s="2">
        <f t="shared" si="20"/>
        <v>-179481.22783365386</v>
      </c>
      <c r="O180" s="138">
        <f t="shared" si="25"/>
        <v>-219571.68325022183</v>
      </c>
      <c r="P180" s="35">
        <f>O180/'D) Ecrêtage'!C180</f>
        <v>-3.8774530097754667</v>
      </c>
      <c r="Q180" s="134"/>
    </row>
    <row r="181" spans="1:17" x14ac:dyDescent="0.25">
      <c r="A181" s="51">
        <f>+'A) Base RI'!A183</f>
        <v>5704</v>
      </c>
      <c r="B181" s="321" t="str">
        <f>+'A) Base RI'!B183</f>
        <v>Begnins</v>
      </c>
      <c r="C181" s="335">
        <f>+'D) Ecrêtage'!M181</f>
        <v>123086.41985171527</v>
      </c>
      <c r="D181" s="310">
        <v>542184</v>
      </c>
      <c r="E181" s="335">
        <v>72030</v>
      </c>
      <c r="F181" s="310">
        <v>183676</v>
      </c>
      <c r="G181" s="335">
        <f t="shared" si="21"/>
        <v>797890</v>
      </c>
      <c r="H181" s="310">
        <f t="shared" si="22"/>
        <v>984691.35881372215</v>
      </c>
      <c r="I181" s="10">
        <f t="shared" si="23"/>
        <v>0</v>
      </c>
      <c r="J181" s="332">
        <f t="shared" si="18"/>
        <v>0</v>
      </c>
      <c r="K181" s="15">
        <v>11902</v>
      </c>
      <c r="L181" s="10">
        <f t="shared" si="19"/>
        <v>123086.41985171527</v>
      </c>
      <c r="M181" s="15">
        <f t="shared" si="24"/>
        <v>0</v>
      </c>
      <c r="N181" s="2">
        <f t="shared" si="20"/>
        <v>0</v>
      </c>
      <c r="O181" s="138">
        <f t="shared" si="25"/>
        <v>0</v>
      </c>
      <c r="P181" s="35">
        <f>O181/'D) Ecrêtage'!C181</f>
        <v>0</v>
      </c>
      <c r="Q181" s="134"/>
    </row>
    <row r="182" spans="1:17" x14ac:dyDescent="0.25">
      <c r="A182" s="51">
        <f>+'A) Base RI'!A184</f>
        <v>5705</v>
      </c>
      <c r="B182" s="321" t="str">
        <f>+'A) Base RI'!B184</f>
        <v>Bogis-Bossey</v>
      </c>
      <c r="C182" s="335">
        <f>+'D) Ecrêtage'!M182</f>
        <v>53789.536206675177</v>
      </c>
      <c r="D182" s="310">
        <v>187665</v>
      </c>
      <c r="E182" s="335">
        <v>29703</v>
      </c>
      <c r="F182" s="310">
        <v>56967</v>
      </c>
      <c r="G182" s="335">
        <f t="shared" si="21"/>
        <v>274335</v>
      </c>
      <c r="H182" s="310">
        <f t="shared" si="22"/>
        <v>430316.28965340141</v>
      </c>
      <c r="I182" s="10">
        <f t="shared" si="23"/>
        <v>0</v>
      </c>
      <c r="J182" s="332">
        <f t="shared" si="18"/>
        <v>0</v>
      </c>
      <c r="K182" s="15">
        <v>16032</v>
      </c>
      <c r="L182" s="10">
        <f t="shared" si="19"/>
        <v>53789.536206675177</v>
      </c>
      <c r="M182" s="15">
        <f t="shared" si="24"/>
        <v>0</v>
      </c>
      <c r="N182" s="2">
        <f t="shared" si="20"/>
        <v>0</v>
      </c>
      <c r="O182" s="138">
        <f t="shared" si="25"/>
        <v>0</v>
      </c>
      <c r="P182" s="35">
        <f>O182/'D) Ecrêtage'!C182</f>
        <v>0</v>
      </c>
      <c r="Q182" s="134"/>
    </row>
    <row r="183" spans="1:17" x14ac:dyDescent="0.25">
      <c r="A183" s="51">
        <f>+'A) Base RI'!A185</f>
        <v>5706</v>
      </c>
      <c r="B183" s="321" t="str">
        <f>+'A) Base RI'!B185</f>
        <v>Borex</v>
      </c>
      <c r="C183" s="335">
        <f>+'D) Ecrêtage'!M183</f>
        <v>69662.629283993607</v>
      </c>
      <c r="D183" s="310">
        <v>200245</v>
      </c>
      <c r="E183" s="335">
        <v>39471</v>
      </c>
      <c r="F183" s="310">
        <v>194463</v>
      </c>
      <c r="G183" s="335">
        <f t="shared" si="21"/>
        <v>434179</v>
      </c>
      <c r="H183" s="310">
        <f t="shared" si="22"/>
        <v>557301.03427194885</v>
      </c>
      <c r="I183" s="10">
        <f t="shared" si="23"/>
        <v>0</v>
      </c>
      <c r="J183" s="332">
        <f t="shared" si="18"/>
        <v>0</v>
      </c>
      <c r="K183" s="15">
        <v>0</v>
      </c>
      <c r="L183" s="10">
        <f t="shared" si="19"/>
        <v>69662.629283993607</v>
      </c>
      <c r="M183" s="15">
        <f t="shared" si="24"/>
        <v>0</v>
      </c>
      <c r="N183" s="2">
        <f t="shared" si="20"/>
        <v>0</v>
      </c>
      <c r="O183" s="138">
        <f t="shared" si="25"/>
        <v>0</v>
      </c>
      <c r="P183" s="35">
        <f>O183/'D) Ecrêtage'!C183</f>
        <v>0</v>
      </c>
      <c r="Q183" s="134"/>
    </row>
    <row r="184" spans="1:17" x14ac:dyDescent="0.25">
      <c r="A184" s="51">
        <f>+'A) Base RI'!A186</f>
        <v>5707</v>
      </c>
      <c r="B184" s="321" t="str">
        <f>+'A) Base RI'!B186</f>
        <v>Chavannes-de-Bogis</v>
      </c>
      <c r="C184" s="335">
        <f>+'D) Ecrêtage'!M184</f>
        <v>81931.09381401616</v>
      </c>
      <c r="D184" s="310">
        <v>187309</v>
      </c>
      <c r="E184" s="335">
        <v>44770</v>
      </c>
      <c r="F184" s="310">
        <v>79430</v>
      </c>
      <c r="G184" s="335">
        <f t="shared" si="21"/>
        <v>311509</v>
      </c>
      <c r="H184" s="310">
        <f t="shared" si="22"/>
        <v>655448.75051212928</v>
      </c>
      <c r="I184" s="10">
        <f t="shared" si="23"/>
        <v>0</v>
      </c>
      <c r="J184" s="332">
        <f t="shared" si="18"/>
        <v>0</v>
      </c>
      <c r="K184" s="15">
        <v>7106</v>
      </c>
      <c r="L184" s="10">
        <f t="shared" si="19"/>
        <v>81931.09381401616</v>
      </c>
      <c r="M184" s="15">
        <f t="shared" si="24"/>
        <v>0</v>
      </c>
      <c r="N184" s="2">
        <f t="shared" si="20"/>
        <v>0</v>
      </c>
      <c r="O184" s="138">
        <f t="shared" si="25"/>
        <v>0</v>
      </c>
      <c r="P184" s="35">
        <f>O184/'D) Ecrêtage'!C184</f>
        <v>0</v>
      </c>
      <c r="Q184" s="134"/>
    </row>
    <row r="185" spans="1:17" x14ac:dyDescent="0.25">
      <c r="A185" s="51">
        <f>+'A) Base RI'!A187</f>
        <v>5708</v>
      </c>
      <c r="B185" s="321" t="str">
        <f>+'A) Base RI'!B187</f>
        <v>Chavannes-des-Bois</v>
      </c>
      <c r="C185" s="335">
        <f>+'D) Ecrêtage'!M185</f>
        <v>56145.839673991715</v>
      </c>
      <c r="D185" s="310">
        <v>172111</v>
      </c>
      <c r="E185" s="335">
        <v>123840</v>
      </c>
      <c r="F185" s="310">
        <v>71249</v>
      </c>
      <c r="G185" s="335">
        <f t="shared" si="21"/>
        <v>367200</v>
      </c>
      <c r="H185" s="310">
        <f t="shared" si="22"/>
        <v>449166.71739193372</v>
      </c>
      <c r="I185" s="10">
        <f t="shared" si="23"/>
        <v>0</v>
      </c>
      <c r="J185" s="332">
        <f t="shared" si="18"/>
        <v>0</v>
      </c>
      <c r="K185" s="15">
        <v>0</v>
      </c>
      <c r="L185" s="10">
        <f t="shared" si="19"/>
        <v>56145.839673991715</v>
      </c>
      <c r="M185" s="15">
        <f t="shared" si="24"/>
        <v>0</v>
      </c>
      <c r="N185" s="2">
        <f t="shared" si="20"/>
        <v>0</v>
      </c>
      <c r="O185" s="138">
        <f t="shared" si="25"/>
        <v>0</v>
      </c>
      <c r="P185" s="35">
        <f>O185/'D) Ecrêtage'!C185</f>
        <v>0</v>
      </c>
      <c r="Q185" s="134"/>
    </row>
    <row r="186" spans="1:17" x14ac:dyDescent="0.25">
      <c r="A186" s="51">
        <f>+'A) Base RI'!A188</f>
        <v>5709</v>
      </c>
      <c r="B186" s="321" t="str">
        <f>+'A) Base RI'!B188</f>
        <v>Chéserex</v>
      </c>
      <c r="C186" s="335">
        <f>+'D) Ecrêtage'!M186</f>
        <v>71031.174983110643</v>
      </c>
      <c r="D186" s="310">
        <v>311421</v>
      </c>
      <c r="E186" s="335">
        <v>43889</v>
      </c>
      <c r="F186" s="310">
        <v>209759</v>
      </c>
      <c r="G186" s="335">
        <f t="shared" si="21"/>
        <v>565069</v>
      </c>
      <c r="H186" s="310">
        <f t="shared" si="22"/>
        <v>568249.39986488514</v>
      </c>
      <c r="I186" s="10">
        <f t="shared" si="23"/>
        <v>0</v>
      </c>
      <c r="J186" s="332">
        <f t="shared" si="18"/>
        <v>0</v>
      </c>
      <c r="K186" s="15">
        <v>55455</v>
      </c>
      <c r="L186" s="10">
        <f t="shared" si="19"/>
        <v>71031.174983110643</v>
      </c>
      <c r="M186" s="15">
        <f t="shared" si="24"/>
        <v>0</v>
      </c>
      <c r="N186" s="2">
        <f t="shared" si="20"/>
        <v>0</v>
      </c>
      <c r="O186" s="138">
        <f t="shared" si="25"/>
        <v>0</v>
      </c>
      <c r="P186" s="35">
        <f>O186/'D) Ecrêtage'!C186</f>
        <v>0</v>
      </c>
      <c r="Q186" s="134"/>
    </row>
    <row r="187" spans="1:17" x14ac:dyDescent="0.25">
      <c r="A187" s="51">
        <f>+'A) Base RI'!A189</f>
        <v>5710</v>
      </c>
      <c r="B187" s="321" t="str">
        <f>+'A) Base RI'!B189</f>
        <v>Coinsins</v>
      </c>
      <c r="C187" s="335">
        <f>+'D) Ecrêtage'!M187</f>
        <v>62595.279457764242</v>
      </c>
      <c r="D187" s="310">
        <v>101361</v>
      </c>
      <c r="E187" s="335">
        <v>17599</v>
      </c>
      <c r="F187" s="310">
        <v>48007</v>
      </c>
      <c r="G187" s="335">
        <f t="shared" si="21"/>
        <v>166967</v>
      </c>
      <c r="H187" s="310">
        <f t="shared" si="22"/>
        <v>500762.23566211393</v>
      </c>
      <c r="I187" s="10">
        <f t="shared" si="23"/>
        <v>0</v>
      </c>
      <c r="J187" s="332">
        <f t="shared" si="18"/>
        <v>0</v>
      </c>
      <c r="K187" s="15">
        <v>1091</v>
      </c>
      <c r="L187" s="10">
        <f t="shared" si="19"/>
        <v>62595.279457764242</v>
      </c>
      <c r="M187" s="15">
        <f t="shared" si="24"/>
        <v>0</v>
      </c>
      <c r="N187" s="2">
        <f t="shared" si="20"/>
        <v>0</v>
      </c>
      <c r="O187" s="138">
        <f t="shared" si="25"/>
        <v>0</v>
      </c>
      <c r="P187" s="35">
        <f>O187/'D) Ecrêtage'!C187</f>
        <v>0</v>
      </c>
      <c r="Q187" s="134"/>
    </row>
    <row r="188" spans="1:17" x14ac:dyDescent="0.25">
      <c r="A188" s="51">
        <f>+'A) Base RI'!A190</f>
        <v>5711</v>
      </c>
      <c r="B188" s="321" t="str">
        <f>+'A) Base RI'!B190</f>
        <v>Commugny</v>
      </c>
      <c r="C188" s="335">
        <f>+'D) Ecrêtage'!M188</f>
        <v>227503.4761721325</v>
      </c>
      <c r="D188" s="310">
        <v>492679</v>
      </c>
      <c r="E188" s="335">
        <v>188147</v>
      </c>
      <c r="F188" s="310">
        <v>171627</v>
      </c>
      <c r="G188" s="335">
        <f t="shared" si="21"/>
        <v>852453</v>
      </c>
      <c r="H188" s="310">
        <f t="shared" si="22"/>
        <v>1820027.80937706</v>
      </c>
      <c r="I188" s="10">
        <f t="shared" si="23"/>
        <v>0</v>
      </c>
      <c r="J188" s="332">
        <f t="shared" si="18"/>
        <v>0</v>
      </c>
      <c r="K188" s="15">
        <v>5808</v>
      </c>
      <c r="L188" s="10">
        <f t="shared" si="19"/>
        <v>227503.4761721325</v>
      </c>
      <c r="M188" s="15">
        <f t="shared" si="24"/>
        <v>0</v>
      </c>
      <c r="N188" s="2">
        <f t="shared" si="20"/>
        <v>0</v>
      </c>
      <c r="O188" s="138">
        <f t="shared" si="25"/>
        <v>0</v>
      </c>
      <c r="P188" s="35">
        <f>O188/'D) Ecrêtage'!C188</f>
        <v>0</v>
      </c>
      <c r="Q188" s="134"/>
    </row>
    <row r="189" spans="1:17" x14ac:dyDescent="0.25">
      <c r="A189" s="51">
        <f>+'A) Base RI'!A191</f>
        <v>5712</v>
      </c>
      <c r="B189" s="321" t="str">
        <f>+'A) Base RI'!B191</f>
        <v>Coppet</v>
      </c>
      <c r="C189" s="335">
        <f>+'D) Ecrêtage'!M189</f>
        <v>280651.05418461503</v>
      </c>
      <c r="D189" s="310">
        <v>588028</v>
      </c>
      <c r="E189" s="335">
        <v>249757</v>
      </c>
      <c r="F189" s="310">
        <v>194989</v>
      </c>
      <c r="G189" s="335">
        <f t="shared" si="21"/>
        <v>1032774</v>
      </c>
      <c r="H189" s="310">
        <f t="shared" si="22"/>
        <v>2245208.4334769202</v>
      </c>
      <c r="I189" s="10">
        <f t="shared" si="23"/>
        <v>0</v>
      </c>
      <c r="J189" s="332">
        <f t="shared" si="18"/>
        <v>0</v>
      </c>
      <c r="K189" s="15">
        <v>0</v>
      </c>
      <c r="L189" s="10">
        <f t="shared" si="19"/>
        <v>280651.05418461503</v>
      </c>
      <c r="M189" s="15">
        <f t="shared" si="24"/>
        <v>0</v>
      </c>
      <c r="N189" s="2">
        <f t="shared" si="20"/>
        <v>0</v>
      </c>
      <c r="O189" s="138">
        <f t="shared" si="25"/>
        <v>0</v>
      </c>
      <c r="P189" s="35">
        <f>O189/'D) Ecrêtage'!C189</f>
        <v>0</v>
      </c>
      <c r="Q189" s="134"/>
    </row>
    <row r="190" spans="1:17" x14ac:dyDescent="0.25">
      <c r="A190" s="51">
        <f>+'A) Base RI'!A192</f>
        <v>5713</v>
      </c>
      <c r="B190" s="321" t="str">
        <f>+'A) Base RI'!B192</f>
        <v>Crans-près-Céligny</v>
      </c>
      <c r="C190" s="335">
        <f>+'D) Ecrêtage'!M190</f>
        <v>203382.5009999318</v>
      </c>
      <c r="D190" s="310">
        <v>1260289</v>
      </c>
      <c r="E190" s="335">
        <v>79164</v>
      </c>
      <c r="F190" s="310">
        <v>145658</v>
      </c>
      <c r="G190" s="335">
        <f t="shared" si="21"/>
        <v>1485111</v>
      </c>
      <c r="H190" s="310">
        <f t="shared" si="22"/>
        <v>1627060.0079994544</v>
      </c>
      <c r="I190" s="10">
        <f t="shared" si="23"/>
        <v>0</v>
      </c>
      <c r="J190" s="332">
        <f t="shared" si="18"/>
        <v>0</v>
      </c>
      <c r="K190" s="15">
        <v>31131</v>
      </c>
      <c r="L190" s="10">
        <f t="shared" si="19"/>
        <v>203382.5009999318</v>
      </c>
      <c r="M190" s="15">
        <f t="shared" si="24"/>
        <v>0</v>
      </c>
      <c r="N190" s="2">
        <f t="shared" si="20"/>
        <v>0</v>
      </c>
      <c r="O190" s="138">
        <f t="shared" si="25"/>
        <v>0</v>
      </c>
      <c r="P190" s="35">
        <f>O190/'D) Ecrêtage'!C190</f>
        <v>0</v>
      </c>
      <c r="Q190" s="134"/>
    </row>
    <row r="191" spans="1:17" x14ac:dyDescent="0.25">
      <c r="A191" s="51">
        <f>+'A) Base RI'!A193</f>
        <v>5714</v>
      </c>
      <c r="B191" s="321" t="str">
        <f>+'A) Base RI'!B193</f>
        <v>Crassier</v>
      </c>
      <c r="C191" s="335">
        <f>+'D) Ecrêtage'!M191</f>
        <v>78039.512063475704</v>
      </c>
      <c r="D191" s="310">
        <v>239195</v>
      </c>
      <c r="E191" s="335">
        <v>42093</v>
      </c>
      <c r="F191" s="310">
        <v>223822</v>
      </c>
      <c r="G191" s="335">
        <f t="shared" si="21"/>
        <v>505110</v>
      </c>
      <c r="H191" s="310">
        <f t="shared" si="22"/>
        <v>624316.09650780563</v>
      </c>
      <c r="I191" s="10">
        <f t="shared" si="23"/>
        <v>0</v>
      </c>
      <c r="J191" s="332">
        <f t="shared" si="18"/>
        <v>0</v>
      </c>
      <c r="K191" s="15">
        <v>2525</v>
      </c>
      <c r="L191" s="10">
        <f t="shared" si="19"/>
        <v>78039.512063475704</v>
      </c>
      <c r="M191" s="15">
        <f t="shared" si="24"/>
        <v>0</v>
      </c>
      <c r="N191" s="2">
        <f t="shared" si="20"/>
        <v>0</v>
      </c>
      <c r="O191" s="138">
        <f t="shared" si="25"/>
        <v>0</v>
      </c>
      <c r="P191" s="35">
        <f>O191/'D) Ecrêtage'!C191</f>
        <v>0</v>
      </c>
      <c r="Q191" s="134"/>
    </row>
    <row r="192" spans="1:17" x14ac:dyDescent="0.25">
      <c r="A192" s="51">
        <f>+'A) Base RI'!A194</f>
        <v>5715</v>
      </c>
      <c r="B192" s="321" t="str">
        <f>+'A) Base RI'!B194</f>
        <v>Duillier</v>
      </c>
      <c r="C192" s="335">
        <f>+'D) Ecrêtage'!M192</f>
        <v>59384.712424242425</v>
      </c>
      <c r="D192" s="310">
        <v>145987</v>
      </c>
      <c r="E192" s="335">
        <v>37317</v>
      </c>
      <c r="F192" s="310">
        <v>104562</v>
      </c>
      <c r="G192" s="335">
        <f t="shared" si="21"/>
        <v>287866</v>
      </c>
      <c r="H192" s="310">
        <f t="shared" si="22"/>
        <v>475077.6993939394</v>
      </c>
      <c r="I192" s="10">
        <f t="shared" si="23"/>
        <v>0</v>
      </c>
      <c r="J192" s="332">
        <f t="shared" ref="J192:J253" si="31">-I192*J$4</f>
        <v>0</v>
      </c>
      <c r="K192" s="15">
        <v>11161</v>
      </c>
      <c r="L192" s="10">
        <f t="shared" ref="L192:L253" si="32">C192*M$4</f>
        <v>59384.712424242425</v>
      </c>
      <c r="M192" s="15">
        <f t="shared" si="24"/>
        <v>0</v>
      </c>
      <c r="N192" s="2">
        <f t="shared" ref="N192:N253" si="33">-M192*N$4</f>
        <v>0</v>
      </c>
      <c r="O192" s="138">
        <f t="shared" si="25"/>
        <v>0</v>
      </c>
      <c r="P192" s="35">
        <f>O192/'D) Ecrêtage'!C192</f>
        <v>0</v>
      </c>
      <c r="Q192" s="134"/>
    </row>
    <row r="193" spans="1:17" x14ac:dyDescent="0.25">
      <c r="A193" s="51">
        <f>+'A) Base RI'!A195</f>
        <v>5716</v>
      </c>
      <c r="B193" s="321" t="str">
        <f>+'A) Base RI'!B195</f>
        <v>Eysins</v>
      </c>
      <c r="C193" s="335">
        <f>+'D) Ecrêtage'!M193</f>
        <v>123435.81252189125</v>
      </c>
      <c r="D193" s="310">
        <v>322845</v>
      </c>
      <c r="E193" s="335">
        <v>53228</v>
      </c>
      <c r="F193" s="310">
        <v>314423</v>
      </c>
      <c r="G193" s="335">
        <f t="shared" si="21"/>
        <v>690496</v>
      </c>
      <c r="H193" s="310">
        <f t="shared" si="22"/>
        <v>987486.50017512997</v>
      </c>
      <c r="I193" s="10">
        <f t="shared" si="23"/>
        <v>0</v>
      </c>
      <c r="J193" s="332">
        <f t="shared" si="31"/>
        <v>0</v>
      </c>
      <c r="K193" s="15">
        <v>3595</v>
      </c>
      <c r="L193" s="10">
        <f t="shared" si="32"/>
        <v>123435.81252189125</v>
      </c>
      <c r="M193" s="15">
        <f t="shared" si="24"/>
        <v>0</v>
      </c>
      <c r="N193" s="2">
        <f t="shared" si="33"/>
        <v>0</v>
      </c>
      <c r="O193" s="138">
        <f t="shared" si="25"/>
        <v>0</v>
      </c>
      <c r="P193" s="35">
        <f>O193/'D) Ecrêtage'!C193</f>
        <v>0</v>
      </c>
      <c r="Q193" s="134"/>
    </row>
    <row r="194" spans="1:17" x14ac:dyDescent="0.25">
      <c r="A194" s="51">
        <f>+'A) Base RI'!A196</f>
        <v>5717</v>
      </c>
      <c r="B194" s="321" t="str">
        <f>+'A) Base RI'!B196</f>
        <v>Founex</v>
      </c>
      <c r="C194" s="335">
        <f>+'D) Ecrêtage'!M194</f>
        <v>306169.11911949283</v>
      </c>
      <c r="D194" s="310">
        <v>1106893</v>
      </c>
      <c r="E194" s="335">
        <v>122474</v>
      </c>
      <c r="F194" s="310">
        <v>231417</v>
      </c>
      <c r="G194" s="335">
        <f t="shared" si="21"/>
        <v>1460784</v>
      </c>
      <c r="H194" s="310">
        <f t="shared" si="22"/>
        <v>2449352.9529559426</v>
      </c>
      <c r="I194" s="10">
        <f t="shared" si="23"/>
        <v>0</v>
      </c>
      <c r="J194" s="332">
        <f t="shared" si="31"/>
        <v>0</v>
      </c>
      <c r="K194" s="15">
        <v>987</v>
      </c>
      <c r="L194" s="10">
        <f t="shared" si="32"/>
        <v>306169.11911949283</v>
      </c>
      <c r="M194" s="15">
        <f t="shared" si="24"/>
        <v>0</v>
      </c>
      <c r="N194" s="2">
        <f t="shared" si="33"/>
        <v>0</v>
      </c>
      <c r="O194" s="138">
        <f t="shared" si="25"/>
        <v>0</v>
      </c>
      <c r="P194" s="35">
        <f>O194/'D) Ecrêtage'!C194</f>
        <v>0</v>
      </c>
      <c r="Q194" s="134"/>
    </row>
    <row r="195" spans="1:17" s="274" customFormat="1" x14ac:dyDescent="0.25">
      <c r="A195" s="51">
        <f>+'A) Base RI'!A197</f>
        <v>5718</v>
      </c>
      <c r="B195" s="321" t="str">
        <f>+'A) Base RI'!B197</f>
        <v>Genolier</v>
      </c>
      <c r="C195" s="335">
        <f>+'D) Ecrêtage'!M195</f>
        <v>160603.19784979385</v>
      </c>
      <c r="D195" s="310">
        <v>371946</v>
      </c>
      <c r="E195" s="335">
        <v>116685</v>
      </c>
      <c r="F195" s="310">
        <v>117002</v>
      </c>
      <c r="G195" s="335">
        <f t="shared" si="21"/>
        <v>605633</v>
      </c>
      <c r="H195" s="310">
        <f t="shared" si="22"/>
        <v>1284825.5827983508</v>
      </c>
      <c r="I195" s="10">
        <f t="shared" si="23"/>
        <v>0</v>
      </c>
      <c r="J195" s="332">
        <f t="shared" si="31"/>
        <v>0</v>
      </c>
      <c r="K195" s="1">
        <v>104364</v>
      </c>
      <c r="L195" s="272">
        <f t="shared" si="32"/>
        <v>160603.19784979385</v>
      </c>
      <c r="M195" s="1">
        <f t="shared" si="24"/>
        <v>0</v>
      </c>
      <c r="N195" s="2">
        <f t="shared" si="33"/>
        <v>0</v>
      </c>
      <c r="O195" s="138">
        <f t="shared" si="25"/>
        <v>0</v>
      </c>
      <c r="P195" s="35">
        <f>O195/'D) Ecrêtage'!C195</f>
        <v>0</v>
      </c>
      <c r="Q195" s="273"/>
    </row>
    <row r="196" spans="1:17" x14ac:dyDescent="0.25">
      <c r="A196" s="51">
        <f>+'A) Base RI'!A198</f>
        <v>5719</v>
      </c>
      <c r="B196" s="321" t="str">
        <f>+'A) Base RI'!B198</f>
        <v>Gingins</v>
      </c>
      <c r="C196" s="335">
        <f>+'D) Ecrêtage'!M196</f>
        <v>112135.70327468452</v>
      </c>
      <c r="D196" s="310">
        <v>184683</v>
      </c>
      <c r="E196" s="335">
        <v>42920</v>
      </c>
      <c r="F196" s="310">
        <v>203733</v>
      </c>
      <c r="G196" s="335">
        <f t="shared" si="21"/>
        <v>431336</v>
      </c>
      <c r="H196" s="310">
        <f t="shared" si="22"/>
        <v>897085.62619747617</v>
      </c>
      <c r="I196" s="10">
        <f t="shared" si="23"/>
        <v>0</v>
      </c>
      <c r="J196" s="332">
        <f t="shared" si="31"/>
        <v>0</v>
      </c>
      <c r="K196" s="15">
        <v>23936</v>
      </c>
      <c r="L196" s="10">
        <f t="shared" si="32"/>
        <v>112135.70327468452</v>
      </c>
      <c r="M196" s="15">
        <f t="shared" si="24"/>
        <v>0</v>
      </c>
      <c r="N196" s="2">
        <f t="shared" si="33"/>
        <v>0</v>
      </c>
      <c r="O196" s="138">
        <f t="shared" si="25"/>
        <v>0</v>
      </c>
      <c r="P196" s="35">
        <f>O196/'D) Ecrêtage'!C196</f>
        <v>0</v>
      </c>
      <c r="Q196" s="134"/>
    </row>
    <row r="197" spans="1:17" x14ac:dyDescent="0.25">
      <c r="A197" s="51">
        <f>+'A) Base RI'!A199</f>
        <v>5720</v>
      </c>
      <c r="B197" s="321" t="str">
        <f>+'A) Base RI'!B199</f>
        <v>Givrins</v>
      </c>
      <c r="C197" s="335">
        <f>+'D) Ecrêtage'!M197</f>
        <v>68221.808847066932</v>
      </c>
      <c r="D197" s="310">
        <v>315150</v>
      </c>
      <c r="E197" s="335">
        <v>74583</v>
      </c>
      <c r="F197" s="310">
        <v>59371</v>
      </c>
      <c r="G197" s="335">
        <f t="shared" si="21"/>
        <v>449104</v>
      </c>
      <c r="H197" s="310">
        <f t="shared" si="22"/>
        <v>545774.47077653545</v>
      </c>
      <c r="I197" s="10">
        <f t="shared" si="23"/>
        <v>0</v>
      </c>
      <c r="J197" s="332">
        <f t="shared" si="31"/>
        <v>0</v>
      </c>
      <c r="K197" s="15">
        <v>130471</v>
      </c>
      <c r="L197" s="10">
        <f t="shared" si="32"/>
        <v>68221.808847066932</v>
      </c>
      <c r="M197" s="15">
        <f t="shared" si="24"/>
        <v>62249.191152933068</v>
      </c>
      <c r="N197" s="2">
        <f t="shared" si="33"/>
        <v>-44622.02916888339</v>
      </c>
      <c r="O197" s="138">
        <f t="shared" si="25"/>
        <v>-44622.02916888339</v>
      </c>
      <c r="P197" s="35">
        <f>O197/'D) Ecrêtage'!C197</f>
        <v>-0.61574688919774612</v>
      </c>
      <c r="Q197" s="134"/>
    </row>
    <row r="198" spans="1:17" x14ac:dyDescent="0.25">
      <c r="A198" s="51">
        <f>+'A) Base RI'!A200</f>
        <v>5721</v>
      </c>
      <c r="B198" s="321" t="str">
        <f>+'A) Base RI'!B200</f>
        <v>Gland</v>
      </c>
      <c r="C198" s="335">
        <f>+'D) Ecrêtage'!M198</f>
        <v>601947.88112000003</v>
      </c>
      <c r="D198" s="310">
        <v>2212957</v>
      </c>
      <c r="E198" s="335">
        <v>1288524</v>
      </c>
      <c r="F198" s="310">
        <v>51149</v>
      </c>
      <c r="G198" s="335">
        <f t="shared" ref="G198:G261" si="34">SUM(D198:F198)</f>
        <v>3552630</v>
      </c>
      <c r="H198" s="310">
        <f t="shared" ref="H198:H261" si="35">+C198*$I$4</f>
        <v>4815583.0489600003</v>
      </c>
      <c r="I198" s="10">
        <f t="shared" ref="I198:I261" si="36">IF(G198&gt;H198,G198-H198,0)</f>
        <v>0</v>
      </c>
      <c r="J198" s="332">
        <f t="shared" si="31"/>
        <v>0</v>
      </c>
      <c r="K198" s="15">
        <v>-1360</v>
      </c>
      <c r="L198" s="10">
        <f t="shared" si="32"/>
        <v>601947.88112000003</v>
      </c>
      <c r="M198" s="15">
        <f t="shared" si="24"/>
        <v>0</v>
      </c>
      <c r="N198" s="2">
        <f t="shared" si="33"/>
        <v>0</v>
      </c>
      <c r="O198" s="138">
        <f t="shared" si="25"/>
        <v>0</v>
      </c>
      <c r="P198" s="35">
        <f>O198/'D) Ecrêtage'!C198</f>
        <v>0</v>
      </c>
      <c r="Q198" s="134"/>
    </row>
    <row r="199" spans="1:17" x14ac:dyDescent="0.25">
      <c r="A199" s="51">
        <f>+'A) Base RI'!A201</f>
        <v>5722</v>
      </c>
      <c r="B199" s="321" t="str">
        <f>+'A) Base RI'!B201</f>
        <v>Grens</v>
      </c>
      <c r="C199" s="335">
        <f>+'D) Ecrêtage'!M199</f>
        <v>24348.700505589088</v>
      </c>
      <c r="D199" s="310">
        <v>19545</v>
      </c>
      <c r="E199" s="335">
        <v>42405</v>
      </c>
      <c r="F199" s="310">
        <v>70560</v>
      </c>
      <c r="G199" s="335">
        <f t="shared" si="34"/>
        <v>132510</v>
      </c>
      <c r="H199" s="310">
        <f t="shared" si="35"/>
        <v>194789.6040447127</v>
      </c>
      <c r="I199" s="10">
        <f t="shared" si="36"/>
        <v>0</v>
      </c>
      <c r="J199" s="332">
        <f t="shared" si="31"/>
        <v>0</v>
      </c>
      <c r="K199" s="15">
        <v>-17583</v>
      </c>
      <c r="L199" s="10">
        <f t="shared" si="32"/>
        <v>24348.700505589088</v>
      </c>
      <c r="M199" s="15">
        <f t="shared" si="24"/>
        <v>0</v>
      </c>
      <c r="N199" s="2">
        <f t="shared" si="33"/>
        <v>0</v>
      </c>
      <c r="O199" s="138">
        <f t="shared" si="25"/>
        <v>0</v>
      </c>
      <c r="P199" s="35">
        <f>O199/'D) Ecrêtage'!C199</f>
        <v>0</v>
      </c>
      <c r="Q199" s="134"/>
    </row>
    <row r="200" spans="1:17" x14ac:dyDescent="0.25">
      <c r="A200" s="51">
        <f>+'A) Base RI'!A202</f>
        <v>5723</v>
      </c>
      <c r="B200" s="321" t="str">
        <f>+'A) Base RI'!B202</f>
        <v>Mies</v>
      </c>
      <c r="C200" s="335">
        <f>+'D) Ecrêtage'!M200</f>
        <v>320274.23723898944</v>
      </c>
      <c r="D200" s="310">
        <v>133644</v>
      </c>
      <c r="E200" s="335">
        <v>112542</v>
      </c>
      <c r="F200" s="310">
        <v>118824</v>
      </c>
      <c r="G200" s="335">
        <f t="shared" si="34"/>
        <v>365010</v>
      </c>
      <c r="H200" s="310">
        <f t="shared" si="35"/>
        <v>2562193.8979119156</v>
      </c>
      <c r="I200" s="10">
        <f t="shared" si="36"/>
        <v>0</v>
      </c>
      <c r="J200" s="332">
        <f t="shared" si="31"/>
        <v>0</v>
      </c>
      <c r="K200" s="15">
        <v>0</v>
      </c>
      <c r="L200" s="10">
        <f t="shared" si="32"/>
        <v>320274.23723898944</v>
      </c>
      <c r="M200" s="15">
        <f t="shared" si="24"/>
        <v>0</v>
      </c>
      <c r="N200" s="2">
        <f t="shared" si="33"/>
        <v>0</v>
      </c>
      <c r="O200" s="138">
        <f t="shared" si="25"/>
        <v>0</v>
      </c>
      <c r="P200" s="35">
        <f>O200/'D) Ecrêtage'!C200</f>
        <v>0</v>
      </c>
      <c r="Q200" s="134"/>
    </row>
    <row r="201" spans="1:17" x14ac:dyDescent="0.25">
      <c r="A201" s="51">
        <f>+'A) Base RI'!A203</f>
        <v>5724</v>
      </c>
      <c r="B201" s="321" t="str">
        <f>+'A) Base RI'!B203</f>
        <v>Nyon</v>
      </c>
      <c r="C201" s="335">
        <f>+'D) Ecrêtage'!M201</f>
        <v>1274788.3959276013</v>
      </c>
      <c r="D201" s="310">
        <v>6942131</v>
      </c>
      <c r="E201" s="335">
        <v>3850639</v>
      </c>
      <c r="F201" s="310">
        <v>167154</v>
      </c>
      <c r="G201" s="335">
        <f t="shared" si="34"/>
        <v>10959924</v>
      </c>
      <c r="H201" s="310">
        <f t="shared" si="35"/>
        <v>10198307.16742081</v>
      </c>
      <c r="I201" s="10">
        <f t="shared" si="36"/>
        <v>761616.83257918991</v>
      </c>
      <c r="J201" s="332">
        <f t="shared" si="31"/>
        <v>-545949.07804291823</v>
      </c>
      <c r="K201" s="15">
        <v>439803</v>
      </c>
      <c r="L201" s="10">
        <f t="shared" si="32"/>
        <v>1274788.3959276013</v>
      </c>
      <c r="M201" s="15">
        <f t="shared" si="24"/>
        <v>0</v>
      </c>
      <c r="N201" s="2">
        <f t="shared" si="33"/>
        <v>0</v>
      </c>
      <c r="O201" s="138">
        <f t="shared" si="25"/>
        <v>-545949.07804291823</v>
      </c>
      <c r="P201" s="35">
        <f>O201/'D) Ecrêtage'!C201</f>
        <v>-0.41500269743510693</v>
      </c>
      <c r="Q201" s="134"/>
    </row>
    <row r="202" spans="1:17" x14ac:dyDescent="0.25">
      <c r="A202" s="51">
        <f>+'A) Base RI'!A204</f>
        <v>5725</v>
      </c>
      <c r="B202" s="321" t="str">
        <f>+'A) Base RI'!B204</f>
        <v>Prangins</v>
      </c>
      <c r="C202" s="335">
        <f>+'D) Ecrêtage'!M202</f>
        <v>280306.63695050572</v>
      </c>
      <c r="D202" s="310">
        <v>574751</v>
      </c>
      <c r="E202" s="335">
        <v>934040</v>
      </c>
      <c r="F202" s="310">
        <v>82861</v>
      </c>
      <c r="G202" s="335">
        <f t="shared" si="34"/>
        <v>1591652</v>
      </c>
      <c r="H202" s="310">
        <f t="shared" si="35"/>
        <v>2242453.0956040458</v>
      </c>
      <c r="I202" s="10">
        <f t="shared" si="36"/>
        <v>0</v>
      </c>
      <c r="J202" s="332">
        <f t="shared" si="31"/>
        <v>0</v>
      </c>
      <c r="K202" s="15">
        <v>34120</v>
      </c>
      <c r="L202" s="10">
        <f t="shared" si="32"/>
        <v>280306.63695050572</v>
      </c>
      <c r="M202" s="15">
        <f t="shared" si="24"/>
        <v>0</v>
      </c>
      <c r="N202" s="2">
        <f t="shared" si="33"/>
        <v>0</v>
      </c>
      <c r="O202" s="138">
        <f t="shared" si="25"/>
        <v>0</v>
      </c>
      <c r="P202" s="35">
        <f>O202/'D) Ecrêtage'!C202</f>
        <v>0</v>
      </c>
      <c r="Q202" s="134"/>
    </row>
    <row r="203" spans="1:17" x14ac:dyDescent="0.25">
      <c r="A203" s="51">
        <f>+'A) Base RI'!A205</f>
        <v>5726</v>
      </c>
      <c r="B203" s="321" t="str">
        <f>+'A) Base RI'!B205</f>
        <v>La Rippe</v>
      </c>
      <c r="C203" s="335">
        <f>+'D) Ecrêtage'!M203</f>
        <v>56867.973846153851</v>
      </c>
      <c r="D203" s="310">
        <v>186013</v>
      </c>
      <c r="E203" s="335">
        <v>56514</v>
      </c>
      <c r="F203" s="310">
        <v>204046</v>
      </c>
      <c r="G203" s="335">
        <f t="shared" si="34"/>
        <v>446573</v>
      </c>
      <c r="H203" s="310">
        <f t="shared" si="35"/>
        <v>454943.79076923081</v>
      </c>
      <c r="I203" s="10">
        <f t="shared" si="36"/>
        <v>0</v>
      </c>
      <c r="J203" s="332">
        <f t="shared" si="31"/>
        <v>0</v>
      </c>
      <c r="K203" s="15">
        <v>16955</v>
      </c>
      <c r="L203" s="10">
        <f t="shared" si="32"/>
        <v>56867.973846153851</v>
      </c>
      <c r="M203" s="15">
        <f t="shared" si="24"/>
        <v>0</v>
      </c>
      <c r="N203" s="2">
        <f t="shared" si="33"/>
        <v>0</v>
      </c>
      <c r="O203" s="138">
        <f t="shared" si="25"/>
        <v>0</v>
      </c>
      <c r="P203" s="35">
        <f>O203/'D) Ecrêtage'!C203</f>
        <v>0</v>
      </c>
      <c r="Q203" s="134"/>
    </row>
    <row r="204" spans="1:17" x14ac:dyDescent="0.25">
      <c r="A204" s="51">
        <f>+'A) Base RI'!A206</f>
        <v>5727</v>
      </c>
      <c r="B204" s="321" t="str">
        <f>+'A) Base RI'!B206</f>
        <v>Saint-Cergue</v>
      </c>
      <c r="C204" s="335">
        <f>+'D) Ecrêtage'!M204</f>
        <v>100488.23186868687</v>
      </c>
      <c r="D204" s="310">
        <v>875132</v>
      </c>
      <c r="E204" s="335">
        <v>148513</v>
      </c>
      <c r="F204" s="310">
        <v>83453</v>
      </c>
      <c r="G204" s="335">
        <f t="shared" si="34"/>
        <v>1107098</v>
      </c>
      <c r="H204" s="310">
        <f t="shared" si="35"/>
        <v>803905.85494949494</v>
      </c>
      <c r="I204" s="10">
        <f t="shared" si="36"/>
        <v>303192.14505050506</v>
      </c>
      <c r="J204" s="332">
        <f t="shared" si="31"/>
        <v>-217336.94028219508</v>
      </c>
      <c r="K204" s="15">
        <v>171005</v>
      </c>
      <c r="L204" s="10">
        <f t="shared" si="32"/>
        <v>100488.23186868687</v>
      </c>
      <c r="M204" s="15">
        <f t="shared" si="24"/>
        <v>70516.768131313132</v>
      </c>
      <c r="N204" s="2">
        <f t="shared" si="33"/>
        <v>-50548.468601307752</v>
      </c>
      <c r="O204" s="138">
        <f t="shared" si="25"/>
        <v>-267885.40888350282</v>
      </c>
      <c r="P204" s="35">
        <f>O204/'D) Ecrêtage'!C204</f>
        <v>-2.6658386151481146</v>
      </c>
      <c r="Q204" s="134"/>
    </row>
    <row r="205" spans="1:17" x14ac:dyDescent="0.25">
      <c r="A205" s="51">
        <f>+'A) Base RI'!A207</f>
        <v>5728</v>
      </c>
      <c r="B205" s="321" t="str">
        <f>+'A) Base RI'!B207</f>
        <v>Signy-Avenex</v>
      </c>
      <c r="C205" s="335">
        <f>+'D) Ecrêtage'!M205</f>
        <v>37353.52716698312</v>
      </c>
      <c r="D205" s="310">
        <v>100396</v>
      </c>
      <c r="E205" s="335">
        <v>18533</v>
      </c>
      <c r="F205" s="310">
        <v>91038</v>
      </c>
      <c r="G205" s="335">
        <f t="shared" si="34"/>
        <v>209967</v>
      </c>
      <c r="H205" s="310">
        <f t="shared" si="35"/>
        <v>298828.21733586496</v>
      </c>
      <c r="I205" s="10">
        <f t="shared" si="36"/>
        <v>0</v>
      </c>
      <c r="J205" s="332">
        <f t="shared" si="31"/>
        <v>0</v>
      </c>
      <c r="K205" s="15">
        <v>0</v>
      </c>
      <c r="L205" s="10">
        <f t="shared" si="32"/>
        <v>37353.52716698312</v>
      </c>
      <c r="M205" s="15">
        <f t="shared" si="24"/>
        <v>0</v>
      </c>
      <c r="N205" s="2">
        <f t="shared" si="33"/>
        <v>0</v>
      </c>
      <c r="O205" s="138">
        <f t="shared" si="25"/>
        <v>0</v>
      </c>
      <c r="P205" s="35">
        <f>O205/'D) Ecrêtage'!C205</f>
        <v>0</v>
      </c>
      <c r="Q205" s="134"/>
    </row>
    <row r="206" spans="1:17" x14ac:dyDescent="0.25">
      <c r="A206" s="51">
        <f>+'A) Base RI'!A208</f>
        <v>5729</v>
      </c>
      <c r="B206" s="321" t="str">
        <f>+'A) Base RI'!B208</f>
        <v>Tannay</v>
      </c>
      <c r="C206" s="335">
        <f>+'D) Ecrêtage'!M206</f>
        <v>149071.09635277546</v>
      </c>
      <c r="D206" s="310">
        <v>244335</v>
      </c>
      <c r="E206" s="335">
        <v>89630</v>
      </c>
      <c r="F206" s="310">
        <v>93673</v>
      </c>
      <c r="G206" s="335">
        <f t="shared" si="34"/>
        <v>427638</v>
      </c>
      <c r="H206" s="310">
        <f t="shared" si="35"/>
        <v>1192568.7708222037</v>
      </c>
      <c r="I206" s="10">
        <f t="shared" si="36"/>
        <v>0</v>
      </c>
      <c r="J206" s="332">
        <f t="shared" si="31"/>
        <v>0</v>
      </c>
      <c r="K206" s="15">
        <v>0</v>
      </c>
      <c r="L206" s="10">
        <f t="shared" si="32"/>
        <v>149071.09635277546</v>
      </c>
      <c r="M206" s="15">
        <f t="shared" si="24"/>
        <v>0</v>
      </c>
      <c r="N206" s="2">
        <f t="shared" si="33"/>
        <v>0</v>
      </c>
      <c r="O206" s="138">
        <f t="shared" si="25"/>
        <v>0</v>
      </c>
      <c r="P206" s="35">
        <f>O206/'D) Ecrêtage'!C206</f>
        <v>0</v>
      </c>
      <c r="Q206" s="134"/>
    </row>
    <row r="207" spans="1:17" x14ac:dyDescent="0.25">
      <c r="A207" s="51">
        <f>+'A) Base RI'!A209</f>
        <v>5730</v>
      </c>
      <c r="B207" s="321" t="str">
        <f>+'A) Base RI'!B209</f>
        <v>Trélex</v>
      </c>
      <c r="C207" s="335">
        <f>+'D) Ecrêtage'!M207</f>
        <v>98350.258573491388</v>
      </c>
      <c r="D207" s="310">
        <v>303502</v>
      </c>
      <c r="E207" s="335">
        <v>84642</v>
      </c>
      <c r="F207" s="310">
        <v>84580</v>
      </c>
      <c r="G207" s="335">
        <f t="shared" si="34"/>
        <v>472724</v>
      </c>
      <c r="H207" s="310">
        <f t="shared" si="35"/>
        <v>786802.06858793111</v>
      </c>
      <c r="I207" s="10">
        <f t="shared" si="36"/>
        <v>0</v>
      </c>
      <c r="J207" s="332">
        <f t="shared" si="31"/>
        <v>0</v>
      </c>
      <c r="K207" s="15">
        <v>125381</v>
      </c>
      <c r="L207" s="10">
        <f t="shared" si="32"/>
        <v>98350.258573491388</v>
      </c>
      <c r="M207" s="15">
        <f t="shared" si="24"/>
        <v>27030.741426508612</v>
      </c>
      <c r="N207" s="2">
        <f t="shared" si="33"/>
        <v>-19376.420963075911</v>
      </c>
      <c r="O207" s="138">
        <f t="shared" si="25"/>
        <v>-19376.420963075911</v>
      </c>
      <c r="P207" s="35">
        <f>O207/'D) Ecrêtage'!C207</f>
        <v>-0.1841749120592788</v>
      </c>
      <c r="Q207" s="134"/>
    </row>
    <row r="208" spans="1:17" x14ac:dyDescent="0.25">
      <c r="A208" s="51">
        <f>+'A) Base RI'!A210</f>
        <v>5731</v>
      </c>
      <c r="B208" s="321" t="str">
        <f>+'A) Base RI'!B210</f>
        <v>Le Vaud</v>
      </c>
      <c r="C208" s="335">
        <f>+'D) Ecrêtage'!M208</f>
        <v>50893.333199999994</v>
      </c>
      <c r="D208" s="310">
        <v>358187</v>
      </c>
      <c r="E208" s="335">
        <v>45254</v>
      </c>
      <c r="F208" s="310">
        <v>148939</v>
      </c>
      <c r="G208" s="335">
        <f t="shared" si="34"/>
        <v>552380</v>
      </c>
      <c r="H208" s="310">
        <f t="shared" si="35"/>
        <v>407146.66559999995</v>
      </c>
      <c r="I208" s="10">
        <f t="shared" si="36"/>
        <v>145233.33440000005</v>
      </c>
      <c r="J208" s="332">
        <f t="shared" si="31"/>
        <v>-104107.47455287447</v>
      </c>
      <c r="K208" s="15">
        <v>-131234</v>
      </c>
      <c r="L208" s="10">
        <f t="shared" si="32"/>
        <v>50893.333199999994</v>
      </c>
      <c r="M208" s="15">
        <f t="shared" si="24"/>
        <v>0</v>
      </c>
      <c r="N208" s="2">
        <f t="shared" si="33"/>
        <v>0</v>
      </c>
      <c r="O208" s="138">
        <f t="shared" si="25"/>
        <v>-104107.47455287447</v>
      </c>
      <c r="P208" s="35">
        <f>O208/'D) Ecrêtage'!C208</f>
        <v>-2.0456014178468958</v>
      </c>
      <c r="Q208" s="134"/>
    </row>
    <row r="209" spans="1:17" x14ac:dyDescent="0.25">
      <c r="A209" s="51">
        <f>+'A) Base RI'!A211</f>
        <v>5732</v>
      </c>
      <c r="B209" s="321" t="str">
        <f>+'A) Base RI'!B211</f>
        <v>Vich</v>
      </c>
      <c r="C209" s="335">
        <f>+'D) Ecrêtage'!M209</f>
        <v>61884.470809538463</v>
      </c>
      <c r="D209" s="310">
        <v>1368065</v>
      </c>
      <c r="E209" s="335">
        <v>55984</v>
      </c>
      <c r="F209" s="310">
        <v>102711</v>
      </c>
      <c r="G209" s="335">
        <f t="shared" si="34"/>
        <v>1526760</v>
      </c>
      <c r="H209" s="310">
        <f t="shared" si="35"/>
        <v>495075.7664763077</v>
      </c>
      <c r="I209" s="10">
        <f t="shared" si="36"/>
        <v>1031684.2335236922</v>
      </c>
      <c r="J209" s="332">
        <f t="shared" si="31"/>
        <v>-739541.23915073834</v>
      </c>
      <c r="K209" s="15">
        <v>19763</v>
      </c>
      <c r="L209" s="10">
        <f t="shared" si="32"/>
        <v>61884.470809538463</v>
      </c>
      <c r="M209" s="15">
        <f t="shared" si="24"/>
        <v>0</v>
      </c>
      <c r="N209" s="2">
        <f t="shared" si="33"/>
        <v>0</v>
      </c>
      <c r="O209" s="138">
        <f t="shared" si="25"/>
        <v>-739541.23915073834</v>
      </c>
      <c r="P209" s="35">
        <f>O209/'D) Ecrêtage'!C209</f>
        <v>-11.668136520751958</v>
      </c>
      <c r="Q209" s="134"/>
    </row>
    <row r="210" spans="1:17" x14ac:dyDescent="0.25">
      <c r="A210" s="51">
        <f>+'A) Base RI'!A212</f>
        <v>5741</v>
      </c>
      <c r="B210" s="321" t="str">
        <f>+'A) Base RI'!B212</f>
        <v>L'Abergement</v>
      </c>
      <c r="C210" s="335">
        <f>+'D) Ecrêtage'!M210</f>
        <v>6650.8402880658423</v>
      </c>
      <c r="D210" s="310">
        <v>121207</v>
      </c>
      <c r="E210" s="335">
        <v>9726</v>
      </c>
      <c r="F210" s="310">
        <v>24027</v>
      </c>
      <c r="G210" s="335">
        <f t="shared" si="34"/>
        <v>154960</v>
      </c>
      <c r="H210" s="310">
        <f t="shared" si="35"/>
        <v>53206.722304526738</v>
      </c>
      <c r="I210" s="10">
        <f t="shared" si="36"/>
        <v>101753.27769547325</v>
      </c>
      <c r="J210" s="332">
        <f t="shared" si="31"/>
        <v>-72939.706384328849</v>
      </c>
      <c r="K210" s="15">
        <v>23871</v>
      </c>
      <c r="L210" s="10">
        <f t="shared" si="32"/>
        <v>6650.8402880658423</v>
      </c>
      <c r="M210" s="15">
        <f t="shared" si="24"/>
        <v>17220.159711934157</v>
      </c>
      <c r="N210" s="2">
        <f t="shared" si="33"/>
        <v>-12343.910896303285</v>
      </c>
      <c r="O210" s="138">
        <f t="shared" si="25"/>
        <v>-85283.617280632141</v>
      </c>
      <c r="P210" s="35">
        <f>O210/'D) Ecrêtage'!C210</f>
        <v>-12.822983801560181</v>
      </c>
      <c r="Q210" s="134"/>
    </row>
    <row r="211" spans="1:17" x14ac:dyDescent="0.25">
      <c r="A211" s="51">
        <f>+'A) Base RI'!A213</f>
        <v>5742</v>
      </c>
      <c r="B211" s="321" t="str">
        <f>+'A) Base RI'!B213</f>
        <v>Agiez</v>
      </c>
      <c r="C211" s="335">
        <f>+'D) Ecrêtage'!M211</f>
        <v>9444.339473684211</v>
      </c>
      <c r="D211" s="310">
        <v>42994</v>
      </c>
      <c r="E211" s="335">
        <v>11874</v>
      </c>
      <c r="F211" s="310">
        <v>32906</v>
      </c>
      <c r="G211" s="335">
        <f t="shared" si="34"/>
        <v>87774</v>
      </c>
      <c r="H211" s="310">
        <f t="shared" si="35"/>
        <v>75554.715789473688</v>
      </c>
      <c r="I211" s="10">
        <f t="shared" si="36"/>
        <v>12219.284210526312</v>
      </c>
      <c r="J211" s="332">
        <f t="shared" si="31"/>
        <v>-8759.138012338497</v>
      </c>
      <c r="K211" s="15">
        <v>12615</v>
      </c>
      <c r="L211" s="10">
        <f t="shared" si="32"/>
        <v>9444.339473684211</v>
      </c>
      <c r="M211" s="15">
        <f t="shared" si="24"/>
        <v>3170.660526315789</v>
      </c>
      <c r="N211" s="2">
        <f t="shared" si="33"/>
        <v>-2272.8216040960392</v>
      </c>
      <c r="O211" s="138">
        <f t="shared" si="25"/>
        <v>-11031.959616434537</v>
      </c>
      <c r="P211" s="35">
        <f>O211/'D) Ecrêtage'!C211</f>
        <v>-1.1681028246786431</v>
      </c>
      <c r="Q211" s="134"/>
    </row>
    <row r="212" spans="1:17" x14ac:dyDescent="0.25">
      <c r="A212" s="51">
        <f>+'A) Base RI'!A214</f>
        <v>5743</v>
      </c>
      <c r="B212" s="321" t="str">
        <f>+'A) Base RI'!B214</f>
        <v>Arnex-sur-Orbe</v>
      </c>
      <c r="C212" s="335">
        <f>+'D) Ecrêtage'!M212</f>
        <v>17668.924178082194</v>
      </c>
      <c r="D212" s="310">
        <v>153318</v>
      </c>
      <c r="E212" s="335">
        <v>64030</v>
      </c>
      <c r="F212" s="310">
        <v>73034</v>
      </c>
      <c r="G212" s="335">
        <f t="shared" si="34"/>
        <v>290382</v>
      </c>
      <c r="H212" s="310">
        <f t="shared" si="35"/>
        <v>141351.39342465755</v>
      </c>
      <c r="I212" s="10">
        <f t="shared" si="36"/>
        <v>149030.60657534245</v>
      </c>
      <c r="J212" s="332">
        <f t="shared" si="31"/>
        <v>-106829.46959621624</v>
      </c>
      <c r="K212" s="15">
        <v>-1149</v>
      </c>
      <c r="L212" s="10">
        <f t="shared" si="32"/>
        <v>17668.924178082194</v>
      </c>
      <c r="M212" s="15">
        <f t="shared" si="24"/>
        <v>0</v>
      </c>
      <c r="N212" s="2">
        <f t="shared" si="33"/>
        <v>0</v>
      </c>
      <c r="O212" s="138">
        <f t="shared" si="25"/>
        <v>-106829.46959621624</v>
      </c>
      <c r="P212" s="35">
        <f>O212/'D) Ecrêtage'!C212</f>
        <v>-6.0461785063708184</v>
      </c>
      <c r="Q212" s="134"/>
    </row>
    <row r="213" spans="1:17" x14ac:dyDescent="0.25">
      <c r="A213" s="51">
        <f>+'A) Base RI'!A215</f>
        <v>5744</v>
      </c>
      <c r="B213" s="321" t="str">
        <f>+'A) Base RI'!B215</f>
        <v>Ballaigues</v>
      </c>
      <c r="C213" s="335">
        <f>+'D) Ecrêtage'!M213</f>
        <v>60772.767121212128</v>
      </c>
      <c r="D213" s="310">
        <v>725008</v>
      </c>
      <c r="E213" s="335">
        <v>44618</v>
      </c>
      <c r="F213" s="310">
        <v>134258</v>
      </c>
      <c r="G213" s="335">
        <f t="shared" si="34"/>
        <v>903884</v>
      </c>
      <c r="H213" s="310">
        <f t="shared" si="35"/>
        <v>486182.13696969702</v>
      </c>
      <c r="I213" s="10">
        <f t="shared" si="36"/>
        <v>417701.86303030298</v>
      </c>
      <c r="J213" s="332">
        <f t="shared" si="31"/>
        <v>-299420.83376222139</v>
      </c>
      <c r="K213" s="15">
        <v>10831</v>
      </c>
      <c r="L213" s="10">
        <f t="shared" si="32"/>
        <v>60772.767121212128</v>
      </c>
      <c r="M213" s="15">
        <f t="shared" si="24"/>
        <v>0</v>
      </c>
      <c r="N213" s="2">
        <f t="shared" si="33"/>
        <v>0</v>
      </c>
      <c r="O213" s="138">
        <f t="shared" si="25"/>
        <v>-299420.83376222139</v>
      </c>
      <c r="P213" s="35">
        <f>O213/'D) Ecrêtage'!C213</f>
        <v>-4.9268915658393899</v>
      </c>
      <c r="Q213" s="134"/>
    </row>
    <row r="214" spans="1:17" x14ac:dyDescent="0.25">
      <c r="A214" s="51">
        <f>+'A) Base RI'!A216</f>
        <v>5745</v>
      </c>
      <c r="B214" s="321" t="str">
        <f>+'A) Base RI'!B216</f>
        <v>Baulmes</v>
      </c>
      <c r="C214" s="335">
        <f>+'D) Ecrêtage'!M214</f>
        <v>25719.773333333334</v>
      </c>
      <c r="D214" s="310">
        <v>242565</v>
      </c>
      <c r="E214" s="335">
        <v>106885</v>
      </c>
      <c r="F214" s="310">
        <v>79222</v>
      </c>
      <c r="G214" s="335">
        <f t="shared" si="34"/>
        <v>428672</v>
      </c>
      <c r="H214" s="310">
        <f t="shared" si="35"/>
        <v>205758.18666666668</v>
      </c>
      <c r="I214" s="10">
        <f t="shared" si="36"/>
        <v>222913.81333333332</v>
      </c>
      <c r="J214" s="332">
        <f t="shared" si="31"/>
        <v>-159791.09923323637</v>
      </c>
      <c r="K214" s="15">
        <v>62679</v>
      </c>
      <c r="L214" s="10">
        <f t="shared" si="32"/>
        <v>25719.773333333334</v>
      </c>
      <c r="M214" s="15">
        <f t="shared" si="24"/>
        <v>36959.226666666669</v>
      </c>
      <c r="N214" s="2">
        <f t="shared" si="33"/>
        <v>-26493.447703242418</v>
      </c>
      <c r="O214" s="138">
        <f t="shared" si="25"/>
        <v>-186284.54693647879</v>
      </c>
      <c r="P214" s="35">
        <f>O214/'D) Ecrêtage'!C214</f>
        <v>-7.2428533689700263</v>
      </c>
      <c r="Q214" s="134"/>
    </row>
    <row r="215" spans="1:17" x14ac:dyDescent="0.25">
      <c r="A215" s="51">
        <f>+'A) Base RI'!A217</f>
        <v>5746</v>
      </c>
      <c r="B215" s="321" t="str">
        <f>+'A) Base RI'!B217</f>
        <v>Bavois</v>
      </c>
      <c r="C215" s="335">
        <f>+'D) Ecrêtage'!M215</f>
        <v>26078.686575342468</v>
      </c>
      <c r="D215" s="310">
        <v>216658</v>
      </c>
      <c r="E215" s="335">
        <v>95133</v>
      </c>
      <c r="F215" s="310">
        <v>110538</v>
      </c>
      <c r="G215" s="335">
        <f t="shared" si="34"/>
        <v>422329</v>
      </c>
      <c r="H215" s="310">
        <f t="shared" si="35"/>
        <v>208629.49260273975</v>
      </c>
      <c r="I215" s="10">
        <f t="shared" si="36"/>
        <v>213699.50739726025</v>
      </c>
      <c r="J215" s="332">
        <f t="shared" si="31"/>
        <v>-153186.01697216195</v>
      </c>
      <c r="K215" s="15">
        <v>77106</v>
      </c>
      <c r="L215" s="10">
        <f t="shared" si="32"/>
        <v>26078.686575342468</v>
      </c>
      <c r="M215" s="15">
        <f t="shared" si="24"/>
        <v>51027.313424657536</v>
      </c>
      <c r="N215" s="2">
        <f t="shared" si="33"/>
        <v>-36577.861107477831</v>
      </c>
      <c r="O215" s="138">
        <f t="shared" si="25"/>
        <v>-189763.87807963978</v>
      </c>
      <c r="P215" s="35">
        <f>O215/'D) Ecrêtage'!C215</f>
        <v>-7.2765887780200744</v>
      </c>
      <c r="Q215" s="134"/>
    </row>
    <row r="216" spans="1:17" x14ac:dyDescent="0.25">
      <c r="A216" s="51">
        <f>+'A) Base RI'!A218</f>
        <v>5747</v>
      </c>
      <c r="B216" s="321" t="str">
        <f>+'A) Base RI'!B218</f>
        <v>Bofflens</v>
      </c>
      <c r="C216" s="335">
        <f>+'D) Ecrêtage'!M216</f>
        <v>5407.3595652173908</v>
      </c>
      <c r="D216" s="310">
        <v>20743</v>
      </c>
      <c r="E216" s="335">
        <v>7619</v>
      </c>
      <c r="F216" s="310">
        <v>23106</v>
      </c>
      <c r="G216" s="335">
        <f t="shared" si="34"/>
        <v>51468</v>
      </c>
      <c r="H216" s="310">
        <f t="shared" si="35"/>
        <v>43258.876521739126</v>
      </c>
      <c r="I216" s="10">
        <f t="shared" si="36"/>
        <v>8209.1234782608735</v>
      </c>
      <c r="J216" s="332">
        <f t="shared" si="31"/>
        <v>-5884.5382648905697</v>
      </c>
      <c r="K216" s="15">
        <v>-14967</v>
      </c>
      <c r="L216" s="10">
        <f t="shared" si="32"/>
        <v>5407.3595652173908</v>
      </c>
      <c r="M216" s="15">
        <f t="shared" si="24"/>
        <v>0</v>
      </c>
      <c r="N216" s="2">
        <f t="shared" si="33"/>
        <v>0</v>
      </c>
      <c r="O216" s="138">
        <f t="shared" si="25"/>
        <v>-5884.5382648905697</v>
      </c>
      <c r="P216" s="35">
        <f>O216/'D) Ecrêtage'!C216</f>
        <v>-1.0882461567273258</v>
      </c>
      <c r="Q216" s="134"/>
    </row>
    <row r="217" spans="1:17" x14ac:dyDescent="0.25">
      <c r="A217" s="51">
        <f>+'A) Base RI'!A219</f>
        <v>5748</v>
      </c>
      <c r="B217" s="321" t="str">
        <f>+'A) Base RI'!B219</f>
        <v>Bretonnières</v>
      </c>
      <c r="C217" s="335">
        <f>+'D) Ecrêtage'!M217</f>
        <v>7687.1286574074074</v>
      </c>
      <c r="D217" s="310">
        <v>60848</v>
      </c>
      <c r="E217" s="335">
        <v>26139</v>
      </c>
      <c r="F217" s="310">
        <v>32040</v>
      </c>
      <c r="G217" s="335">
        <f t="shared" si="34"/>
        <v>119027</v>
      </c>
      <c r="H217" s="310">
        <f t="shared" si="35"/>
        <v>61497.02925925926</v>
      </c>
      <c r="I217" s="10">
        <f t="shared" si="36"/>
        <v>57529.97074074074</v>
      </c>
      <c r="J217" s="332">
        <f t="shared" ref="J217" si="37">-I217*J$4</f>
        <v>-41239.15483771525</v>
      </c>
      <c r="K217" s="15">
        <v>-9480</v>
      </c>
      <c r="L217" s="10">
        <f t="shared" ref="L217" si="38">C217*M$4</f>
        <v>7687.1286574074074</v>
      </c>
      <c r="M217" s="15">
        <f t="shared" ref="M217" si="39">IF(K217&gt;L217,K217-L217,0)</f>
        <v>0</v>
      </c>
      <c r="N217" s="2">
        <f t="shared" ref="N217" si="40">-M217*N$4</f>
        <v>0</v>
      </c>
      <c r="O217" s="138">
        <f t="shared" ref="O217" si="41">N217+J217</f>
        <v>-41239.15483771525</v>
      </c>
      <c r="P217" s="35">
        <f>O217/'D) Ecrêtage'!C217</f>
        <v>-5.3647020461894721</v>
      </c>
      <c r="Q217" s="134"/>
    </row>
    <row r="218" spans="1:17" x14ac:dyDescent="0.25">
      <c r="A218" s="51">
        <f>+'A) Base RI'!A220</f>
        <v>5749</v>
      </c>
      <c r="B218" s="321" t="str">
        <f>+'A) Base RI'!B220</f>
        <v>Chavornay</v>
      </c>
      <c r="C218" s="335">
        <f>+'D) Ecrêtage'!M218</f>
        <v>136661.8213888889</v>
      </c>
      <c r="D218" s="310">
        <v>717012</v>
      </c>
      <c r="E218" s="335">
        <v>488025</v>
      </c>
      <c r="F218" s="310">
        <v>637503</v>
      </c>
      <c r="G218" s="335">
        <f t="shared" si="34"/>
        <v>1842540</v>
      </c>
      <c r="H218" s="310">
        <f t="shared" si="35"/>
        <v>1093294.5711111112</v>
      </c>
      <c r="I218" s="10">
        <f t="shared" si="36"/>
        <v>749245.4288888888</v>
      </c>
      <c r="J218" s="332">
        <f t="shared" si="31"/>
        <v>-537080.89636691206</v>
      </c>
      <c r="K218" s="15">
        <v>142473</v>
      </c>
      <c r="L218" s="10">
        <f t="shared" si="32"/>
        <v>136661.8213888889</v>
      </c>
      <c r="M218" s="15">
        <f t="shared" si="24"/>
        <v>5811.1786111110996</v>
      </c>
      <c r="N218" s="2">
        <f t="shared" si="33"/>
        <v>-4165.6217002648191</v>
      </c>
      <c r="O218" s="138">
        <f t="shared" si="25"/>
        <v>-541246.51806717692</v>
      </c>
      <c r="P218" s="35">
        <f>O218/'D) Ecrêtage'!C218</f>
        <v>-3.9604807880248418</v>
      </c>
      <c r="Q218" s="134"/>
    </row>
    <row r="219" spans="1:17" x14ac:dyDescent="0.25">
      <c r="A219" s="51">
        <f>+'A) Base RI'!A221</f>
        <v>5750</v>
      </c>
      <c r="B219" s="321" t="str">
        <f>+'A) Base RI'!B221</f>
        <v>Les Clées</v>
      </c>
      <c r="C219" s="335">
        <f>+'D) Ecrêtage'!M219</f>
        <v>5052.5065833333338</v>
      </c>
      <c r="D219" s="310">
        <v>33300</v>
      </c>
      <c r="E219" s="335">
        <v>0</v>
      </c>
      <c r="F219" s="310">
        <v>18322</v>
      </c>
      <c r="G219" s="335">
        <f t="shared" si="34"/>
        <v>51622</v>
      </c>
      <c r="H219" s="310">
        <f t="shared" si="35"/>
        <v>40420.05266666667</v>
      </c>
      <c r="I219" s="10">
        <f t="shared" si="36"/>
        <v>11201.94733333333</v>
      </c>
      <c r="J219" s="332">
        <f t="shared" si="31"/>
        <v>-8029.8813751372445</v>
      </c>
      <c r="K219" s="15">
        <v>-169999</v>
      </c>
      <c r="L219" s="10">
        <f t="shared" si="32"/>
        <v>5052.5065833333338</v>
      </c>
      <c r="M219" s="15">
        <f t="shared" ref="M219:M264" si="42">IF(K219&gt;L219,K219-L219,0)</f>
        <v>0</v>
      </c>
      <c r="N219" s="2">
        <f t="shared" si="33"/>
        <v>0</v>
      </c>
      <c r="O219" s="138">
        <f t="shared" ref="O219:O264" si="43">N219+J219</f>
        <v>-8029.8813751372445</v>
      </c>
      <c r="P219" s="35">
        <f>O219/'D) Ecrêtage'!C219</f>
        <v>-1.5892866724063963</v>
      </c>
      <c r="Q219" s="134"/>
    </row>
    <row r="220" spans="1:17" x14ac:dyDescent="0.25">
      <c r="A220" s="51">
        <f>+'A) Base RI'!A222</f>
        <v>5752</v>
      </c>
      <c r="B220" s="321" t="str">
        <f>+'A) Base RI'!B222</f>
        <v>Croy</v>
      </c>
      <c r="C220" s="335">
        <f>+'D) Ecrêtage'!M220</f>
        <v>11188.496891891893</v>
      </c>
      <c r="D220" s="310">
        <v>150565</v>
      </c>
      <c r="E220" s="335">
        <v>34852</v>
      </c>
      <c r="F220" s="310">
        <v>36289</v>
      </c>
      <c r="G220" s="335">
        <f t="shared" si="34"/>
        <v>221706</v>
      </c>
      <c r="H220" s="310">
        <f t="shared" si="35"/>
        <v>89507.975135135144</v>
      </c>
      <c r="I220" s="10">
        <f t="shared" si="36"/>
        <v>132198.02486486486</v>
      </c>
      <c r="J220" s="332">
        <f t="shared" si="31"/>
        <v>-94763.385874305037</v>
      </c>
      <c r="K220" s="15">
        <v>867</v>
      </c>
      <c r="L220" s="10">
        <f t="shared" si="32"/>
        <v>11188.496891891893</v>
      </c>
      <c r="M220" s="15">
        <f t="shared" si="42"/>
        <v>0</v>
      </c>
      <c r="N220" s="2">
        <f t="shared" si="33"/>
        <v>0</v>
      </c>
      <c r="O220" s="138">
        <f t="shared" si="43"/>
        <v>-94763.385874305037</v>
      </c>
      <c r="P220" s="35">
        <f>O220/'D) Ecrêtage'!C220</f>
        <v>-8.4697155292574102</v>
      </c>
      <c r="Q220" s="134"/>
    </row>
    <row r="221" spans="1:17" x14ac:dyDescent="0.25">
      <c r="A221" s="51">
        <f>+'A) Base RI'!A223</f>
        <v>5754</v>
      </c>
      <c r="B221" s="321" t="str">
        <f>+'A) Base RI'!B223</f>
        <v>Juriens</v>
      </c>
      <c r="C221" s="335">
        <f>+'D) Ecrêtage'!M221</f>
        <v>8136.8400000000011</v>
      </c>
      <c r="D221" s="310">
        <v>74528</v>
      </c>
      <c r="E221" s="335">
        <v>12239</v>
      </c>
      <c r="F221" s="310">
        <v>30825</v>
      </c>
      <c r="G221" s="335">
        <f t="shared" si="34"/>
        <v>117592</v>
      </c>
      <c r="H221" s="310">
        <f t="shared" si="35"/>
        <v>65094.720000000008</v>
      </c>
      <c r="I221" s="10">
        <f t="shared" si="36"/>
        <v>52497.279999999992</v>
      </c>
      <c r="J221" s="332">
        <f t="shared" si="31"/>
        <v>-37631.575865651423</v>
      </c>
      <c r="K221" s="15">
        <v>33320</v>
      </c>
      <c r="L221" s="10">
        <f t="shared" si="32"/>
        <v>8136.8400000000011</v>
      </c>
      <c r="M221" s="15">
        <f t="shared" si="42"/>
        <v>25183.16</v>
      </c>
      <c r="N221" s="2">
        <f t="shared" si="33"/>
        <v>-18052.020906165777</v>
      </c>
      <c r="O221" s="138">
        <f t="shared" si="43"/>
        <v>-55683.596771817203</v>
      </c>
      <c r="P221" s="35">
        <f>O221/'D) Ecrêtage'!C221</f>
        <v>-6.843393353171157</v>
      </c>
      <c r="Q221" s="134"/>
    </row>
    <row r="222" spans="1:17" x14ac:dyDescent="0.25">
      <c r="A222" s="51">
        <f>+'A) Base RI'!A224</f>
        <v>5755</v>
      </c>
      <c r="B222" s="321" t="str">
        <f>+'A) Base RI'!B224</f>
        <v>Lignerolle</v>
      </c>
      <c r="C222" s="335">
        <f>+'D) Ecrêtage'!M222</f>
        <v>9412.5036607142865</v>
      </c>
      <c r="D222" s="310">
        <v>156628</v>
      </c>
      <c r="E222" s="335">
        <v>16413</v>
      </c>
      <c r="F222" s="310">
        <v>43838</v>
      </c>
      <c r="G222" s="335">
        <f t="shared" si="34"/>
        <v>216879</v>
      </c>
      <c r="H222" s="310">
        <f t="shared" si="35"/>
        <v>75300.029285714292</v>
      </c>
      <c r="I222" s="10">
        <f t="shared" si="36"/>
        <v>141578.97071428571</v>
      </c>
      <c r="J222" s="332">
        <f t="shared" si="31"/>
        <v>-101487.92046779348</v>
      </c>
      <c r="K222" s="15">
        <v>106151</v>
      </c>
      <c r="L222" s="10">
        <f t="shared" si="32"/>
        <v>9412.5036607142865</v>
      </c>
      <c r="M222" s="15">
        <f t="shared" si="42"/>
        <v>96738.496339285717</v>
      </c>
      <c r="N222" s="2">
        <f t="shared" si="33"/>
        <v>-69344.965379556306</v>
      </c>
      <c r="O222" s="138">
        <f t="shared" si="43"/>
        <v>-170832.88584734977</v>
      </c>
      <c r="P222" s="35">
        <f>O222/'D) Ecrêtage'!C222</f>
        <v>-18.149569126901756</v>
      </c>
      <c r="Q222" s="134"/>
    </row>
    <row r="223" spans="1:17" x14ac:dyDescent="0.25">
      <c r="A223" s="51">
        <f>+'A) Base RI'!A225</f>
        <v>5756</v>
      </c>
      <c r="B223" s="321" t="str">
        <f>+'A) Base RI'!B225</f>
        <v>Montcherand</v>
      </c>
      <c r="C223" s="335">
        <f>+'D) Ecrêtage'!M223</f>
        <v>18721.546388888888</v>
      </c>
      <c r="D223" s="310">
        <v>123429</v>
      </c>
      <c r="E223" s="335">
        <v>19006</v>
      </c>
      <c r="F223" s="310">
        <v>60079</v>
      </c>
      <c r="G223" s="335">
        <f t="shared" si="34"/>
        <v>202514</v>
      </c>
      <c r="H223" s="310">
        <f t="shared" si="35"/>
        <v>149772.3711111111</v>
      </c>
      <c r="I223" s="10">
        <f t="shared" si="36"/>
        <v>52741.628888888896</v>
      </c>
      <c r="J223" s="332">
        <f t="shared" si="31"/>
        <v>-37806.73224994239</v>
      </c>
      <c r="K223" s="15">
        <v>11884</v>
      </c>
      <c r="L223" s="10">
        <f t="shared" si="32"/>
        <v>18721.546388888888</v>
      </c>
      <c r="M223" s="15">
        <f t="shared" si="42"/>
        <v>0</v>
      </c>
      <c r="N223" s="2">
        <f t="shared" si="33"/>
        <v>0</v>
      </c>
      <c r="O223" s="138">
        <f t="shared" si="43"/>
        <v>-37806.73224994239</v>
      </c>
      <c r="P223" s="35">
        <f>O223/'D) Ecrêtage'!C223</f>
        <v>-2.0194235809698089</v>
      </c>
      <c r="Q223" s="134"/>
    </row>
    <row r="224" spans="1:17" x14ac:dyDescent="0.25">
      <c r="A224" s="51">
        <f>+'A) Base RI'!A226</f>
        <v>5757</v>
      </c>
      <c r="B224" s="321" t="str">
        <f>+'A) Base RI'!B226</f>
        <v>Orbe</v>
      </c>
      <c r="C224" s="335">
        <f>+'D) Ecrêtage'!M224</f>
        <v>205952.941948052</v>
      </c>
      <c r="D224" s="310">
        <v>2018690</v>
      </c>
      <c r="E224" s="335">
        <v>1010863</v>
      </c>
      <c r="F224" s="310">
        <v>760135</v>
      </c>
      <c r="G224" s="335">
        <f t="shared" si="34"/>
        <v>3789688</v>
      </c>
      <c r="H224" s="310">
        <f t="shared" si="35"/>
        <v>1647623.535584416</v>
      </c>
      <c r="I224" s="10">
        <f t="shared" si="36"/>
        <v>2142064.4644155838</v>
      </c>
      <c r="J224" s="332">
        <f t="shared" si="31"/>
        <v>-1535494.0561067362</v>
      </c>
      <c r="K224" s="15">
        <v>22635</v>
      </c>
      <c r="L224" s="10">
        <f t="shared" si="32"/>
        <v>205952.941948052</v>
      </c>
      <c r="M224" s="15">
        <f t="shared" si="42"/>
        <v>0</v>
      </c>
      <c r="N224" s="2">
        <f t="shared" si="33"/>
        <v>0</v>
      </c>
      <c r="O224" s="138">
        <f t="shared" si="43"/>
        <v>-1535494.0561067362</v>
      </c>
      <c r="P224" s="35">
        <f>O224/'D) Ecrêtage'!C224</f>
        <v>-7.4555577676284788</v>
      </c>
      <c r="Q224" s="134"/>
    </row>
    <row r="225" spans="1:17" x14ac:dyDescent="0.25">
      <c r="A225" s="51">
        <f>+'A) Base RI'!A227</f>
        <v>5758</v>
      </c>
      <c r="B225" s="321" t="str">
        <f>+'A) Base RI'!B227</f>
        <v>La Praz</v>
      </c>
      <c r="C225" s="335">
        <f>+'D) Ecrêtage'!M225</f>
        <v>3230.1663052208837</v>
      </c>
      <c r="D225" s="310">
        <v>30720</v>
      </c>
      <c r="E225" s="335">
        <v>6444</v>
      </c>
      <c r="F225" s="310">
        <v>15483</v>
      </c>
      <c r="G225" s="335">
        <f t="shared" si="34"/>
        <v>52647</v>
      </c>
      <c r="H225" s="310">
        <f t="shared" si="35"/>
        <v>25841.33044176707</v>
      </c>
      <c r="I225" s="10">
        <f t="shared" si="36"/>
        <v>26805.66955823293</v>
      </c>
      <c r="J225" s="332">
        <f t="shared" si="31"/>
        <v>-19215.082907347307</v>
      </c>
      <c r="K225" s="15">
        <v>-4237</v>
      </c>
      <c r="L225" s="10">
        <f t="shared" si="32"/>
        <v>3230.1663052208837</v>
      </c>
      <c r="M225" s="15">
        <f t="shared" si="42"/>
        <v>0</v>
      </c>
      <c r="N225" s="2">
        <f t="shared" si="33"/>
        <v>0</v>
      </c>
      <c r="O225" s="138">
        <f t="shared" si="43"/>
        <v>-19215.082907347307</v>
      </c>
      <c r="P225" s="35">
        <f>O225/'D) Ecrêtage'!C225</f>
        <v>-5.9486357950951847</v>
      </c>
      <c r="Q225" s="134"/>
    </row>
    <row r="226" spans="1:17" x14ac:dyDescent="0.25">
      <c r="A226" s="51">
        <f>+'A) Base RI'!A228</f>
        <v>5759</v>
      </c>
      <c r="B226" s="321" t="str">
        <f>+'A) Base RI'!B228</f>
        <v>Premier</v>
      </c>
      <c r="C226" s="335">
        <f>+'D) Ecrêtage'!M226</f>
        <v>4732.7107407407411</v>
      </c>
      <c r="D226" s="310">
        <v>48830</v>
      </c>
      <c r="E226" s="335">
        <v>7943</v>
      </c>
      <c r="F226" s="310">
        <v>21266</v>
      </c>
      <c r="G226" s="335">
        <f t="shared" si="34"/>
        <v>78039</v>
      </c>
      <c r="H226" s="310">
        <f t="shared" si="35"/>
        <v>37861.685925925929</v>
      </c>
      <c r="I226" s="10">
        <f t="shared" si="36"/>
        <v>40177.314074074071</v>
      </c>
      <c r="J226" s="332">
        <f t="shared" si="31"/>
        <v>-28800.266273921683</v>
      </c>
      <c r="K226" s="15">
        <v>5979</v>
      </c>
      <c r="L226" s="10">
        <f t="shared" si="32"/>
        <v>4732.7107407407411</v>
      </c>
      <c r="M226" s="15">
        <f t="shared" si="42"/>
        <v>1246.2892592592589</v>
      </c>
      <c r="N226" s="2">
        <f t="shared" si="33"/>
        <v>-893.37635798200074</v>
      </c>
      <c r="O226" s="138">
        <f t="shared" si="43"/>
        <v>-29693.642631903684</v>
      </c>
      <c r="P226" s="35">
        <f>O226/'D) Ecrêtage'!C226</f>
        <v>-6.2741300405898413</v>
      </c>
      <c r="Q226" s="134"/>
    </row>
    <row r="227" spans="1:17" x14ac:dyDescent="0.25">
      <c r="A227" s="51">
        <f>+'A) Base RI'!A229</f>
        <v>5760</v>
      </c>
      <c r="B227" s="321" t="str">
        <f>+'A) Base RI'!B229</f>
        <v>Rances</v>
      </c>
      <c r="C227" s="335">
        <f>+'D) Ecrêtage'!M227</f>
        <v>10468.899999999998</v>
      </c>
      <c r="D227" s="310">
        <v>265439</v>
      </c>
      <c r="E227" s="335">
        <v>28753</v>
      </c>
      <c r="F227" s="310">
        <v>50189</v>
      </c>
      <c r="G227" s="335">
        <f t="shared" si="34"/>
        <v>344381</v>
      </c>
      <c r="H227" s="310">
        <f t="shared" si="35"/>
        <v>83751.199999999983</v>
      </c>
      <c r="I227" s="10">
        <f t="shared" si="36"/>
        <v>260629.80000000002</v>
      </c>
      <c r="J227" s="332">
        <f t="shared" si="31"/>
        <v>-186827.01449579027</v>
      </c>
      <c r="K227" s="15">
        <v>91689</v>
      </c>
      <c r="L227" s="10">
        <f t="shared" si="32"/>
        <v>10468.899999999998</v>
      </c>
      <c r="M227" s="15">
        <f t="shared" si="42"/>
        <v>81220.100000000006</v>
      </c>
      <c r="N227" s="2">
        <f t="shared" si="33"/>
        <v>-58220.927921709394</v>
      </c>
      <c r="O227" s="138">
        <f t="shared" si="43"/>
        <v>-245047.94241749967</v>
      </c>
      <c r="P227" s="35">
        <f>O227/'D) Ecrêtage'!C227</f>
        <v>-23.407229261670253</v>
      </c>
      <c r="Q227" s="134"/>
    </row>
    <row r="228" spans="1:17" x14ac:dyDescent="0.25">
      <c r="A228" s="51">
        <f>+'A) Base RI'!A230</f>
        <v>5761</v>
      </c>
      <c r="B228" s="321" t="str">
        <f>+'A) Base RI'!B230</f>
        <v>Romainmôtier-Envy</v>
      </c>
      <c r="C228" s="335">
        <f>+'D) Ecrêtage'!M228</f>
        <v>12891.998383838385</v>
      </c>
      <c r="D228" s="310">
        <v>85254</v>
      </c>
      <c r="E228" s="335">
        <v>44254</v>
      </c>
      <c r="F228" s="310">
        <v>57579</v>
      </c>
      <c r="G228" s="335">
        <f t="shared" si="34"/>
        <v>187087</v>
      </c>
      <c r="H228" s="310">
        <f t="shared" si="35"/>
        <v>103135.98707070708</v>
      </c>
      <c r="I228" s="10">
        <f t="shared" si="36"/>
        <v>83951.01292929292</v>
      </c>
      <c r="J228" s="332">
        <f t="shared" si="31"/>
        <v>-60178.525669272211</v>
      </c>
      <c r="K228" s="15">
        <v>34721</v>
      </c>
      <c r="L228" s="10">
        <f t="shared" si="32"/>
        <v>12891.998383838385</v>
      </c>
      <c r="M228" s="15">
        <f t="shared" si="42"/>
        <v>21829.001616161615</v>
      </c>
      <c r="N228" s="2">
        <f t="shared" si="33"/>
        <v>-15647.662705382327</v>
      </c>
      <c r="O228" s="138">
        <f t="shared" si="43"/>
        <v>-75826.188374654535</v>
      </c>
      <c r="P228" s="35">
        <f>O228/'D) Ecrêtage'!C228</f>
        <v>-5.8816473689378874</v>
      </c>
      <c r="Q228" s="134"/>
    </row>
    <row r="229" spans="1:17" x14ac:dyDescent="0.25">
      <c r="A229" s="51">
        <f>+'A) Base RI'!A231</f>
        <v>5762</v>
      </c>
      <c r="B229" s="321" t="str">
        <f>+'A) Base RI'!B231</f>
        <v>Sergey</v>
      </c>
      <c r="C229" s="335">
        <f>+'D) Ecrêtage'!M229</f>
        <v>4039.8601282051286</v>
      </c>
      <c r="D229" s="310">
        <v>6385</v>
      </c>
      <c r="E229" s="335">
        <v>5674</v>
      </c>
      <c r="F229" s="310">
        <v>17984</v>
      </c>
      <c r="G229" s="335">
        <f t="shared" si="34"/>
        <v>30043</v>
      </c>
      <c r="H229" s="310">
        <f t="shared" si="35"/>
        <v>32318.881025641029</v>
      </c>
      <c r="I229" s="10">
        <f t="shared" si="36"/>
        <v>0</v>
      </c>
      <c r="J229" s="332">
        <f t="shared" si="31"/>
        <v>0</v>
      </c>
      <c r="K229" s="15">
        <v>6260</v>
      </c>
      <c r="L229" s="10">
        <f t="shared" si="32"/>
        <v>4039.8601282051286</v>
      </c>
      <c r="M229" s="15">
        <f t="shared" si="42"/>
        <v>2220.1398717948714</v>
      </c>
      <c r="N229" s="2">
        <f t="shared" si="33"/>
        <v>-1591.4607769737088</v>
      </c>
      <c r="O229" s="138">
        <f t="shared" si="43"/>
        <v>-1591.4607769737088</v>
      </c>
      <c r="P229" s="35">
        <f>O229/'D) Ecrêtage'!C229</f>
        <v>-0.3939395737645946</v>
      </c>
      <c r="Q229" s="134"/>
    </row>
    <row r="230" spans="1:17" x14ac:dyDescent="0.25">
      <c r="A230" s="51">
        <f>+'A) Base RI'!A232</f>
        <v>5763</v>
      </c>
      <c r="B230" s="321" t="str">
        <f>+'A) Base RI'!B232</f>
        <v>Valeyres-sous-Rances</v>
      </c>
      <c r="C230" s="335">
        <f>+'D) Ecrêtage'!M230</f>
        <v>20051.556615384616</v>
      </c>
      <c r="D230" s="310">
        <v>198126</v>
      </c>
      <c r="E230" s="335">
        <v>37870</v>
      </c>
      <c r="F230" s="310">
        <v>72528</v>
      </c>
      <c r="G230" s="335">
        <f t="shared" si="34"/>
        <v>308524</v>
      </c>
      <c r="H230" s="310">
        <f t="shared" si="35"/>
        <v>160412.45292307693</v>
      </c>
      <c r="I230" s="10">
        <f t="shared" si="36"/>
        <v>148111.54707692307</v>
      </c>
      <c r="J230" s="332">
        <f t="shared" si="31"/>
        <v>-106170.66104004311</v>
      </c>
      <c r="K230" s="15">
        <v>33659</v>
      </c>
      <c r="L230" s="10">
        <f t="shared" si="32"/>
        <v>20051.556615384616</v>
      </c>
      <c r="M230" s="15">
        <f t="shared" si="42"/>
        <v>13607.443384615384</v>
      </c>
      <c r="N230" s="2">
        <f t="shared" si="33"/>
        <v>-9754.2108479850867</v>
      </c>
      <c r="O230" s="138">
        <f t="shared" si="43"/>
        <v>-115924.8718880282</v>
      </c>
      <c r="P230" s="35">
        <f>O230/'D) Ecrêtage'!C230</f>
        <v>-5.7813402775465574</v>
      </c>
      <c r="Q230" s="134"/>
    </row>
    <row r="231" spans="1:17" x14ac:dyDescent="0.25">
      <c r="A231" s="51">
        <f>+'A) Base RI'!A233</f>
        <v>5764</v>
      </c>
      <c r="B231" s="321" t="str">
        <f>+'A) Base RI'!B233</f>
        <v>Vallorbe</v>
      </c>
      <c r="C231" s="335">
        <f>+'D) Ecrêtage'!M231</f>
        <v>83366.268356164379</v>
      </c>
      <c r="D231" s="310">
        <v>1836435</v>
      </c>
      <c r="E231" s="335">
        <v>379620</v>
      </c>
      <c r="F231" s="310">
        <v>443411</v>
      </c>
      <c r="G231" s="335">
        <f t="shared" si="34"/>
        <v>2659466</v>
      </c>
      <c r="H231" s="310">
        <f t="shared" si="35"/>
        <v>666930.14684931503</v>
      </c>
      <c r="I231" s="10">
        <f t="shared" si="36"/>
        <v>1992535.8531506849</v>
      </c>
      <c r="J231" s="332">
        <f t="shared" si="31"/>
        <v>-1428307.602277118</v>
      </c>
      <c r="K231" s="15">
        <v>884297</v>
      </c>
      <c r="L231" s="10">
        <f t="shared" si="32"/>
        <v>83366.268356164379</v>
      </c>
      <c r="M231" s="15">
        <f t="shared" si="42"/>
        <v>800930.73164383566</v>
      </c>
      <c r="N231" s="2">
        <f t="shared" si="33"/>
        <v>-574130.42334739456</v>
      </c>
      <c r="O231" s="138">
        <f t="shared" si="43"/>
        <v>-2002438.0256245127</v>
      </c>
      <c r="P231" s="35">
        <f>O231/'D) Ecrêtage'!C231</f>
        <v>-24.019763210097501</v>
      </c>
      <c r="Q231" s="134"/>
    </row>
    <row r="232" spans="1:17" x14ac:dyDescent="0.25">
      <c r="A232" s="51">
        <f>+'A) Base RI'!A234</f>
        <v>5765</v>
      </c>
      <c r="B232" s="321" t="str">
        <f>+'A) Base RI'!B234</f>
        <v>Vaulion</v>
      </c>
      <c r="C232" s="335">
        <f>+'D) Ecrêtage'!M232</f>
        <v>9587.663333333332</v>
      </c>
      <c r="D232" s="310">
        <v>214742</v>
      </c>
      <c r="E232" s="335">
        <v>20265</v>
      </c>
      <c r="F232" s="310">
        <v>52415</v>
      </c>
      <c r="G232" s="335">
        <f t="shared" si="34"/>
        <v>287422</v>
      </c>
      <c r="H232" s="310">
        <f t="shared" si="35"/>
        <v>76701.306666666656</v>
      </c>
      <c r="I232" s="10">
        <f t="shared" si="36"/>
        <v>210720.69333333336</v>
      </c>
      <c r="J232" s="332">
        <f t="shared" si="31"/>
        <v>-151050.71648733047</v>
      </c>
      <c r="K232" s="15">
        <v>31466</v>
      </c>
      <c r="L232" s="10">
        <f t="shared" si="32"/>
        <v>9587.663333333332</v>
      </c>
      <c r="M232" s="15">
        <f t="shared" si="42"/>
        <v>21878.33666666667</v>
      </c>
      <c r="N232" s="2">
        <f t="shared" si="33"/>
        <v>-15683.027503252173</v>
      </c>
      <c r="O232" s="138">
        <f t="shared" si="43"/>
        <v>-166733.74399058265</v>
      </c>
      <c r="P232" s="35">
        <f>O232/'D) Ecrêtage'!C232</f>
        <v>-17.3904462634708</v>
      </c>
      <c r="Q232" s="134"/>
    </row>
    <row r="233" spans="1:17" x14ac:dyDescent="0.25">
      <c r="A233" s="51">
        <f>+'A) Base RI'!A235</f>
        <v>5766</v>
      </c>
      <c r="B233" s="321" t="str">
        <f>+'A) Base RI'!B235</f>
        <v>Vuiteboeuf</v>
      </c>
      <c r="C233" s="335">
        <f>+'D) Ecrêtage'!M233</f>
        <v>13049.547402597404</v>
      </c>
      <c r="D233" s="310">
        <v>109195</v>
      </c>
      <c r="E233" s="335">
        <v>56330</v>
      </c>
      <c r="F233" s="310">
        <v>46966</v>
      </c>
      <c r="G233" s="335">
        <f t="shared" si="34"/>
        <v>212491</v>
      </c>
      <c r="H233" s="310">
        <f t="shared" si="35"/>
        <v>104396.37922077923</v>
      </c>
      <c r="I233" s="10">
        <f t="shared" si="36"/>
        <v>108094.62077922077</v>
      </c>
      <c r="J233" s="332">
        <f t="shared" si="31"/>
        <v>-77485.365385065059</v>
      </c>
      <c r="K233" s="15">
        <v>24486</v>
      </c>
      <c r="L233" s="10">
        <f t="shared" si="32"/>
        <v>13049.547402597404</v>
      </c>
      <c r="M233" s="15">
        <f t="shared" si="42"/>
        <v>11436.452597402596</v>
      </c>
      <c r="N233" s="2">
        <f t="shared" si="33"/>
        <v>-8197.9815631035017</v>
      </c>
      <c r="O233" s="138">
        <f t="shared" si="43"/>
        <v>-85683.346948168561</v>
      </c>
      <c r="P233" s="35">
        <f>O233/'D) Ecrêtage'!C233</f>
        <v>-6.5660014332078678</v>
      </c>
      <c r="Q233" s="134"/>
    </row>
    <row r="234" spans="1:17" x14ac:dyDescent="0.25">
      <c r="A234" s="51">
        <f>+'A) Base RI'!A236</f>
        <v>5785</v>
      </c>
      <c r="B234" s="321" t="str">
        <f>+'A) Base RI'!B236</f>
        <v>Corcelles-le-Jorat</v>
      </c>
      <c r="C234" s="335">
        <f>+'D) Ecrêtage'!M234</f>
        <v>15263.245714285717</v>
      </c>
      <c r="D234" s="310">
        <v>63471</v>
      </c>
      <c r="E234" s="335">
        <v>12523</v>
      </c>
      <c r="F234" s="310">
        <v>53520</v>
      </c>
      <c r="G234" s="335">
        <f t="shared" si="34"/>
        <v>129514</v>
      </c>
      <c r="H234" s="310">
        <f t="shared" si="35"/>
        <v>122105.96571428573</v>
      </c>
      <c r="I234" s="10">
        <f t="shared" si="36"/>
        <v>7408.0342857142678</v>
      </c>
      <c r="J234" s="332">
        <f t="shared" si="31"/>
        <v>-5310.294252163224</v>
      </c>
      <c r="K234" s="15">
        <v>-21500</v>
      </c>
      <c r="L234" s="10">
        <f t="shared" si="32"/>
        <v>15263.245714285717</v>
      </c>
      <c r="M234" s="15">
        <f t="shared" si="42"/>
        <v>0</v>
      </c>
      <c r="N234" s="2">
        <f t="shared" si="33"/>
        <v>0</v>
      </c>
      <c r="O234" s="138">
        <f t="shared" si="43"/>
        <v>-5310.294252163224</v>
      </c>
      <c r="P234" s="35">
        <f>O234/'D) Ecrêtage'!C234</f>
        <v>-0.34791382852423225</v>
      </c>
      <c r="Q234" s="134"/>
    </row>
    <row r="235" spans="1:17" x14ac:dyDescent="0.25">
      <c r="A235" s="51">
        <f>+'A) Base RI'!A237</f>
        <v>5788</v>
      </c>
      <c r="B235" s="321" t="str">
        <f>+'A) Base RI'!B237</f>
        <v>Essertes</v>
      </c>
      <c r="C235" s="335">
        <f>+'D) Ecrêtage'!M235</f>
        <v>11561.131666666668</v>
      </c>
      <c r="D235" s="310">
        <v>56341</v>
      </c>
      <c r="E235" s="335">
        <v>14807</v>
      </c>
      <c r="F235" s="310">
        <v>42397</v>
      </c>
      <c r="G235" s="335">
        <f t="shared" si="34"/>
        <v>113545</v>
      </c>
      <c r="H235" s="310">
        <f t="shared" si="35"/>
        <v>92489.053333333344</v>
      </c>
      <c r="I235" s="10">
        <f t="shared" si="36"/>
        <v>21055.946666666656</v>
      </c>
      <c r="J235" s="332">
        <f t="shared" si="31"/>
        <v>-15093.514452744535</v>
      </c>
      <c r="K235" s="15">
        <v>5006</v>
      </c>
      <c r="L235" s="10">
        <f t="shared" si="32"/>
        <v>11561.131666666668</v>
      </c>
      <c r="M235" s="15">
        <f t="shared" si="42"/>
        <v>0</v>
      </c>
      <c r="N235" s="2">
        <f t="shared" si="33"/>
        <v>0</v>
      </c>
      <c r="O235" s="138">
        <f t="shared" si="43"/>
        <v>-15093.514452744535</v>
      </c>
      <c r="P235" s="35">
        <f>O235/'D) Ecrêtage'!C235</f>
        <v>-1.305539534357395</v>
      </c>
      <c r="Q235" s="134"/>
    </row>
    <row r="236" spans="1:17" x14ac:dyDescent="0.25">
      <c r="A236" s="51">
        <f>+'A) Base RI'!A238</f>
        <v>5790</v>
      </c>
      <c r="B236" s="321" t="str">
        <f>+'A) Base RI'!B238</f>
        <v>Maracon</v>
      </c>
      <c r="C236" s="335">
        <f>+'D) Ecrêtage'!M236</f>
        <v>12108.806973684212</v>
      </c>
      <c r="D236" s="310">
        <v>182401</v>
      </c>
      <c r="E236" s="335">
        <v>13231</v>
      </c>
      <c r="F236" s="310">
        <v>57758</v>
      </c>
      <c r="G236" s="335">
        <f t="shared" si="34"/>
        <v>253390</v>
      </c>
      <c r="H236" s="310">
        <f t="shared" si="35"/>
        <v>96870.455789473694</v>
      </c>
      <c r="I236" s="10">
        <f t="shared" si="36"/>
        <v>156519.54421052631</v>
      </c>
      <c r="J236" s="332">
        <f t="shared" si="31"/>
        <v>-112197.75772031625</v>
      </c>
      <c r="K236" s="15">
        <v>7870</v>
      </c>
      <c r="L236" s="10">
        <f t="shared" si="32"/>
        <v>12108.806973684212</v>
      </c>
      <c r="M236" s="15">
        <f t="shared" si="42"/>
        <v>0</v>
      </c>
      <c r="N236" s="2">
        <f t="shared" si="33"/>
        <v>0</v>
      </c>
      <c r="O236" s="138">
        <f t="shared" si="43"/>
        <v>-112197.75772031625</v>
      </c>
      <c r="P236" s="35">
        <f>O236/'D) Ecrêtage'!C236</f>
        <v>-9.2657978580510054</v>
      </c>
      <c r="Q236" s="134"/>
    </row>
    <row r="237" spans="1:17" x14ac:dyDescent="0.25">
      <c r="A237" s="51">
        <f>+'A) Base RI'!A239</f>
        <v>5792</v>
      </c>
      <c r="B237" s="321" t="str">
        <f>+'A) Base RI'!B239</f>
        <v>Montpreveyres</v>
      </c>
      <c r="C237" s="335">
        <f>+'D) Ecrêtage'!M237</f>
        <v>17523.35194805195</v>
      </c>
      <c r="D237" s="310">
        <v>163178</v>
      </c>
      <c r="E237" s="335">
        <v>27449</v>
      </c>
      <c r="F237" s="310">
        <v>76624</v>
      </c>
      <c r="G237" s="335">
        <f t="shared" si="34"/>
        <v>267251</v>
      </c>
      <c r="H237" s="310">
        <f t="shared" si="35"/>
        <v>140186.8155844156</v>
      </c>
      <c r="I237" s="10">
        <f t="shared" si="36"/>
        <v>127064.1844155844</v>
      </c>
      <c r="J237" s="332">
        <f t="shared" si="31"/>
        <v>-91083.29985176734</v>
      </c>
      <c r="K237" s="15">
        <v>-10049</v>
      </c>
      <c r="L237" s="10">
        <f t="shared" si="32"/>
        <v>17523.35194805195</v>
      </c>
      <c r="M237" s="15">
        <f t="shared" si="42"/>
        <v>0</v>
      </c>
      <c r="N237" s="2">
        <f t="shared" si="33"/>
        <v>0</v>
      </c>
      <c r="O237" s="138">
        <f t="shared" si="43"/>
        <v>-91083.29985176734</v>
      </c>
      <c r="P237" s="35">
        <f>O237/'D) Ecrêtage'!C237</f>
        <v>-5.1978240305726988</v>
      </c>
      <c r="Q237" s="134"/>
    </row>
    <row r="238" spans="1:17" x14ac:dyDescent="0.25">
      <c r="A238" s="51">
        <f>+'A) Base RI'!A240</f>
        <v>5798</v>
      </c>
      <c r="B238" s="321" t="str">
        <f>+'A) Base RI'!B240</f>
        <v>Ropraz</v>
      </c>
      <c r="C238" s="335">
        <f>+'D) Ecrêtage'!M238</f>
        <v>14095.640645161293</v>
      </c>
      <c r="D238" s="310">
        <v>113034</v>
      </c>
      <c r="E238" s="335">
        <v>12906</v>
      </c>
      <c r="F238" s="310">
        <v>49525</v>
      </c>
      <c r="G238" s="335">
        <f t="shared" si="34"/>
        <v>175465</v>
      </c>
      <c r="H238" s="310">
        <f t="shared" si="35"/>
        <v>112765.12516129034</v>
      </c>
      <c r="I238" s="10">
        <f t="shared" si="36"/>
        <v>62699.874838709657</v>
      </c>
      <c r="J238" s="332">
        <f t="shared" si="31"/>
        <v>-44945.092331636071</v>
      </c>
      <c r="K238" s="15">
        <v>62848</v>
      </c>
      <c r="L238" s="10">
        <f t="shared" si="32"/>
        <v>14095.640645161293</v>
      </c>
      <c r="M238" s="15">
        <f t="shared" si="42"/>
        <v>48752.359354838707</v>
      </c>
      <c r="N238" s="2">
        <f t="shared" si="33"/>
        <v>-34947.107920469673</v>
      </c>
      <c r="O238" s="138">
        <f t="shared" si="43"/>
        <v>-79892.200252105744</v>
      </c>
      <c r="P238" s="35">
        <f>O238/'D) Ecrêtage'!C238</f>
        <v>-5.6678658503918999</v>
      </c>
      <c r="Q238" s="134"/>
    </row>
    <row r="239" spans="1:17" x14ac:dyDescent="0.25">
      <c r="A239" s="51">
        <f>+'A) Base RI'!A241</f>
        <v>5799</v>
      </c>
      <c r="B239" s="321" t="str">
        <f>+'A) Base RI'!B241</f>
        <v>Servion</v>
      </c>
      <c r="C239" s="335">
        <f>+'D) Ecrêtage'!M239</f>
        <v>65741.847101449268</v>
      </c>
      <c r="D239" s="310">
        <v>480942</v>
      </c>
      <c r="E239" s="335">
        <v>84776</v>
      </c>
      <c r="F239" s="310">
        <v>223160</v>
      </c>
      <c r="G239" s="335">
        <f t="shared" si="34"/>
        <v>788878</v>
      </c>
      <c r="H239" s="310">
        <f t="shared" si="35"/>
        <v>525934.77681159414</v>
      </c>
      <c r="I239" s="10">
        <f t="shared" si="36"/>
        <v>262943.22318840586</v>
      </c>
      <c r="J239" s="332">
        <f t="shared" si="31"/>
        <v>-188485.34346490735</v>
      </c>
      <c r="K239" s="15">
        <v>-8734</v>
      </c>
      <c r="L239" s="10">
        <f t="shared" si="32"/>
        <v>65741.847101449268</v>
      </c>
      <c r="M239" s="15">
        <f t="shared" si="42"/>
        <v>0</v>
      </c>
      <c r="N239" s="2">
        <f t="shared" si="33"/>
        <v>0</v>
      </c>
      <c r="O239" s="138">
        <f t="shared" si="43"/>
        <v>-188485.34346490735</v>
      </c>
      <c r="P239" s="35">
        <f>O239/'D) Ecrêtage'!C239</f>
        <v>-2.8670527491271569</v>
      </c>
      <c r="Q239" s="134"/>
    </row>
    <row r="240" spans="1:17" x14ac:dyDescent="0.25">
      <c r="A240" s="51">
        <f>+'A) Base RI'!A242</f>
        <v>5803</v>
      </c>
      <c r="B240" s="321" t="str">
        <f>+'A) Base RI'!B242</f>
        <v>Vulliens</v>
      </c>
      <c r="C240" s="335">
        <f>+'D) Ecrêtage'!M240</f>
        <v>15644.362692307694</v>
      </c>
      <c r="D240" s="310">
        <v>80111</v>
      </c>
      <c r="E240" s="335">
        <v>13732</v>
      </c>
      <c r="F240" s="310">
        <v>54323</v>
      </c>
      <c r="G240" s="335">
        <f t="shared" si="34"/>
        <v>148166</v>
      </c>
      <c r="H240" s="310">
        <f t="shared" si="35"/>
        <v>125154.90153846155</v>
      </c>
      <c r="I240" s="10">
        <f t="shared" si="36"/>
        <v>23011.098461538451</v>
      </c>
      <c r="J240" s="332">
        <f t="shared" si="31"/>
        <v>-16495.024075673238</v>
      </c>
      <c r="K240" s="15">
        <v>4862</v>
      </c>
      <c r="L240" s="10">
        <f t="shared" si="32"/>
        <v>15644.362692307694</v>
      </c>
      <c r="M240" s="15">
        <f t="shared" si="42"/>
        <v>0</v>
      </c>
      <c r="N240" s="2">
        <f t="shared" si="33"/>
        <v>0</v>
      </c>
      <c r="O240" s="138">
        <f t="shared" si="43"/>
        <v>-16495.024075673238</v>
      </c>
      <c r="P240" s="35">
        <f>O240/'D) Ecrêtage'!C240</f>
        <v>-1.0543749464325456</v>
      </c>
      <c r="Q240" s="134"/>
    </row>
    <row r="241" spans="1:17" x14ac:dyDescent="0.25">
      <c r="A241" s="51">
        <f>+'A) Base RI'!A243</f>
        <v>5804</v>
      </c>
      <c r="B241" s="321" t="str">
        <f>+'A) Base RI'!B243</f>
        <v>Jorat-Menthue</v>
      </c>
      <c r="C241" s="335">
        <f>+'D) Ecrêtage'!M241</f>
        <v>47020.955555555549</v>
      </c>
      <c r="D241" s="310">
        <v>838452</v>
      </c>
      <c r="E241" s="335">
        <v>45526</v>
      </c>
      <c r="F241" s="310">
        <v>139730</v>
      </c>
      <c r="G241" s="335">
        <f t="shared" si="34"/>
        <v>1023708</v>
      </c>
      <c r="H241" s="310">
        <f t="shared" si="35"/>
        <v>376167.64444444439</v>
      </c>
      <c r="I241" s="10">
        <f t="shared" si="36"/>
        <v>647540.35555555555</v>
      </c>
      <c r="J241" s="332">
        <f t="shared" si="31"/>
        <v>-464175.74427017535</v>
      </c>
      <c r="K241" s="15">
        <v>200520</v>
      </c>
      <c r="L241" s="10">
        <f t="shared" si="32"/>
        <v>47020.955555555549</v>
      </c>
      <c r="M241" s="15">
        <f>IF(K241&gt;L241,K241-L241,0)</f>
        <v>153499.04444444444</v>
      </c>
      <c r="N241" s="2">
        <f t="shared" si="33"/>
        <v>-110032.57571280097</v>
      </c>
      <c r="O241" s="138">
        <f>N241+J241</f>
        <v>-574208.3199829763</v>
      </c>
      <c r="P241" s="35">
        <f>O241/'D) Ecrêtage'!C241</f>
        <v>-12.211753529860651</v>
      </c>
      <c r="Q241" s="134"/>
    </row>
    <row r="242" spans="1:17" x14ac:dyDescent="0.25">
      <c r="A242" s="51">
        <f>+'A) Base RI'!A244</f>
        <v>5805</v>
      </c>
      <c r="B242" s="321" t="str">
        <f>+'A) Base RI'!B244</f>
        <v>Oron</v>
      </c>
      <c r="C242" s="335">
        <f>+'D) Ecrêtage'!M242</f>
        <v>148409.14060606057</v>
      </c>
      <c r="D242" s="310">
        <v>1501595</v>
      </c>
      <c r="E242" s="335">
        <v>397580</v>
      </c>
      <c r="F242" s="310">
        <v>657839</v>
      </c>
      <c r="G242" s="335">
        <f t="shared" si="34"/>
        <v>2557014</v>
      </c>
      <c r="H242" s="310">
        <f t="shared" si="35"/>
        <v>1187273.1248484845</v>
      </c>
      <c r="I242" s="10">
        <f t="shared" si="36"/>
        <v>1369740.8751515155</v>
      </c>
      <c r="J242" s="332">
        <f t="shared" si="31"/>
        <v>-981870.06373564573</v>
      </c>
      <c r="K242" s="15">
        <v>62829</v>
      </c>
      <c r="L242" s="10">
        <f t="shared" si="32"/>
        <v>148409.14060606057</v>
      </c>
      <c r="M242" s="15">
        <f>IF(K242&gt;L242,K242-L242,0)</f>
        <v>0</v>
      </c>
      <c r="N242" s="2">
        <f t="shared" si="33"/>
        <v>0</v>
      </c>
      <c r="O242" s="138">
        <f>N242+J242</f>
        <v>-981870.06373564573</v>
      </c>
      <c r="P242" s="35">
        <f>O242/'D) Ecrêtage'!C242</f>
        <v>-6.6159675861336344</v>
      </c>
      <c r="Q242" s="134"/>
    </row>
    <row r="243" spans="1:17" x14ac:dyDescent="0.25">
      <c r="A243" s="51">
        <f>+'A) Base RI'!A245</f>
        <v>5806</v>
      </c>
      <c r="B243" s="321" t="str">
        <f>+'A) Base RI'!B245</f>
        <v>Jorat-Mézières</v>
      </c>
      <c r="C243" s="335">
        <f>+'D) Ecrêtage'!M243</f>
        <v>86246.382763157875</v>
      </c>
      <c r="D243" s="310">
        <v>678848</v>
      </c>
      <c r="E243" s="335">
        <v>124379</v>
      </c>
      <c r="F243" s="310">
        <v>359024</v>
      </c>
      <c r="G243" s="335">
        <f t="shared" si="34"/>
        <v>1162251</v>
      </c>
      <c r="H243" s="310">
        <f t="shared" si="35"/>
        <v>689971.062105263</v>
      </c>
      <c r="I243" s="10">
        <f t="shared" si="36"/>
        <v>472279.937894737</v>
      </c>
      <c r="J243" s="332">
        <f t="shared" ref="J243" si="44">-I243*J$4</f>
        <v>-338543.98385422904</v>
      </c>
      <c r="K243" s="15">
        <v>38864</v>
      </c>
      <c r="L243" s="10">
        <f t="shared" ref="L243" si="45">C243*M$4</f>
        <v>86246.382763157875</v>
      </c>
      <c r="M243" s="15">
        <f>IF(K243&gt;L243,K243-L243,0)</f>
        <v>0</v>
      </c>
      <c r="N243" s="2">
        <f t="shared" ref="N243" si="46">-M243*N$4</f>
        <v>0</v>
      </c>
      <c r="O243" s="138">
        <f>N243+J243</f>
        <v>-338543.98385422904</v>
      </c>
      <c r="P243" s="35">
        <f>O243/'D) Ecrêtage'!C243</f>
        <v>-3.9253122624737591</v>
      </c>
      <c r="Q243" s="134"/>
    </row>
    <row r="244" spans="1:17" x14ac:dyDescent="0.25">
      <c r="A244" s="51">
        <f>+'A) Base RI'!A246</f>
        <v>5812</v>
      </c>
      <c r="B244" s="321" t="str">
        <f>+'A) Base RI'!B246</f>
        <v>Champtauroz</v>
      </c>
      <c r="C244" s="335">
        <f>+'D) Ecrêtage'!M244</f>
        <v>2413.8557792207789</v>
      </c>
      <c r="D244" s="310">
        <v>44956</v>
      </c>
      <c r="E244" s="335">
        <v>3947</v>
      </c>
      <c r="F244" s="310">
        <v>19512</v>
      </c>
      <c r="G244" s="335">
        <f t="shared" si="34"/>
        <v>68415</v>
      </c>
      <c r="H244" s="310">
        <f t="shared" si="35"/>
        <v>19310.846233766231</v>
      </c>
      <c r="I244" s="10">
        <f t="shared" si="36"/>
        <v>49104.153766233765</v>
      </c>
      <c r="J244" s="332">
        <f t="shared" si="31"/>
        <v>-35199.284377640884</v>
      </c>
      <c r="K244" s="15">
        <v>4950</v>
      </c>
      <c r="L244" s="10">
        <f t="shared" si="32"/>
        <v>2413.8557792207789</v>
      </c>
      <c r="M244" s="15">
        <f>IF(K244&gt;L244,K244-L244,0)</f>
        <v>2536.1442207792211</v>
      </c>
      <c r="N244" s="2">
        <f t="shared" si="33"/>
        <v>-1817.9818773560589</v>
      </c>
      <c r="O244" s="138">
        <f>N244+J244</f>
        <v>-37017.266254996946</v>
      </c>
      <c r="P244" s="35">
        <f>O244/'D) Ecrêtage'!C244</f>
        <v>-15.335326399221149</v>
      </c>
      <c r="Q244" s="134"/>
    </row>
    <row r="245" spans="1:17" x14ac:dyDescent="0.25">
      <c r="A245" s="51">
        <f>+'A) Base RI'!A247</f>
        <v>5813</v>
      </c>
      <c r="B245" s="321" t="str">
        <f>+'A) Base RI'!B247</f>
        <v>Chevroux</v>
      </c>
      <c r="C245" s="335">
        <f>+'D) Ecrêtage'!M245</f>
        <v>13303.445833333333</v>
      </c>
      <c r="D245" s="310">
        <v>80381</v>
      </c>
      <c r="E245" s="335">
        <v>20312</v>
      </c>
      <c r="F245" s="310">
        <v>28397</v>
      </c>
      <c r="G245" s="335">
        <f t="shared" si="34"/>
        <v>129090</v>
      </c>
      <c r="H245" s="310">
        <f t="shared" si="35"/>
        <v>106427.56666666667</v>
      </c>
      <c r="I245" s="10">
        <f t="shared" si="36"/>
        <v>22662.433333333334</v>
      </c>
      <c r="J245" s="332">
        <f t="shared" si="31"/>
        <v>-16245.090779628987</v>
      </c>
      <c r="K245" s="15">
        <v>7209</v>
      </c>
      <c r="L245" s="10">
        <f t="shared" si="32"/>
        <v>13303.445833333333</v>
      </c>
      <c r="M245" s="15">
        <f t="shared" si="42"/>
        <v>0</v>
      </c>
      <c r="N245" s="2">
        <f t="shared" si="33"/>
        <v>0</v>
      </c>
      <c r="O245" s="138">
        <f t="shared" si="43"/>
        <v>-16245.090779628987</v>
      </c>
      <c r="P245" s="35">
        <f>O245/'D) Ecrêtage'!C245</f>
        <v>-1.2211190230823521</v>
      </c>
      <c r="Q245" s="134"/>
    </row>
    <row r="246" spans="1:17" x14ac:dyDescent="0.25">
      <c r="A246" s="51">
        <f>+'A) Base RI'!A248</f>
        <v>5816</v>
      </c>
      <c r="B246" s="321" t="str">
        <f>+'A) Base RI'!B248</f>
        <v>Corcelles-près-Payerne</v>
      </c>
      <c r="C246" s="335">
        <f>+'D) Ecrêtage'!M246</f>
        <v>57954.816904761909</v>
      </c>
      <c r="D246" s="310">
        <v>501473</v>
      </c>
      <c r="E246" s="335">
        <v>181639</v>
      </c>
      <c r="F246" s="310">
        <v>181467</v>
      </c>
      <c r="G246" s="335">
        <f t="shared" si="34"/>
        <v>864579</v>
      </c>
      <c r="H246" s="310">
        <f t="shared" si="35"/>
        <v>463638.53523809527</v>
      </c>
      <c r="I246" s="10">
        <f t="shared" si="36"/>
        <v>400940.46476190473</v>
      </c>
      <c r="J246" s="332">
        <f t="shared" si="31"/>
        <v>-287405.77640017087</v>
      </c>
      <c r="K246" s="15">
        <v>31838</v>
      </c>
      <c r="L246" s="10">
        <f t="shared" si="32"/>
        <v>57954.816904761909</v>
      </c>
      <c r="M246" s="15">
        <f t="shared" si="42"/>
        <v>0</v>
      </c>
      <c r="N246" s="2">
        <f t="shared" si="33"/>
        <v>0</v>
      </c>
      <c r="O246" s="138">
        <f t="shared" si="43"/>
        <v>-287405.77640017087</v>
      </c>
      <c r="P246" s="35">
        <f>O246/'D) Ecrêtage'!C246</f>
        <v>-4.9591352669178379</v>
      </c>
      <c r="Q246" s="134"/>
    </row>
    <row r="247" spans="1:17" x14ac:dyDescent="0.25">
      <c r="A247" s="51">
        <f>+'A) Base RI'!A249</f>
        <v>5817</v>
      </c>
      <c r="B247" s="321" t="str">
        <f>+'A) Base RI'!B249</f>
        <v>Grandcour</v>
      </c>
      <c r="C247" s="335">
        <f>+'D) Ecrêtage'!M247</f>
        <v>22248.358742138364</v>
      </c>
      <c r="D247" s="310">
        <v>182127</v>
      </c>
      <c r="E247" s="335">
        <v>26870</v>
      </c>
      <c r="F247" s="310">
        <v>70335</v>
      </c>
      <c r="G247" s="335">
        <f t="shared" si="34"/>
        <v>279332</v>
      </c>
      <c r="H247" s="310">
        <f t="shared" si="35"/>
        <v>177986.86993710691</v>
      </c>
      <c r="I247" s="10">
        <f t="shared" si="36"/>
        <v>101345.13006289309</v>
      </c>
      <c r="J247" s="332">
        <f t="shared" si="31"/>
        <v>-72647.134300597536</v>
      </c>
      <c r="K247" s="15">
        <v>74216</v>
      </c>
      <c r="L247" s="10">
        <f t="shared" si="32"/>
        <v>22248.358742138364</v>
      </c>
      <c r="M247" s="15">
        <f t="shared" si="42"/>
        <v>51967.641257861636</v>
      </c>
      <c r="N247" s="2">
        <f t="shared" si="33"/>
        <v>-37251.915424078688</v>
      </c>
      <c r="O247" s="138">
        <f t="shared" si="43"/>
        <v>-109899.04972467622</v>
      </c>
      <c r="P247" s="35">
        <f>O247/'D) Ecrêtage'!C247</f>
        <v>-4.9396475038191268</v>
      </c>
      <c r="Q247" s="134"/>
    </row>
    <row r="248" spans="1:17" x14ac:dyDescent="0.25">
      <c r="A248" s="51">
        <f>+'A) Base RI'!A250</f>
        <v>5819</v>
      </c>
      <c r="B248" s="321" t="str">
        <f>+'A) Base RI'!B250</f>
        <v>Henniez</v>
      </c>
      <c r="C248" s="335">
        <f>+'D) Ecrêtage'!M248</f>
        <v>14874.063333333332</v>
      </c>
      <c r="D248" s="310">
        <v>105844</v>
      </c>
      <c r="E248" s="335">
        <v>20525</v>
      </c>
      <c r="F248" s="310">
        <v>56883</v>
      </c>
      <c r="G248" s="335">
        <f t="shared" si="34"/>
        <v>183252</v>
      </c>
      <c r="H248" s="310">
        <f t="shared" si="35"/>
        <v>118992.50666666665</v>
      </c>
      <c r="I248" s="10">
        <f t="shared" si="36"/>
        <v>64259.493333333347</v>
      </c>
      <c r="J248" s="332">
        <f t="shared" si="31"/>
        <v>-46063.072190819337</v>
      </c>
      <c r="K248" s="15">
        <v>1323</v>
      </c>
      <c r="L248" s="10">
        <f t="shared" si="32"/>
        <v>14874.063333333332</v>
      </c>
      <c r="M248" s="15">
        <f t="shared" si="42"/>
        <v>0</v>
      </c>
      <c r="N248" s="2">
        <f t="shared" si="33"/>
        <v>0</v>
      </c>
      <c r="O248" s="138">
        <f t="shared" si="43"/>
        <v>-46063.072190819337</v>
      </c>
      <c r="P248" s="35">
        <f>O248/'D) Ecrêtage'!C248</f>
        <v>-3.0968721295942228</v>
      </c>
      <c r="Q248" s="134"/>
    </row>
    <row r="249" spans="1:17" x14ac:dyDescent="0.25">
      <c r="A249" s="51">
        <f>+'A) Base RI'!A251</f>
        <v>5821</v>
      </c>
      <c r="B249" s="321" t="str">
        <f>+'A) Base RI'!B251</f>
        <v>Missy</v>
      </c>
      <c r="C249" s="335">
        <f>+'D) Ecrêtage'!M249</f>
        <v>7639.0673611111124</v>
      </c>
      <c r="D249" s="310">
        <v>54775</v>
      </c>
      <c r="E249" s="335">
        <v>10961</v>
      </c>
      <c r="F249" s="310">
        <v>19084</v>
      </c>
      <c r="G249" s="335">
        <f t="shared" si="34"/>
        <v>84820</v>
      </c>
      <c r="H249" s="310">
        <f t="shared" si="35"/>
        <v>61112.538888888899</v>
      </c>
      <c r="I249" s="10">
        <f t="shared" si="36"/>
        <v>23707.461111111101</v>
      </c>
      <c r="J249" s="332">
        <f t="shared" si="31"/>
        <v>-16994.197059062077</v>
      </c>
      <c r="K249" s="15">
        <v>0</v>
      </c>
      <c r="L249" s="10">
        <f t="shared" si="32"/>
        <v>7639.0673611111124</v>
      </c>
      <c r="M249" s="15">
        <f t="shared" si="42"/>
        <v>0</v>
      </c>
      <c r="N249" s="2">
        <f t="shared" si="33"/>
        <v>0</v>
      </c>
      <c r="O249" s="138">
        <f t="shared" si="43"/>
        <v>-16994.197059062077</v>
      </c>
      <c r="P249" s="35">
        <f>O249/'D) Ecrêtage'!C249</f>
        <v>-2.2246429119837279</v>
      </c>
      <c r="Q249" s="134"/>
    </row>
    <row r="250" spans="1:17" x14ac:dyDescent="0.25">
      <c r="A250" s="51">
        <f>+'A) Base RI'!A252</f>
        <v>5822</v>
      </c>
      <c r="B250" s="321" t="str">
        <f>+'A) Base RI'!B252</f>
        <v>Payerne</v>
      </c>
      <c r="C250" s="335">
        <f>+'D) Ecrêtage'!M250</f>
        <v>246397.68826666669</v>
      </c>
      <c r="D250" s="310">
        <v>2318876</v>
      </c>
      <c r="E250" s="335">
        <v>705986</v>
      </c>
      <c r="F250" s="310">
        <v>678725</v>
      </c>
      <c r="G250" s="335">
        <f t="shared" si="34"/>
        <v>3703587</v>
      </c>
      <c r="H250" s="310">
        <f t="shared" si="35"/>
        <v>1971181.5061333335</v>
      </c>
      <c r="I250" s="10">
        <f t="shared" si="36"/>
        <v>1732405.4938666665</v>
      </c>
      <c r="J250" s="332">
        <f t="shared" si="31"/>
        <v>-1241838.6014002019</v>
      </c>
      <c r="K250" s="15">
        <v>110695</v>
      </c>
      <c r="L250" s="10">
        <f t="shared" si="32"/>
        <v>246397.68826666669</v>
      </c>
      <c r="M250" s="15">
        <f t="shared" si="42"/>
        <v>0</v>
      </c>
      <c r="N250" s="2">
        <f t="shared" si="33"/>
        <v>0</v>
      </c>
      <c r="O250" s="138">
        <f t="shared" si="43"/>
        <v>-1241838.6014002019</v>
      </c>
      <c r="P250" s="35">
        <f>O250/'D) Ecrêtage'!C250</f>
        <v>-5.0399766740352208</v>
      </c>
      <c r="Q250" s="134"/>
    </row>
    <row r="251" spans="1:17" x14ac:dyDescent="0.25">
      <c r="A251" s="51">
        <f>+'A) Base RI'!A253</f>
        <v>5827</v>
      </c>
      <c r="B251" s="321" t="str">
        <f>+'A) Base RI'!B253</f>
        <v>Trey</v>
      </c>
      <c r="C251" s="335">
        <f>+'D) Ecrêtage'!M251</f>
        <v>6752.2672499999999</v>
      </c>
      <c r="D251" s="310">
        <v>82820</v>
      </c>
      <c r="E251" s="335">
        <v>7894</v>
      </c>
      <c r="F251" s="310">
        <v>25919</v>
      </c>
      <c r="G251" s="335">
        <f t="shared" si="34"/>
        <v>116633</v>
      </c>
      <c r="H251" s="310">
        <f t="shared" si="35"/>
        <v>54018.137999999999</v>
      </c>
      <c r="I251" s="10">
        <f t="shared" si="36"/>
        <v>62614.862000000001</v>
      </c>
      <c r="J251" s="332">
        <f t="shared" si="31"/>
        <v>-44884.152658390965</v>
      </c>
      <c r="K251" s="15">
        <v>16390</v>
      </c>
      <c r="L251" s="10">
        <f t="shared" si="32"/>
        <v>6752.2672499999999</v>
      </c>
      <c r="M251" s="15">
        <f t="shared" si="42"/>
        <v>9637.7327499999992</v>
      </c>
      <c r="N251" s="2">
        <f t="shared" si="33"/>
        <v>-6908.6069060053851</v>
      </c>
      <c r="O251" s="138">
        <f t="shared" si="43"/>
        <v>-51792.75956439635</v>
      </c>
      <c r="P251" s="35">
        <f>O251/'D) Ecrêtage'!C251</f>
        <v>-7.6704250064148978</v>
      </c>
      <c r="Q251" s="134"/>
    </row>
    <row r="252" spans="1:17" x14ac:dyDescent="0.25">
      <c r="A252" s="51">
        <f>+'A) Base RI'!A254</f>
        <v>5828</v>
      </c>
      <c r="B252" s="321" t="str">
        <f>+'A) Base RI'!B254</f>
        <v>Treytorrens (Payerne)</v>
      </c>
      <c r="C252" s="335">
        <f>+'D) Ecrêtage'!M252</f>
        <v>2280.7091269841271</v>
      </c>
      <c r="D252" s="310">
        <v>60229</v>
      </c>
      <c r="E252" s="335">
        <v>3977</v>
      </c>
      <c r="F252" s="310">
        <v>20473</v>
      </c>
      <c r="G252" s="335">
        <f t="shared" si="34"/>
        <v>84679</v>
      </c>
      <c r="H252" s="310">
        <f t="shared" si="35"/>
        <v>18245.673015873017</v>
      </c>
      <c r="I252" s="10">
        <f t="shared" si="36"/>
        <v>66433.326984126979</v>
      </c>
      <c r="J252" s="332">
        <f t="shared" si="31"/>
        <v>-47621.339322928783</v>
      </c>
      <c r="K252" s="15">
        <v>9650</v>
      </c>
      <c r="L252" s="10">
        <f t="shared" si="32"/>
        <v>2280.7091269841271</v>
      </c>
      <c r="M252" s="15">
        <f t="shared" si="42"/>
        <v>7369.2908730158724</v>
      </c>
      <c r="N252" s="2">
        <f t="shared" si="33"/>
        <v>-5282.5218480643089</v>
      </c>
      <c r="O252" s="138">
        <f t="shared" si="43"/>
        <v>-52903.861170993092</v>
      </c>
      <c r="P252" s="35">
        <f>O252/'D) Ecrêtage'!C252</f>
        <v>-23.196233375428275</v>
      </c>
      <c r="Q252" s="134"/>
    </row>
    <row r="253" spans="1:17" x14ac:dyDescent="0.25">
      <c r="A253" s="51">
        <f>+'A) Base RI'!A255</f>
        <v>5830</v>
      </c>
      <c r="B253" s="321" t="str">
        <f>+'A) Base RI'!B255</f>
        <v>Villarzel</v>
      </c>
      <c r="C253" s="335">
        <f>+'D) Ecrêtage'!M253</f>
        <v>10522.833037974684</v>
      </c>
      <c r="D253" s="310">
        <v>153562</v>
      </c>
      <c r="E253" s="335">
        <v>12873</v>
      </c>
      <c r="F253" s="310">
        <v>74522</v>
      </c>
      <c r="G253" s="335">
        <f t="shared" si="34"/>
        <v>240957</v>
      </c>
      <c r="H253" s="310">
        <f t="shared" si="35"/>
        <v>84182.664303797472</v>
      </c>
      <c r="I253" s="10">
        <f t="shared" si="36"/>
        <v>156774.33569620253</v>
      </c>
      <c r="J253" s="332">
        <f t="shared" si="31"/>
        <v>-112380.39966144437</v>
      </c>
      <c r="K253" s="15">
        <v>4225</v>
      </c>
      <c r="L253" s="10">
        <f t="shared" si="32"/>
        <v>10522.833037974684</v>
      </c>
      <c r="M253" s="15">
        <f t="shared" si="42"/>
        <v>0</v>
      </c>
      <c r="N253" s="2">
        <f t="shared" si="33"/>
        <v>0</v>
      </c>
      <c r="O253" s="138">
        <f t="shared" si="43"/>
        <v>-112380.39966144437</v>
      </c>
      <c r="P253" s="35">
        <f>O253/'D) Ecrêtage'!C253</f>
        <v>-10.679671458806505</v>
      </c>
      <c r="Q253" s="134"/>
    </row>
    <row r="254" spans="1:17" x14ac:dyDescent="0.25">
      <c r="A254" s="51">
        <f>+'A) Base RI'!A256</f>
        <v>5831</v>
      </c>
      <c r="B254" s="321" t="str">
        <f>+'A) Base RI'!B256</f>
        <v>Valbroye</v>
      </c>
      <c r="C254" s="335">
        <f>+'D) Ecrêtage'!M254</f>
        <v>82821.588904109609</v>
      </c>
      <c r="D254" s="310">
        <v>920839</v>
      </c>
      <c r="E254" s="335">
        <v>180592</v>
      </c>
      <c r="F254" s="310">
        <v>493153</v>
      </c>
      <c r="G254" s="335">
        <f t="shared" si="34"/>
        <v>1594584</v>
      </c>
      <c r="H254" s="310">
        <f t="shared" si="35"/>
        <v>662572.71123287687</v>
      </c>
      <c r="I254" s="10">
        <f t="shared" si="36"/>
        <v>932011.28876712313</v>
      </c>
      <c r="J254" s="332">
        <f t="shared" ref="J254:J313" si="47">-I254*J$4</f>
        <v>-668092.77587112237</v>
      </c>
      <c r="K254" s="15">
        <v>84480</v>
      </c>
      <c r="L254" s="10">
        <f t="shared" ref="L254:L313" si="48">C254*M$4</f>
        <v>82821.588904109609</v>
      </c>
      <c r="M254" s="15">
        <f>IF(K254&gt;L254,K254-L254,0)</f>
        <v>1658.4110958903912</v>
      </c>
      <c r="N254" s="2">
        <f t="shared" ref="N254:N313" si="49">-M254*N$4</f>
        <v>-1188.7972666667185</v>
      </c>
      <c r="O254" s="138">
        <f>N254+J254</f>
        <v>-669281.57313778903</v>
      </c>
      <c r="P254" s="35">
        <f>O254/'D) Ecrêtage'!C254</f>
        <v>-8.0810037816671159</v>
      </c>
      <c r="Q254" s="134"/>
    </row>
    <row r="255" spans="1:17" x14ac:dyDescent="0.25">
      <c r="A255" s="51">
        <f>+'A) Base RI'!A257</f>
        <v>5841</v>
      </c>
      <c r="B255" s="321" t="str">
        <f>+'A) Base RI'!B257</f>
        <v>Château-d'Oex</v>
      </c>
      <c r="C255" s="335">
        <f>+'D) Ecrêtage'!M255</f>
        <v>112619.72</v>
      </c>
      <c r="D255" s="310">
        <v>3254695</v>
      </c>
      <c r="E255" s="335">
        <v>247969</v>
      </c>
      <c r="F255" s="310">
        <v>407495</v>
      </c>
      <c r="G255" s="335">
        <f t="shared" si="34"/>
        <v>3910159</v>
      </c>
      <c r="H255" s="310">
        <f t="shared" si="35"/>
        <v>900957.76</v>
      </c>
      <c r="I255" s="10">
        <f t="shared" si="36"/>
        <v>3009201.24</v>
      </c>
      <c r="J255" s="332">
        <f t="shared" si="47"/>
        <v>-2157082.8956866409</v>
      </c>
      <c r="K255" s="15">
        <v>50085</v>
      </c>
      <c r="L255" s="10">
        <f t="shared" si="48"/>
        <v>112619.72</v>
      </c>
      <c r="M255" s="15">
        <f>IF(K255&gt;L255,K255-L255,0)</f>
        <v>0</v>
      </c>
      <c r="N255" s="2">
        <f t="shared" si="49"/>
        <v>0</v>
      </c>
      <c r="O255" s="138">
        <f>N255+J255</f>
        <v>-2157082.8956866409</v>
      </c>
      <c r="P255" s="35">
        <f>O255/'D) Ecrêtage'!C255</f>
        <v>-19.153687255541399</v>
      </c>
      <c r="Q255" s="134"/>
    </row>
    <row r="256" spans="1:17" x14ac:dyDescent="0.25">
      <c r="A256" s="51">
        <f>+'A) Base RI'!A258</f>
        <v>5842</v>
      </c>
      <c r="B256" s="321" t="str">
        <f>+'A) Base RI'!B258</f>
        <v>Rossinière</v>
      </c>
      <c r="C256" s="335">
        <f>+'D) Ecrêtage'!M256</f>
        <v>12532.166460905351</v>
      </c>
      <c r="D256" s="310">
        <v>413732</v>
      </c>
      <c r="E256" s="335">
        <v>38939</v>
      </c>
      <c r="F256" s="310">
        <v>70000</v>
      </c>
      <c r="G256" s="335">
        <f t="shared" si="34"/>
        <v>522671</v>
      </c>
      <c r="H256" s="310">
        <f t="shared" si="35"/>
        <v>100257.33168724281</v>
      </c>
      <c r="I256" s="10">
        <f t="shared" si="36"/>
        <v>422413.66831275716</v>
      </c>
      <c r="J256" s="332">
        <f t="shared" si="47"/>
        <v>-302798.39271291083</v>
      </c>
      <c r="K256" s="15">
        <v>539</v>
      </c>
      <c r="L256" s="10">
        <f t="shared" si="48"/>
        <v>12532.166460905351</v>
      </c>
      <c r="M256" s="15">
        <f t="shared" si="42"/>
        <v>0</v>
      </c>
      <c r="N256" s="2">
        <f t="shared" si="49"/>
        <v>0</v>
      </c>
      <c r="O256" s="138">
        <f t="shared" si="43"/>
        <v>-302798.39271291083</v>
      </c>
      <c r="P256" s="35">
        <f>O256/'D) Ecrêtage'!C256</f>
        <v>-24.161695717775839</v>
      </c>
      <c r="Q256" s="134"/>
    </row>
    <row r="257" spans="1:17" x14ac:dyDescent="0.25">
      <c r="A257" s="51">
        <f>+'A) Base RI'!A259</f>
        <v>5843</v>
      </c>
      <c r="B257" s="321" t="str">
        <f>+'A) Base RI'!B259</f>
        <v>Rougemont</v>
      </c>
      <c r="C257" s="335">
        <f>+'D) Ecrêtage'!M257</f>
        <v>76653.566465504657</v>
      </c>
      <c r="D257" s="310">
        <v>1699286</v>
      </c>
      <c r="E257" s="335">
        <v>63614</v>
      </c>
      <c r="F257" s="310">
        <v>89120</v>
      </c>
      <c r="G257" s="335">
        <f t="shared" si="34"/>
        <v>1852020</v>
      </c>
      <c r="H257" s="310">
        <f t="shared" si="35"/>
        <v>613228.53172403725</v>
      </c>
      <c r="I257" s="10">
        <f t="shared" si="36"/>
        <v>1238791.4682759629</v>
      </c>
      <c r="J257" s="332">
        <f t="shared" si="47"/>
        <v>-888001.72352069721</v>
      </c>
      <c r="K257" s="15">
        <v>0</v>
      </c>
      <c r="L257" s="10">
        <f t="shared" si="48"/>
        <v>76653.566465504657</v>
      </c>
      <c r="M257" s="15">
        <f t="shared" si="42"/>
        <v>0</v>
      </c>
      <c r="N257" s="2">
        <f t="shared" si="49"/>
        <v>0</v>
      </c>
      <c r="O257" s="138">
        <f t="shared" si="43"/>
        <v>-888001.72352069721</v>
      </c>
      <c r="P257" s="35">
        <f>O257/'D) Ecrêtage'!C257</f>
        <v>-10.102562322970909</v>
      </c>
      <c r="Q257" s="134"/>
    </row>
    <row r="258" spans="1:17" x14ac:dyDescent="0.25">
      <c r="A258" s="51">
        <f>+'A) Base RI'!A260</f>
        <v>5851</v>
      </c>
      <c r="B258" s="321" t="str">
        <f>+'A) Base RI'!B260</f>
        <v>Allaman</v>
      </c>
      <c r="C258" s="335">
        <f>+'D) Ecrêtage'!M258</f>
        <v>27674.221391195879</v>
      </c>
      <c r="D258" s="310">
        <v>122971</v>
      </c>
      <c r="E258" s="335">
        <v>25860</v>
      </c>
      <c r="F258" s="310">
        <v>47903</v>
      </c>
      <c r="G258" s="335">
        <f t="shared" si="34"/>
        <v>196734</v>
      </c>
      <c r="H258" s="310">
        <f t="shared" si="35"/>
        <v>221393.77112956703</v>
      </c>
      <c r="I258" s="10">
        <f t="shared" si="36"/>
        <v>0</v>
      </c>
      <c r="J258" s="332">
        <f t="shared" si="47"/>
        <v>0</v>
      </c>
      <c r="K258" s="15">
        <v>464</v>
      </c>
      <c r="L258" s="10">
        <f t="shared" si="48"/>
        <v>27674.221391195879</v>
      </c>
      <c r="M258" s="15">
        <f t="shared" si="42"/>
        <v>0</v>
      </c>
      <c r="N258" s="2">
        <f t="shared" si="49"/>
        <v>0</v>
      </c>
      <c r="O258" s="138">
        <f t="shared" si="43"/>
        <v>0</v>
      </c>
      <c r="P258" s="35">
        <f>O258/'D) Ecrêtage'!C258</f>
        <v>0</v>
      </c>
      <c r="Q258" s="134"/>
    </row>
    <row r="259" spans="1:17" x14ac:dyDescent="0.25">
      <c r="A259" s="51">
        <f>+'A) Base RI'!A261</f>
        <v>5852</v>
      </c>
      <c r="B259" s="321" t="str">
        <f>+'A) Base RI'!B261</f>
        <v>Bursinel</v>
      </c>
      <c r="C259" s="335">
        <f>+'D) Ecrêtage'!M259</f>
        <v>35727.740437901746</v>
      </c>
      <c r="D259" s="310">
        <v>222410</v>
      </c>
      <c r="E259" s="335">
        <v>11613</v>
      </c>
      <c r="F259" s="310">
        <v>38177</v>
      </c>
      <c r="G259" s="335">
        <f t="shared" si="34"/>
        <v>272200</v>
      </c>
      <c r="H259" s="310">
        <f t="shared" si="35"/>
        <v>285821.92350321397</v>
      </c>
      <c r="I259" s="10">
        <f t="shared" si="36"/>
        <v>0</v>
      </c>
      <c r="J259" s="332">
        <f t="shared" si="47"/>
        <v>0</v>
      </c>
      <c r="K259" s="15">
        <v>1502</v>
      </c>
      <c r="L259" s="10">
        <f t="shared" si="48"/>
        <v>35727.740437901746</v>
      </c>
      <c r="M259" s="15">
        <f t="shared" si="42"/>
        <v>0</v>
      </c>
      <c r="N259" s="2">
        <f t="shared" si="49"/>
        <v>0</v>
      </c>
      <c r="O259" s="138">
        <f t="shared" si="43"/>
        <v>0</v>
      </c>
      <c r="P259" s="35">
        <f>O259/'D) Ecrêtage'!C259</f>
        <v>0</v>
      </c>
      <c r="Q259" s="134"/>
    </row>
    <row r="260" spans="1:17" x14ac:dyDescent="0.25">
      <c r="A260" s="51">
        <f>+'A) Base RI'!A262</f>
        <v>5853</v>
      </c>
      <c r="B260" s="321" t="str">
        <f>+'A) Base RI'!B262</f>
        <v>Bursins</v>
      </c>
      <c r="C260" s="335">
        <f>+'D) Ecrêtage'!M260</f>
        <v>36130.042112676056</v>
      </c>
      <c r="D260" s="310">
        <v>194548</v>
      </c>
      <c r="E260" s="335">
        <v>45994</v>
      </c>
      <c r="F260" s="310">
        <v>58318</v>
      </c>
      <c r="G260" s="335">
        <f t="shared" si="34"/>
        <v>298860</v>
      </c>
      <c r="H260" s="310">
        <f t="shared" si="35"/>
        <v>289040.33690140845</v>
      </c>
      <c r="I260" s="10">
        <f t="shared" si="36"/>
        <v>9819.6630985915544</v>
      </c>
      <c r="J260" s="332">
        <f t="shared" si="47"/>
        <v>-7039.0198667394934</v>
      </c>
      <c r="K260" s="15">
        <v>15746</v>
      </c>
      <c r="L260" s="10">
        <f t="shared" si="48"/>
        <v>36130.042112676056</v>
      </c>
      <c r="M260" s="15">
        <f t="shared" si="42"/>
        <v>0</v>
      </c>
      <c r="N260" s="2">
        <f t="shared" si="49"/>
        <v>0</v>
      </c>
      <c r="O260" s="138">
        <f t="shared" si="43"/>
        <v>-7039.0198667394934</v>
      </c>
      <c r="P260" s="35">
        <f>O260/'D) Ecrêtage'!C260</f>
        <v>-0.19482456856229033</v>
      </c>
      <c r="Q260" s="134"/>
    </row>
    <row r="261" spans="1:17" x14ac:dyDescent="0.25">
      <c r="A261" s="51">
        <f>+'A) Base RI'!A263</f>
        <v>5854</v>
      </c>
      <c r="B261" s="321" t="str">
        <f>+'A) Base RI'!B263</f>
        <v>Burtigny</v>
      </c>
      <c r="C261" s="335">
        <f>+'D) Ecrêtage'!M261</f>
        <v>10180.844041666667</v>
      </c>
      <c r="D261" s="310">
        <v>92172</v>
      </c>
      <c r="E261" s="335">
        <v>11860</v>
      </c>
      <c r="F261" s="310">
        <v>40440</v>
      </c>
      <c r="G261" s="335">
        <f t="shared" si="34"/>
        <v>144472</v>
      </c>
      <c r="H261" s="310">
        <f t="shared" si="35"/>
        <v>81446.752333333337</v>
      </c>
      <c r="I261" s="10">
        <f t="shared" si="36"/>
        <v>63025.247666666663</v>
      </c>
      <c r="J261" s="332">
        <f t="shared" si="47"/>
        <v>-45178.329029992361</v>
      </c>
      <c r="K261" s="15">
        <v>-19586</v>
      </c>
      <c r="L261" s="10">
        <f t="shared" si="48"/>
        <v>10180.844041666667</v>
      </c>
      <c r="M261" s="15">
        <f t="shared" si="42"/>
        <v>0</v>
      </c>
      <c r="N261" s="2">
        <f t="shared" si="49"/>
        <v>0</v>
      </c>
      <c r="O261" s="138">
        <f t="shared" si="43"/>
        <v>-45178.329029992361</v>
      </c>
      <c r="P261" s="35">
        <f>O261/'D) Ecrêtage'!C261</f>
        <v>-4.4375818787806898</v>
      </c>
      <c r="Q261" s="134"/>
    </row>
    <row r="262" spans="1:17" x14ac:dyDescent="0.25">
      <c r="A262" s="51">
        <f>+'A) Base RI'!A264</f>
        <v>5855</v>
      </c>
      <c r="B262" s="321" t="str">
        <f>+'A) Base RI'!B264</f>
        <v>Dully</v>
      </c>
      <c r="C262" s="335">
        <f>+'D) Ecrêtage'!M262</f>
        <v>64936.025638405044</v>
      </c>
      <c r="D262" s="310">
        <v>173566</v>
      </c>
      <c r="E262" s="335">
        <v>27483</v>
      </c>
      <c r="F262" s="310">
        <v>43698</v>
      </c>
      <c r="G262" s="335">
        <f t="shared" ref="G262:G313" si="50">SUM(D262:F262)</f>
        <v>244747</v>
      </c>
      <c r="H262" s="310">
        <f t="shared" ref="H262:H313" si="51">+C262*$I$4</f>
        <v>519488.20510724036</v>
      </c>
      <c r="I262" s="10">
        <f t="shared" ref="I262:I313" si="52">IF(G262&gt;H262,G262-H262,0)</f>
        <v>0</v>
      </c>
      <c r="J262" s="332">
        <f t="shared" si="47"/>
        <v>0</v>
      </c>
      <c r="K262" s="15">
        <v>1531</v>
      </c>
      <c r="L262" s="10">
        <f t="shared" si="48"/>
        <v>64936.025638405044</v>
      </c>
      <c r="M262" s="15">
        <f t="shared" si="42"/>
        <v>0</v>
      </c>
      <c r="N262" s="2">
        <f t="shared" si="49"/>
        <v>0</v>
      </c>
      <c r="O262" s="138">
        <f t="shared" si="43"/>
        <v>0</v>
      </c>
      <c r="P262" s="35">
        <f>O262/'D) Ecrêtage'!C262</f>
        <v>0</v>
      </c>
      <c r="Q262" s="134"/>
    </row>
    <row r="263" spans="1:17" x14ac:dyDescent="0.25">
      <c r="A263" s="51">
        <f>+'A) Base RI'!A265</f>
        <v>5856</v>
      </c>
      <c r="B263" s="321" t="str">
        <f>+'A) Base RI'!B265</f>
        <v>Essertines-sur-Rolle</v>
      </c>
      <c r="C263" s="335">
        <f>+'D) Ecrêtage'!M263</f>
        <v>34355.55787330318</v>
      </c>
      <c r="D263" s="310">
        <v>217608</v>
      </c>
      <c r="E263" s="335">
        <v>16641</v>
      </c>
      <c r="F263" s="310">
        <v>54144</v>
      </c>
      <c r="G263" s="335">
        <f t="shared" si="50"/>
        <v>288393</v>
      </c>
      <c r="H263" s="310">
        <f t="shared" si="51"/>
        <v>274844.46298642544</v>
      </c>
      <c r="I263" s="10">
        <f t="shared" si="52"/>
        <v>13548.537013574562</v>
      </c>
      <c r="J263" s="332">
        <f t="shared" si="47"/>
        <v>-9711.9850494143229</v>
      </c>
      <c r="K263" s="15">
        <v>-13511</v>
      </c>
      <c r="L263" s="10">
        <f t="shared" si="48"/>
        <v>34355.55787330318</v>
      </c>
      <c r="M263" s="15">
        <f t="shared" si="42"/>
        <v>0</v>
      </c>
      <c r="N263" s="2">
        <f t="shared" si="49"/>
        <v>0</v>
      </c>
      <c r="O263" s="138">
        <f t="shared" si="43"/>
        <v>-9711.9850494143229</v>
      </c>
      <c r="P263" s="35">
        <f>O263/'D) Ecrêtage'!C263</f>
        <v>-0.28269036076288712</v>
      </c>
      <c r="Q263" s="134"/>
    </row>
    <row r="264" spans="1:17" x14ac:dyDescent="0.25">
      <c r="A264" s="51">
        <f>+'A) Base RI'!A266</f>
        <v>5857</v>
      </c>
      <c r="B264" s="321" t="str">
        <f>+'A) Base RI'!B266</f>
        <v>Gilly</v>
      </c>
      <c r="C264" s="335">
        <f>+'D) Ecrêtage'!M264</f>
        <v>75717.72720559244</v>
      </c>
      <c r="D264" s="310">
        <v>160917</v>
      </c>
      <c r="E264" s="335">
        <v>41054</v>
      </c>
      <c r="F264" s="310">
        <v>92134</v>
      </c>
      <c r="G264" s="335">
        <f t="shared" si="50"/>
        <v>294105</v>
      </c>
      <c r="H264" s="310">
        <f t="shared" si="51"/>
        <v>605741.81764473952</v>
      </c>
      <c r="I264" s="10">
        <f t="shared" si="52"/>
        <v>0</v>
      </c>
      <c r="J264" s="332">
        <f t="shared" si="47"/>
        <v>0</v>
      </c>
      <c r="K264" s="15">
        <v>-48711</v>
      </c>
      <c r="L264" s="10">
        <f t="shared" si="48"/>
        <v>75717.72720559244</v>
      </c>
      <c r="M264" s="15">
        <f t="shared" si="42"/>
        <v>0</v>
      </c>
      <c r="N264" s="2">
        <f t="shared" si="49"/>
        <v>0</v>
      </c>
      <c r="O264" s="138">
        <f t="shared" si="43"/>
        <v>0</v>
      </c>
      <c r="P264" s="35">
        <f>O264/'D) Ecrêtage'!C264</f>
        <v>0</v>
      </c>
      <c r="Q264" s="134"/>
    </row>
    <row r="265" spans="1:17" x14ac:dyDescent="0.25">
      <c r="A265" s="51">
        <f>+'A) Base RI'!A267</f>
        <v>5858</v>
      </c>
      <c r="B265" s="321" t="str">
        <f>+'A) Base RI'!B267</f>
        <v>Luins</v>
      </c>
      <c r="C265" s="335">
        <f>+'D) Ecrêtage'!M265</f>
        <v>34125.208220571811</v>
      </c>
      <c r="D265" s="310">
        <v>45048</v>
      </c>
      <c r="E265" s="335">
        <v>30408</v>
      </c>
      <c r="F265" s="310">
        <v>47650</v>
      </c>
      <c r="G265" s="335">
        <f t="shared" si="50"/>
        <v>123106</v>
      </c>
      <c r="H265" s="310">
        <f t="shared" si="51"/>
        <v>273001.66576457449</v>
      </c>
      <c r="I265" s="10">
        <f t="shared" si="52"/>
        <v>0</v>
      </c>
      <c r="J265" s="332">
        <f t="shared" si="47"/>
        <v>0</v>
      </c>
      <c r="K265" s="15">
        <v>2900</v>
      </c>
      <c r="L265" s="10">
        <f t="shared" si="48"/>
        <v>34125.208220571811</v>
      </c>
      <c r="M265" s="15">
        <f t="shared" ref="M265:M313" si="53">IF(K265&gt;L265,K265-L265,0)</f>
        <v>0</v>
      </c>
      <c r="N265" s="2">
        <f t="shared" si="49"/>
        <v>0</v>
      </c>
      <c r="O265" s="138">
        <f t="shared" ref="O265:O313" si="54">N265+J265</f>
        <v>0</v>
      </c>
      <c r="P265" s="35">
        <f>O265/'D) Ecrêtage'!C265</f>
        <v>0</v>
      </c>
      <c r="Q265" s="134"/>
    </row>
    <row r="266" spans="1:17" x14ac:dyDescent="0.25">
      <c r="A266" s="51">
        <f>+'A) Base RI'!A268</f>
        <v>5859</v>
      </c>
      <c r="B266" s="321" t="str">
        <f>+'A) Base RI'!B268</f>
        <v>Mont-sur-Rolle</v>
      </c>
      <c r="C266" s="335">
        <f>+'D) Ecrêtage'!M266</f>
        <v>136889.24374999999</v>
      </c>
      <c r="D266" s="310">
        <v>399564</v>
      </c>
      <c r="E266" s="335">
        <v>127382</v>
      </c>
      <c r="F266" s="310">
        <v>216542</v>
      </c>
      <c r="G266" s="335">
        <f t="shared" si="50"/>
        <v>743488</v>
      </c>
      <c r="H266" s="310">
        <f t="shared" si="51"/>
        <v>1095113.95</v>
      </c>
      <c r="I266" s="10">
        <f t="shared" si="52"/>
        <v>0</v>
      </c>
      <c r="J266" s="332">
        <f t="shared" si="47"/>
        <v>0</v>
      </c>
      <c r="K266" s="15">
        <v>16439</v>
      </c>
      <c r="L266" s="10">
        <f t="shared" si="48"/>
        <v>136889.24374999999</v>
      </c>
      <c r="M266" s="15">
        <f t="shared" si="53"/>
        <v>0</v>
      </c>
      <c r="N266" s="2">
        <f t="shared" si="49"/>
        <v>0</v>
      </c>
      <c r="O266" s="138">
        <f t="shared" si="54"/>
        <v>0</v>
      </c>
      <c r="P266" s="35">
        <f>O266/'D) Ecrêtage'!C266</f>
        <v>0</v>
      </c>
      <c r="Q266" s="134"/>
    </row>
    <row r="267" spans="1:17" x14ac:dyDescent="0.25">
      <c r="A267" s="51">
        <f>+'A) Base RI'!A269</f>
        <v>5860</v>
      </c>
      <c r="B267" s="321" t="str">
        <f>+'A) Base RI'!B269</f>
        <v>Perroy</v>
      </c>
      <c r="C267" s="335">
        <f>+'D) Ecrêtage'!M267</f>
        <v>86978.06496820855</v>
      </c>
      <c r="D267" s="310">
        <v>105064</v>
      </c>
      <c r="E267" s="335">
        <v>52186</v>
      </c>
      <c r="F267" s="310">
        <v>124014</v>
      </c>
      <c r="G267" s="335">
        <f t="shared" si="50"/>
        <v>281264</v>
      </c>
      <c r="H267" s="310">
        <f t="shared" si="51"/>
        <v>695824.5197456684</v>
      </c>
      <c r="I267" s="10">
        <f t="shared" si="52"/>
        <v>0</v>
      </c>
      <c r="J267" s="332">
        <f t="shared" si="47"/>
        <v>0</v>
      </c>
      <c r="K267" s="15">
        <v>4683</v>
      </c>
      <c r="L267" s="10">
        <f t="shared" si="48"/>
        <v>86978.06496820855</v>
      </c>
      <c r="M267" s="15">
        <f t="shared" si="53"/>
        <v>0</v>
      </c>
      <c r="N267" s="2">
        <f t="shared" si="49"/>
        <v>0</v>
      </c>
      <c r="O267" s="138">
        <f t="shared" si="54"/>
        <v>0</v>
      </c>
      <c r="P267" s="35">
        <f>O267/'D) Ecrêtage'!C267</f>
        <v>0</v>
      </c>
      <c r="Q267" s="134"/>
    </row>
    <row r="268" spans="1:17" x14ac:dyDescent="0.25">
      <c r="A268" s="51">
        <f>+'A) Base RI'!A270</f>
        <v>5861</v>
      </c>
      <c r="B268" s="321" t="str">
        <f>+'A) Base RI'!B270</f>
        <v>Rolle</v>
      </c>
      <c r="C268" s="335">
        <f>+'D) Ecrêtage'!M268</f>
        <v>670582.11002585792</v>
      </c>
      <c r="D268" s="310">
        <v>2551064</v>
      </c>
      <c r="E268" s="335">
        <v>609544</v>
      </c>
      <c r="F268" s="310">
        <v>491162</v>
      </c>
      <c r="G268" s="335">
        <f t="shared" si="50"/>
        <v>3651770</v>
      </c>
      <c r="H268" s="310">
        <f t="shared" si="51"/>
        <v>5364656.8802068634</v>
      </c>
      <c r="I268" s="10">
        <f t="shared" si="52"/>
        <v>0</v>
      </c>
      <c r="J268" s="332">
        <f t="shared" si="47"/>
        <v>0</v>
      </c>
      <c r="K268" s="15">
        <v>21883</v>
      </c>
      <c r="L268" s="10">
        <f t="shared" si="48"/>
        <v>670582.11002585792</v>
      </c>
      <c r="M268" s="15">
        <f t="shared" si="53"/>
        <v>0</v>
      </c>
      <c r="N268" s="2">
        <f t="shared" si="49"/>
        <v>0</v>
      </c>
      <c r="O268" s="138">
        <f t="shared" si="54"/>
        <v>0</v>
      </c>
      <c r="P268" s="35">
        <f>O268/'D) Ecrêtage'!C268</f>
        <v>0</v>
      </c>
      <c r="Q268" s="134"/>
    </row>
    <row r="269" spans="1:17" x14ac:dyDescent="0.25">
      <c r="A269" s="51">
        <f>+'A) Base RI'!A271</f>
        <v>5862</v>
      </c>
      <c r="B269" s="321" t="str">
        <f>+'A) Base RI'!B271</f>
        <v>Tartegnin</v>
      </c>
      <c r="C269" s="335">
        <f>+'D) Ecrêtage'!M269</f>
        <v>10629.942633744855</v>
      </c>
      <c r="D269" s="310">
        <v>17223</v>
      </c>
      <c r="E269" s="335">
        <v>7685</v>
      </c>
      <c r="F269" s="310">
        <v>18656</v>
      </c>
      <c r="G269" s="335">
        <f t="shared" si="50"/>
        <v>43564</v>
      </c>
      <c r="H269" s="310">
        <f t="shared" si="51"/>
        <v>85039.541069958839</v>
      </c>
      <c r="I269" s="10">
        <f t="shared" si="52"/>
        <v>0</v>
      </c>
      <c r="J269" s="332">
        <f t="shared" si="47"/>
        <v>0</v>
      </c>
      <c r="K269" s="15">
        <v>2866</v>
      </c>
      <c r="L269" s="10">
        <f t="shared" si="48"/>
        <v>10629.942633744855</v>
      </c>
      <c r="M269" s="15">
        <f t="shared" si="53"/>
        <v>0</v>
      </c>
      <c r="N269" s="2">
        <f t="shared" si="49"/>
        <v>0</v>
      </c>
      <c r="O269" s="138">
        <f t="shared" si="54"/>
        <v>0</v>
      </c>
      <c r="P269" s="35">
        <f>O269/'D) Ecrêtage'!C269</f>
        <v>0</v>
      </c>
      <c r="Q269" s="134"/>
    </row>
    <row r="270" spans="1:17" x14ac:dyDescent="0.25">
      <c r="A270" s="51">
        <f>+'A) Base RI'!A272</f>
        <v>5863</v>
      </c>
      <c r="B270" s="321" t="str">
        <f>+'A) Base RI'!B272</f>
        <v>Vinzel</v>
      </c>
      <c r="C270" s="335">
        <f>+'D) Ecrêtage'!M270</f>
        <v>22339.690641687634</v>
      </c>
      <c r="D270" s="310">
        <v>513471</v>
      </c>
      <c r="E270" s="335">
        <v>21823</v>
      </c>
      <c r="F270" s="310">
        <v>28157</v>
      </c>
      <c r="G270" s="335">
        <f t="shared" si="50"/>
        <v>563451</v>
      </c>
      <c r="H270" s="310">
        <f t="shared" si="51"/>
        <v>178717.52513350107</v>
      </c>
      <c r="I270" s="10">
        <f t="shared" si="52"/>
        <v>384733.47486649896</v>
      </c>
      <c r="J270" s="332">
        <f t="shared" si="47"/>
        <v>-275788.13507089042</v>
      </c>
      <c r="K270" s="15">
        <v>5737</v>
      </c>
      <c r="L270" s="10">
        <f t="shared" si="48"/>
        <v>22339.690641687634</v>
      </c>
      <c r="M270" s="15">
        <f t="shared" si="53"/>
        <v>0</v>
      </c>
      <c r="N270" s="2">
        <f t="shared" si="49"/>
        <v>0</v>
      </c>
      <c r="O270" s="138">
        <f t="shared" si="54"/>
        <v>-275788.13507089042</v>
      </c>
      <c r="P270" s="35">
        <f>O270/'D) Ecrêtage'!C270</f>
        <v>-12.05924775876252</v>
      </c>
      <c r="Q270" s="134"/>
    </row>
    <row r="271" spans="1:17" x14ac:dyDescent="0.25">
      <c r="A271" s="51">
        <f>+'A) Base RI'!A273</f>
        <v>5871</v>
      </c>
      <c r="B271" s="321" t="str">
        <f>+'A) Base RI'!B273</f>
        <v>L'Abbaye</v>
      </c>
      <c r="C271" s="335">
        <f>+'D) Ecrêtage'!M271</f>
        <v>47794.781759379046</v>
      </c>
      <c r="D271" s="310">
        <v>562995</v>
      </c>
      <c r="E271" s="335">
        <v>118482</v>
      </c>
      <c r="F271" s="310">
        <v>204406</v>
      </c>
      <c r="G271" s="335">
        <f t="shared" si="50"/>
        <v>885883</v>
      </c>
      <c r="H271" s="310">
        <f t="shared" si="51"/>
        <v>382358.25407503237</v>
      </c>
      <c r="I271" s="10">
        <f t="shared" si="52"/>
        <v>503524.74592496763</v>
      </c>
      <c r="J271" s="332">
        <f t="shared" si="47"/>
        <v>-360941.17021888145</v>
      </c>
      <c r="K271" s="15">
        <v>-76034</v>
      </c>
      <c r="L271" s="10">
        <f t="shared" si="48"/>
        <v>47794.781759379046</v>
      </c>
      <c r="M271" s="15">
        <f t="shared" si="53"/>
        <v>0</v>
      </c>
      <c r="N271" s="2">
        <f t="shared" si="49"/>
        <v>0</v>
      </c>
      <c r="O271" s="138">
        <f t="shared" si="54"/>
        <v>-360941.17021888145</v>
      </c>
      <c r="P271" s="35">
        <f>O271/'D) Ecrêtage'!C271</f>
        <v>-7.5518949335520684</v>
      </c>
      <c r="Q271" s="134"/>
    </row>
    <row r="272" spans="1:17" x14ac:dyDescent="0.25">
      <c r="A272" s="51">
        <f>+'A) Base RI'!A274</f>
        <v>5872</v>
      </c>
      <c r="B272" s="321" t="str">
        <f>+'A) Base RI'!B274</f>
        <v>Le Chenit</v>
      </c>
      <c r="C272" s="335">
        <f>+'D) Ecrêtage'!M272</f>
        <v>222566.8809866097</v>
      </c>
      <c r="D272" s="310">
        <v>2953831</v>
      </c>
      <c r="E272" s="335">
        <v>379478</v>
      </c>
      <c r="F272" s="310">
        <v>701717</v>
      </c>
      <c r="G272" s="335">
        <f t="shared" si="50"/>
        <v>4035026</v>
      </c>
      <c r="H272" s="310">
        <f t="shared" si="51"/>
        <v>1780535.0478928776</v>
      </c>
      <c r="I272" s="10">
        <f t="shared" si="52"/>
        <v>2254490.9521071222</v>
      </c>
      <c r="J272" s="332">
        <f t="shared" si="47"/>
        <v>-1616084.6295778351</v>
      </c>
      <c r="K272" s="15">
        <v>449279</v>
      </c>
      <c r="L272" s="10">
        <f t="shared" si="48"/>
        <v>222566.8809866097</v>
      </c>
      <c r="M272" s="15">
        <f t="shared" si="53"/>
        <v>226712.1190133903</v>
      </c>
      <c r="N272" s="2">
        <f t="shared" si="49"/>
        <v>-162513.835122791</v>
      </c>
      <c r="O272" s="138">
        <f t="shared" si="54"/>
        <v>-1778598.4647006262</v>
      </c>
      <c r="P272" s="35">
        <f>O272/'D) Ecrêtage'!C272</f>
        <v>-7.9912988707768795</v>
      </c>
      <c r="Q272" s="134"/>
    </row>
    <row r="273" spans="1:17" x14ac:dyDescent="0.25">
      <c r="A273" s="51">
        <f>+'A) Base RI'!A275</f>
        <v>5873</v>
      </c>
      <c r="B273" s="321" t="str">
        <f>+'A) Base RI'!B275</f>
        <v>Le Lieu</v>
      </c>
      <c r="C273" s="335">
        <f>+'D) Ecrêtage'!M273</f>
        <v>33457.98871794872</v>
      </c>
      <c r="D273" s="310">
        <v>817788</v>
      </c>
      <c r="E273" s="335">
        <v>70757</v>
      </c>
      <c r="F273" s="310">
        <v>128221</v>
      </c>
      <c r="G273" s="335">
        <f t="shared" si="50"/>
        <v>1016766</v>
      </c>
      <c r="H273" s="310">
        <f t="shared" si="51"/>
        <v>267663.90974358976</v>
      </c>
      <c r="I273" s="10">
        <f t="shared" si="52"/>
        <v>749102.09025641019</v>
      </c>
      <c r="J273" s="332">
        <f t="shared" si="47"/>
        <v>-536978.14706975606</v>
      </c>
      <c r="K273" s="15">
        <v>306235</v>
      </c>
      <c r="L273" s="10">
        <f t="shared" si="48"/>
        <v>33457.98871794872</v>
      </c>
      <c r="M273" s="15">
        <f t="shared" si="53"/>
        <v>272777.01128205127</v>
      </c>
      <c r="N273" s="2">
        <f t="shared" si="49"/>
        <v>-195534.48853857131</v>
      </c>
      <c r="O273" s="138">
        <f t="shared" si="54"/>
        <v>-732512.63560832734</v>
      </c>
      <c r="P273" s="35">
        <f>O273/'D) Ecrêtage'!C273</f>
        <v>-21.893504770517392</v>
      </c>
      <c r="Q273" s="134"/>
    </row>
    <row r="274" spans="1:17" x14ac:dyDescent="0.25">
      <c r="A274" s="51">
        <f>+'A) Base RI'!A276</f>
        <v>5881</v>
      </c>
      <c r="B274" s="321" t="str">
        <f>+'A) Base RI'!B276</f>
        <v>Blonay</v>
      </c>
      <c r="C274" s="335">
        <f>+'D) Ecrêtage'!M274</f>
        <v>339692.04942857131</v>
      </c>
      <c r="D274" s="310">
        <v>2431900</v>
      </c>
      <c r="E274" s="335">
        <v>872683</v>
      </c>
      <c r="F274" s="310">
        <v>455694</v>
      </c>
      <c r="G274" s="335">
        <f t="shared" si="50"/>
        <v>3760277</v>
      </c>
      <c r="H274" s="310">
        <f t="shared" si="51"/>
        <v>2717536.3954285705</v>
      </c>
      <c r="I274" s="10">
        <f t="shared" si="52"/>
        <v>1042740.6045714295</v>
      </c>
      <c r="J274" s="332">
        <f t="shared" si="47"/>
        <v>-747466.76721393934</v>
      </c>
      <c r="K274" s="15">
        <v>521759</v>
      </c>
      <c r="L274" s="10">
        <f t="shared" si="48"/>
        <v>339692.04942857131</v>
      </c>
      <c r="M274" s="15">
        <f t="shared" si="53"/>
        <v>182066.95057142869</v>
      </c>
      <c r="N274" s="2">
        <f t="shared" si="49"/>
        <v>-130510.88100291154</v>
      </c>
      <c r="O274" s="138">
        <f t="shared" si="54"/>
        <v>-877977.64821685082</v>
      </c>
      <c r="P274" s="35">
        <f>O274/'D) Ecrêtage'!C274</f>
        <v>-2.5846281939591509</v>
      </c>
      <c r="Q274" s="134"/>
    </row>
    <row r="275" spans="1:17" x14ac:dyDescent="0.25">
      <c r="A275" s="51">
        <f>+'A) Base RI'!A277</f>
        <v>5882</v>
      </c>
      <c r="B275" s="321" t="str">
        <f>+'A) Base RI'!B277</f>
        <v>Chardonne</v>
      </c>
      <c r="C275" s="335">
        <f>+'D) Ecrêtage'!M275</f>
        <v>157386.77911764712</v>
      </c>
      <c r="D275" s="310">
        <v>1220193</v>
      </c>
      <c r="E275" s="335">
        <v>259950</v>
      </c>
      <c r="F275" s="310">
        <v>158283</v>
      </c>
      <c r="G275" s="335">
        <f t="shared" si="50"/>
        <v>1638426</v>
      </c>
      <c r="H275" s="310">
        <f t="shared" si="51"/>
        <v>1259094.232941177</v>
      </c>
      <c r="I275" s="10">
        <f t="shared" si="52"/>
        <v>379331.76705882302</v>
      </c>
      <c r="J275" s="332">
        <f t="shared" si="47"/>
        <v>-271916.0339416769</v>
      </c>
      <c r="K275" s="15">
        <v>7426</v>
      </c>
      <c r="L275" s="10">
        <f t="shared" si="48"/>
        <v>157386.77911764712</v>
      </c>
      <c r="M275" s="15">
        <f t="shared" si="53"/>
        <v>0</v>
      </c>
      <c r="N275" s="2">
        <f t="shared" si="49"/>
        <v>0</v>
      </c>
      <c r="O275" s="138">
        <f t="shared" si="54"/>
        <v>-271916.0339416769</v>
      </c>
      <c r="P275" s="35">
        <f>O275/'D) Ecrêtage'!C275</f>
        <v>-1.7276929832741466</v>
      </c>
      <c r="Q275" s="134"/>
    </row>
    <row r="276" spans="1:17" x14ac:dyDescent="0.25">
      <c r="A276" s="51">
        <f>+'A) Base RI'!A278</f>
        <v>5883</v>
      </c>
      <c r="B276" s="321" t="str">
        <f>+'A) Base RI'!B278</f>
        <v>Corseaux</v>
      </c>
      <c r="C276" s="335">
        <f>+'D) Ecrêtage'!M276</f>
        <v>145458.17277547249</v>
      </c>
      <c r="D276" s="310">
        <v>351679</v>
      </c>
      <c r="E276" s="335">
        <v>460801</v>
      </c>
      <c r="F276" s="310">
        <v>122426</v>
      </c>
      <c r="G276" s="335">
        <f t="shared" si="50"/>
        <v>934906</v>
      </c>
      <c r="H276" s="310">
        <f t="shared" si="51"/>
        <v>1163665.3822037799</v>
      </c>
      <c r="I276" s="10">
        <f t="shared" si="52"/>
        <v>0</v>
      </c>
      <c r="J276" s="332">
        <f t="shared" si="47"/>
        <v>0</v>
      </c>
      <c r="K276" s="15">
        <v>1456</v>
      </c>
      <c r="L276" s="10">
        <f t="shared" si="48"/>
        <v>145458.17277547249</v>
      </c>
      <c r="M276" s="15">
        <f t="shared" si="53"/>
        <v>0</v>
      </c>
      <c r="N276" s="2">
        <f t="shared" si="49"/>
        <v>0</v>
      </c>
      <c r="O276" s="138">
        <f t="shared" si="54"/>
        <v>0</v>
      </c>
      <c r="P276" s="35">
        <f>O276/'D) Ecrêtage'!C276</f>
        <v>0</v>
      </c>
      <c r="Q276" s="134"/>
    </row>
    <row r="277" spans="1:17" x14ac:dyDescent="0.25">
      <c r="A277" s="51">
        <f>+'A) Base RI'!A279</f>
        <v>5884</v>
      </c>
      <c r="B277" s="321" t="str">
        <f>+'A) Base RI'!B279</f>
        <v>Corsier-sur-Vevey</v>
      </c>
      <c r="C277" s="335">
        <f>+'D) Ecrêtage'!M277</f>
        <v>131937.87883838385</v>
      </c>
      <c r="D277" s="310">
        <v>1442645</v>
      </c>
      <c r="E277" s="335">
        <v>829302</v>
      </c>
      <c r="F277" s="310">
        <v>210970</v>
      </c>
      <c r="G277" s="335">
        <f t="shared" si="50"/>
        <v>2482917</v>
      </c>
      <c r="H277" s="310">
        <f t="shared" si="51"/>
        <v>1055503.0307070708</v>
      </c>
      <c r="I277" s="10">
        <f t="shared" si="52"/>
        <v>1427413.9692929292</v>
      </c>
      <c r="J277" s="332">
        <f t="shared" si="47"/>
        <v>-1023211.813586104</v>
      </c>
      <c r="K277" s="15">
        <v>4000</v>
      </c>
      <c r="L277" s="10">
        <f t="shared" si="48"/>
        <v>131937.87883838385</v>
      </c>
      <c r="M277" s="15">
        <f t="shared" si="53"/>
        <v>0</v>
      </c>
      <c r="N277" s="2">
        <f t="shared" si="49"/>
        <v>0</v>
      </c>
      <c r="O277" s="138">
        <f t="shared" si="54"/>
        <v>-1023211.813586104</v>
      </c>
      <c r="P277" s="35">
        <f>O277/'D) Ecrêtage'!C277</f>
        <v>-7.755254386342517</v>
      </c>
      <c r="Q277" s="134"/>
    </row>
    <row r="278" spans="1:17" x14ac:dyDescent="0.25">
      <c r="A278" s="51">
        <f>+'A) Base RI'!A280</f>
        <v>5885</v>
      </c>
      <c r="B278" s="321" t="str">
        <f>+'A) Base RI'!B280</f>
        <v>Jongny</v>
      </c>
      <c r="C278" s="335">
        <f>+'D) Ecrêtage'!M278</f>
        <v>92192.244285459863</v>
      </c>
      <c r="D278" s="310">
        <v>557936</v>
      </c>
      <c r="E278" s="335">
        <v>111283</v>
      </c>
      <c r="F278" s="310">
        <v>95257</v>
      </c>
      <c r="G278" s="335">
        <f t="shared" si="50"/>
        <v>764476</v>
      </c>
      <c r="H278" s="310">
        <f t="shared" si="51"/>
        <v>737537.9542836789</v>
      </c>
      <c r="I278" s="10">
        <f t="shared" si="52"/>
        <v>26938.045716321096</v>
      </c>
      <c r="J278" s="332">
        <f t="shared" si="47"/>
        <v>-19309.973984292592</v>
      </c>
      <c r="K278" s="15">
        <v>-1200</v>
      </c>
      <c r="L278" s="10">
        <f t="shared" si="48"/>
        <v>92192.244285459863</v>
      </c>
      <c r="M278" s="15">
        <f t="shared" si="53"/>
        <v>0</v>
      </c>
      <c r="N278" s="2">
        <f t="shared" si="49"/>
        <v>0</v>
      </c>
      <c r="O278" s="138">
        <f t="shared" si="54"/>
        <v>-19309.973984292592</v>
      </c>
      <c r="P278" s="35">
        <f>O278/'D) Ecrêtage'!C278</f>
        <v>-0.20526377549721828</v>
      </c>
      <c r="Q278" s="134"/>
    </row>
    <row r="279" spans="1:17" x14ac:dyDescent="0.25">
      <c r="A279" s="51">
        <f>+'A) Base RI'!A281</f>
        <v>5886</v>
      </c>
      <c r="B279" s="321" t="str">
        <f>+'A) Base RI'!B281</f>
        <v>Montreux</v>
      </c>
      <c r="C279" s="335">
        <f>+'D) Ecrêtage'!M279</f>
        <v>1128562.492051282</v>
      </c>
      <c r="D279" s="310">
        <v>10775182</v>
      </c>
      <c r="E279" s="335">
        <v>5023233</v>
      </c>
      <c r="F279" s="310">
        <v>357426</v>
      </c>
      <c r="G279" s="335">
        <f t="shared" si="50"/>
        <v>16155841</v>
      </c>
      <c r="H279" s="310">
        <f t="shared" si="51"/>
        <v>9028499.9364102557</v>
      </c>
      <c r="I279" s="10">
        <f t="shared" si="52"/>
        <v>7127341.0635897443</v>
      </c>
      <c r="J279" s="332">
        <f t="shared" si="47"/>
        <v>-5109085.1936490843</v>
      </c>
      <c r="K279" s="15">
        <v>1906452</v>
      </c>
      <c r="L279" s="10">
        <f t="shared" si="48"/>
        <v>1128562.492051282</v>
      </c>
      <c r="M279" s="15">
        <f t="shared" si="53"/>
        <v>777889.50794871803</v>
      </c>
      <c r="N279" s="2">
        <f t="shared" si="49"/>
        <v>-557613.80462885776</v>
      </c>
      <c r="O279" s="138">
        <f t="shared" si="54"/>
        <v>-5666698.9982779417</v>
      </c>
      <c r="P279" s="35">
        <f>O279/'D) Ecrêtage'!C279</f>
        <v>-5.0211654544518094</v>
      </c>
      <c r="Q279" s="134"/>
    </row>
    <row r="280" spans="1:17" x14ac:dyDescent="0.25">
      <c r="A280" s="51">
        <f>+'A) Base RI'!A282</f>
        <v>5888</v>
      </c>
      <c r="B280" s="321" t="str">
        <f>+'A) Base RI'!B282</f>
        <v>Saint-Légier-La Chiésaz</v>
      </c>
      <c r="C280" s="335">
        <f>+'D) Ecrêtage'!M280</f>
        <v>292588.10855887394</v>
      </c>
      <c r="D280" s="310">
        <v>1308175</v>
      </c>
      <c r="E280" s="335">
        <v>661022</v>
      </c>
      <c r="F280" s="310">
        <v>351115</v>
      </c>
      <c r="G280" s="335">
        <f t="shared" si="50"/>
        <v>2320312</v>
      </c>
      <c r="H280" s="310">
        <f t="shared" si="51"/>
        <v>2340704.8684709915</v>
      </c>
      <c r="I280" s="10">
        <f t="shared" si="52"/>
        <v>0</v>
      </c>
      <c r="J280" s="332">
        <f t="shared" si="47"/>
        <v>0</v>
      </c>
      <c r="K280" s="15">
        <v>708147</v>
      </c>
      <c r="L280" s="10">
        <f t="shared" si="48"/>
        <v>292588.10855887394</v>
      </c>
      <c r="M280" s="15">
        <f t="shared" si="53"/>
        <v>415558.89144112606</v>
      </c>
      <c r="N280" s="2">
        <f t="shared" si="49"/>
        <v>-297884.68945272482</v>
      </c>
      <c r="O280" s="138">
        <f t="shared" si="54"/>
        <v>-297884.68945272482</v>
      </c>
      <c r="P280" s="35">
        <f>O280/'D) Ecrêtage'!C280</f>
        <v>-1.0121744478503296</v>
      </c>
      <c r="Q280" s="134"/>
    </row>
    <row r="281" spans="1:17" x14ac:dyDescent="0.25">
      <c r="A281" s="51">
        <f>+'A) Base RI'!A283</f>
        <v>5889</v>
      </c>
      <c r="B281" s="321" t="str">
        <f>+'A) Base RI'!B283</f>
        <v>La Tour-de-Peilz</v>
      </c>
      <c r="C281" s="335">
        <f>+'D) Ecrêtage'!M281</f>
        <v>663369.11548643862</v>
      </c>
      <c r="D281" s="310">
        <v>2163219</v>
      </c>
      <c r="E281" s="335">
        <v>2036080</v>
      </c>
      <c r="F281" s="310">
        <v>7924</v>
      </c>
      <c r="G281" s="335">
        <f t="shared" si="50"/>
        <v>4207223</v>
      </c>
      <c r="H281" s="310">
        <f t="shared" si="51"/>
        <v>5306952.923891509</v>
      </c>
      <c r="I281" s="10">
        <f t="shared" si="52"/>
        <v>0</v>
      </c>
      <c r="J281" s="332">
        <f t="shared" si="47"/>
        <v>0</v>
      </c>
      <c r="K281" s="15">
        <v>58918</v>
      </c>
      <c r="L281" s="10">
        <f t="shared" si="48"/>
        <v>663369.11548643862</v>
      </c>
      <c r="M281" s="15">
        <f t="shared" si="53"/>
        <v>0</v>
      </c>
      <c r="N281" s="2">
        <f t="shared" si="49"/>
        <v>0</v>
      </c>
      <c r="O281" s="138">
        <f t="shared" si="54"/>
        <v>0</v>
      </c>
      <c r="P281" s="35">
        <f>O281/'D) Ecrêtage'!C281</f>
        <v>0</v>
      </c>
      <c r="Q281" s="134"/>
    </row>
    <row r="282" spans="1:17" x14ac:dyDescent="0.25">
      <c r="A282" s="51">
        <f>+'A) Base RI'!A284</f>
        <v>5890</v>
      </c>
      <c r="B282" s="321" t="str">
        <f>+'A) Base RI'!B284</f>
        <v>Vevey</v>
      </c>
      <c r="C282" s="335">
        <f>+'D) Ecrêtage'!M282</f>
        <v>976058.24146118714</v>
      </c>
      <c r="D282" s="310">
        <v>6435569</v>
      </c>
      <c r="E282" s="335">
        <v>3686922</v>
      </c>
      <c r="F282" s="310">
        <v>151574</v>
      </c>
      <c r="G282" s="335">
        <f t="shared" si="50"/>
        <v>10274065</v>
      </c>
      <c r="H282" s="310">
        <f t="shared" si="51"/>
        <v>7808465.9316894971</v>
      </c>
      <c r="I282" s="10">
        <f t="shared" si="52"/>
        <v>2465599.0683105029</v>
      </c>
      <c r="J282" s="332">
        <f t="shared" si="47"/>
        <v>-1767413.0620368556</v>
      </c>
      <c r="K282" s="15">
        <v>100000</v>
      </c>
      <c r="L282" s="10">
        <f t="shared" si="48"/>
        <v>976058.24146118714</v>
      </c>
      <c r="M282" s="15">
        <f t="shared" si="53"/>
        <v>0</v>
      </c>
      <c r="N282" s="2">
        <f t="shared" si="49"/>
        <v>0</v>
      </c>
      <c r="O282" s="138">
        <f t="shared" si="54"/>
        <v>-1767413.0620368556</v>
      </c>
      <c r="P282" s="35">
        <f>O282/'D) Ecrêtage'!C282</f>
        <v>-1.8107659839959833</v>
      </c>
      <c r="Q282" s="134"/>
    </row>
    <row r="283" spans="1:17" x14ac:dyDescent="0.25">
      <c r="A283" s="51">
        <f>+'A) Base RI'!A285</f>
        <v>5891</v>
      </c>
      <c r="B283" s="321" t="str">
        <f>+'A) Base RI'!B285</f>
        <v>Veytaux</v>
      </c>
      <c r="C283" s="335">
        <f>+'D) Ecrêtage'!M283</f>
        <v>35228.276473429949</v>
      </c>
      <c r="D283" s="310">
        <v>259943</v>
      </c>
      <c r="E283" s="335">
        <v>128347</v>
      </c>
      <c r="F283" s="310">
        <v>30000</v>
      </c>
      <c r="G283" s="335">
        <f t="shared" si="50"/>
        <v>418290</v>
      </c>
      <c r="H283" s="310">
        <f t="shared" si="51"/>
        <v>281826.21178743959</v>
      </c>
      <c r="I283" s="10">
        <f t="shared" si="52"/>
        <v>136463.78821256041</v>
      </c>
      <c r="J283" s="332">
        <f t="shared" si="47"/>
        <v>-97821.209004259959</v>
      </c>
      <c r="K283" s="15">
        <v>322507</v>
      </c>
      <c r="L283" s="10">
        <f t="shared" si="48"/>
        <v>35228.276473429949</v>
      </c>
      <c r="M283" s="15">
        <f t="shared" si="53"/>
        <v>287278.72352657007</v>
      </c>
      <c r="N283" s="2">
        <f t="shared" si="49"/>
        <v>-205929.73729262972</v>
      </c>
      <c r="O283" s="138">
        <f t="shared" si="54"/>
        <v>-303750.94629688968</v>
      </c>
      <c r="P283" s="35">
        <f>O283/'D) Ecrêtage'!C283</f>
        <v>-8.6223618270393185</v>
      </c>
      <c r="Q283" s="134"/>
    </row>
    <row r="284" spans="1:17" x14ac:dyDescent="0.25">
      <c r="A284" s="51">
        <f>+'A) Base RI'!A286</f>
        <v>5902</v>
      </c>
      <c r="B284" s="321" t="str">
        <f>+'A) Base RI'!B286</f>
        <v>Belmont-sur-Yverdon</v>
      </c>
      <c r="C284" s="335">
        <f>+'D) Ecrêtage'!M284</f>
        <v>9905.4513157894726</v>
      </c>
      <c r="D284" s="310">
        <v>488802</v>
      </c>
      <c r="E284" s="335">
        <v>14913</v>
      </c>
      <c r="F284" s="310">
        <v>46797</v>
      </c>
      <c r="G284" s="335">
        <f t="shared" si="50"/>
        <v>550512</v>
      </c>
      <c r="H284" s="310">
        <f t="shared" si="51"/>
        <v>79243.610526315781</v>
      </c>
      <c r="I284" s="10">
        <f t="shared" si="52"/>
        <v>471268.38947368425</v>
      </c>
      <c r="J284" s="332">
        <f t="shared" si="47"/>
        <v>-337818.87655060063</v>
      </c>
      <c r="K284" s="15">
        <v>19477</v>
      </c>
      <c r="L284" s="10">
        <f t="shared" si="48"/>
        <v>9905.4513157894726</v>
      </c>
      <c r="M284" s="15">
        <f t="shared" si="53"/>
        <v>9571.5486842105274</v>
      </c>
      <c r="N284" s="2">
        <f t="shared" si="49"/>
        <v>-6861.1642443502706</v>
      </c>
      <c r="O284" s="138">
        <f t="shared" si="54"/>
        <v>-344680.04079495091</v>
      </c>
      <c r="P284" s="35">
        <f>O284/'D) Ecrêtage'!C284</f>
        <v>-34.797005184965634</v>
      </c>
      <c r="Q284" s="134"/>
    </row>
    <row r="285" spans="1:17" x14ac:dyDescent="0.25">
      <c r="A285" s="51">
        <f>+'A) Base RI'!A287</f>
        <v>5903</v>
      </c>
      <c r="B285" s="321" t="str">
        <f>+'A) Base RI'!B287</f>
        <v>Bioley-Magnoux</v>
      </c>
      <c r="C285" s="335">
        <f>+'D) Ecrêtage'!M285</f>
        <v>5979.8765830115835</v>
      </c>
      <c r="D285" s="310">
        <v>397980</v>
      </c>
      <c r="E285" s="335">
        <v>9321</v>
      </c>
      <c r="F285" s="310">
        <v>20801</v>
      </c>
      <c r="G285" s="335">
        <f t="shared" si="50"/>
        <v>428102</v>
      </c>
      <c r="H285" s="310">
        <f t="shared" si="51"/>
        <v>47839.012664092668</v>
      </c>
      <c r="I285" s="10">
        <f t="shared" si="52"/>
        <v>380262.98733590735</v>
      </c>
      <c r="J285" s="332">
        <f t="shared" si="47"/>
        <v>-272583.5596973871</v>
      </c>
      <c r="K285" s="15">
        <v>17255</v>
      </c>
      <c r="L285" s="10">
        <f t="shared" si="48"/>
        <v>5979.8765830115835</v>
      </c>
      <c r="M285" s="15">
        <f t="shared" si="53"/>
        <v>11275.123416988416</v>
      </c>
      <c r="N285" s="2">
        <f t="shared" si="49"/>
        <v>-8082.3361183852294</v>
      </c>
      <c r="O285" s="138">
        <f t="shared" si="54"/>
        <v>-280665.89581577235</v>
      </c>
      <c r="P285" s="35">
        <f>O285/'D) Ecrêtage'!C285</f>
        <v>-46.93506494985612</v>
      </c>
      <c r="Q285" s="134"/>
    </row>
    <row r="286" spans="1:17" x14ac:dyDescent="0.25">
      <c r="A286" s="51">
        <f>+'A) Base RI'!A288</f>
        <v>5904</v>
      </c>
      <c r="B286" s="321" t="str">
        <f>+'A) Base RI'!B288</f>
        <v>Chamblon</v>
      </c>
      <c r="C286" s="335">
        <f>+'D) Ecrêtage'!M286</f>
        <v>21723.445757575762</v>
      </c>
      <c r="D286" s="310">
        <v>57001</v>
      </c>
      <c r="E286" s="335">
        <v>22208</v>
      </c>
      <c r="F286" s="310">
        <v>21446</v>
      </c>
      <c r="G286" s="335">
        <f t="shared" si="50"/>
        <v>100655</v>
      </c>
      <c r="H286" s="310">
        <f t="shared" si="51"/>
        <v>173787.5660606061</v>
      </c>
      <c r="I286" s="10">
        <f t="shared" si="52"/>
        <v>0</v>
      </c>
      <c r="J286" s="332">
        <f t="shared" si="47"/>
        <v>0</v>
      </c>
      <c r="K286" s="15">
        <v>634</v>
      </c>
      <c r="L286" s="10">
        <f t="shared" si="48"/>
        <v>21723.445757575762</v>
      </c>
      <c r="M286" s="15">
        <f t="shared" si="53"/>
        <v>0</v>
      </c>
      <c r="N286" s="2">
        <f t="shared" si="49"/>
        <v>0</v>
      </c>
      <c r="O286" s="138">
        <f t="shared" si="54"/>
        <v>0</v>
      </c>
      <c r="P286" s="35">
        <f>O286/'D) Ecrêtage'!C286</f>
        <v>0</v>
      </c>
      <c r="Q286" s="134"/>
    </row>
    <row r="287" spans="1:17" x14ac:dyDescent="0.25">
      <c r="A287" s="51">
        <f>+'A) Base RI'!A289</f>
        <v>5905</v>
      </c>
      <c r="B287" s="321" t="str">
        <f>+'A) Base RI'!B289</f>
        <v>Champvent</v>
      </c>
      <c r="C287" s="335">
        <f>+'D) Ecrêtage'!M287</f>
        <v>23277.051267605631</v>
      </c>
      <c r="D287" s="310">
        <v>82211</v>
      </c>
      <c r="E287" s="335">
        <v>66056</v>
      </c>
      <c r="F287" s="310">
        <v>58956</v>
      </c>
      <c r="G287" s="335">
        <f t="shared" si="50"/>
        <v>207223</v>
      </c>
      <c r="H287" s="310">
        <f t="shared" si="51"/>
        <v>186216.41014084505</v>
      </c>
      <c r="I287" s="10">
        <f t="shared" si="52"/>
        <v>21006.589859154948</v>
      </c>
      <c r="J287" s="332">
        <f t="shared" si="47"/>
        <v>-15058.134058820066</v>
      </c>
      <c r="K287" s="15">
        <v>95695</v>
      </c>
      <c r="L287" s="10">
        <f t="shared" si="48"/>
        <v>23277.051267605631</v>
      </c>
      <c r="M287" s="15">
        <f t="shared" si="53"/>
        <v>72417.948732394376</v>
      </c>
      <c r="N287" s="2">
        <f t="shared" si="49"/>
        <v>-51911.290104134059</v>
      </c>
      <c r="O287" s="138">
        <f t="shared" si="54"/>
        <v>-66969.424162954121</v>
      </c>
      <c r="P287" s="35">
        <f>O287/'D) Ecrêtage'!C287</f>
        <v>-2.8770578967686768</v>
      </c>
      <c r="Q287" s="134"/>
    </row>
    <row r="288" spans="1:17" x14ac:dyDescent="0.25">
      <c r="A288" s="51">
        <f>+'A) Base RI'!A290</f>
        <v>5907</v>
      </c>
      <c r="B288" s="321" t="str">
        <f>+'A) Base RI'!B290</f>
        <v>Chavannes-le-Chêne</v>
      </c>
      <c r="C288" s="335">
        <f>+'D) Ecrêtage'!M288</f>
        <v>8647.1699999999983</v>
      </c>
      <c r="D288" s="310">
        <v>138235</v>
      </c>
      <c r="E288" s="335">
        <v>12158</v>
      </c>
      <c r="F288" s="310">
        <v>27238</v>
      </c>
      <c r="G288" s="335">
        <f t="shared" si="50"/>
        <v>177631</v>
      </c>
      <c r="H288" s="310">
        <f t="shared" si="51"/>
        <v>69177.359999999986</v>
      </c>
      <c r="I288" s="10">
        <f t="shared" si="52"/>
        <v>108453.64000000001</v>
      </c>
      <c r="J288" s="332">
        <f t="shared" si="47"/>
        <v>-77742.720795554531</v>
      </c>
      <c r="K288" s="15">
        <v>9009</v>
      </c>
      <c r="L288" s="10">
        <f t="shared" si="48"/>
        <v>8647.1699999999983</v>
      </c>
      <c r="M288" s="15">
        <f t="shared" si="53"/>
        <v>361.83000000000175</v>
      </c>
      <c r="N288" s="2">
        <f t="shared" si="49"/>
        <v>-259.37025871566533</v>
      </c>
      <c r="O288" s="138">
        <f t="shared" si="54"/>
        <v>-78002.091054270189</v>
      </c>
      <c r="P288" s="35">
        <f>O288/'D) Ecrêtage'!C288</f>
        <v>-9.0205340075736</v>
      </c>
      <c r="Q288" s="134"/>
    </row>
    <row r="289" spans="1:17" x14ac:dyDescent="0.25">
      <c r="A289" s="51">
        <f>+'A) Base RI'!A291</f>
        <v>5908</v>
      </c>
      <c r="B289" s="321" t="str">
        <f>+'A) Base RI'!B291</f>
        <v>Chêne-Pâquier</v>
      </c>
      <c r="C289" s="335">
        <f>+'D) Ecrêtage'!M289</f>
        <v>2751.637341772152</v>
      </c>
      <c r="D289" s="310">
        <v>12052</v>
      </c>
      <c r="E289" s="335">
        <v>5673</v>
      </c>
      <c r="F289" s="310">
        <v>11494</v>
      </c>
      <c r="G289" s="335">
        <f t="shared" si="50"/>
        <v>29219</v>
      </c>
      <c r="H289" s="310">
        <f t="shared" si="51"/>
        <v>22013.098734177216</v>
      </c>
      <c r="I289" s="10">
        <f t="shared" si="52"/>
        <v>7205.9012658227839</v>
      </c>
      <c r="J289" s="332">
        <f t="shared" si="47"/>
        <v>-5165.3994295552793</v>
      </c>
      <c r="K289" s="15">
        <v>42556</v>
      </c>
      <c r="L289" s="10">
        <f t="shared" si="48"/>
        <v>2751.637341772152</v>
      </c>
      <c r="M289" s="15">
        <f t="shared" si="53"/>
        <v>39804.362658227845</v>
      </c>
      <c r="N289" s="2">
        <f t="shared" si="49"/>
        <v>-28532.923861141073</v>
      </c>
      <c r="O289" s="138">
        <f t="shared" si="54"/>
        <v>-33698.323290696353</v>
      </c>
      <c r="P289" s="35">
        <f>O289/'D) Ecrêtage'!C289</f>
        <v>-12.246644126799588</v>
      </c>
      <c r="Q289" s="134"/>
    </row>
    <row r="290" spans="1:17" x14ac:dyDescent="0.25">
      <c r="A290" s="51">
        <f>+'A) Base RI'!A292</f>
        <v>5909</v>
      </c>
      <c r="B290" s="321" t="str">
        <f>+'A) Base RI'!B292</f>
        <v>Cheseaux-Noréaz</v>
      </c>
      <c r="C290" s="335">
        <f>+'D) Ecrêtage'!M290</f>
        <v>27973.27357142857</v>
      </c>
      <c r="D290" s="310">
        <v>212963</v>
      </c>
      <c r="E290" s="335">
        <v>134827</v>
      </c>
      <c r="F290" s="310">
        <v>35955</v>
      </c>
      <c r="G290" s="335">
        <f t="shared" si="50"/>
        <v>383745</v>
      </c>
      <c r="H290" s="310">
        <f t="shared" si="51"/>
        <v>223786.18857142856</v>
      </c>
      <c r="I290" s="10">
        <f t="shared" si="52"/>
        <v>159958.81142857144</v>
      </c>
      <c r="J290" s="332">
        <f t="shared" si="47"/>
        <v>-114663.12440670673</v>
      </c>
      <c r="K290" s="15">
        <v>9418</v>
      </c>
      <c r="L290" s="10">
        <f t="shared" si="48"/>
        <v>27973.27357142857</v>
      </c>
      <c r="M290" s="15">
        <f t="shared" si="53"/>
        <v>0</v>
      </c>
      <c r="N290" s="2">
        <f t="shared" si="49"/>
        <v>0</v>
      </c>
      <c r="O290" s="138">
        <f t="shared" si="54"/>
        <v>-114663.12440670673</v>
      </c>
      <c r="P290" s="35">
        <f>O290/'D) Ecrêtage'!C290</f>
        <v>-4.0990241672616294</v>
      </c>
      <c r="Q290" s="134"/>
    </row>
    <row r="291" spans="1:17" x14ac:dyDescent="0.25">
      <c r="A291" s="51">
        <f>+'A) Base RI'!A293</f>
        <v>5910</v>
      </c>
      <c r="B291" s="321" t="str">
        <f>+'A) Base RI'!B293</f>
        <v>Cronay</v>
      </c>
      <c r="C291" s="335">
        <f>+'D) Ecrêtage'!M291</f>
        <v>10127.988607594936</v>
      </c>
      <c r="D291" s="310">
        <v>61962</v>
      </c>
      <c r="E291" s="335">
        <v>23099</v>
      </c>
      <c r="F291" s="310">
        <v>33556</v>
      </c>
      <c r="G291" s="335">
        <f t="shared" si="50"/>
        <v>118617</v>
      </c>
      <c r="H291" s="310">
        <f t="shared" si="51"/>
        <v>81023.908860759489</v>
      </c>
      <c r="I291" s="10">
        <f t="shared" si="52"/>
        <v>37593.091139240511</v>
      </c>
      <c r="J291" s="332">
        <f t="shared" si="47"/>
        <v>-26947.820177172565</v>
      </c>
      <c r="K291" s="15">
        <v>97700</v>
      </c>
      <c r="L291" s="10">
        <f t="shared" si="48"/>
        <v>10127.988607594936</v>
      </c>
      <c r="M291" s="15">
        <f t="shared" si="53"/>
        <v>87572.011392405067</v>
      </c>
      <c r="N291" s="2">
        <f t="shared" si="49"/>
        <v>-62774.162593204499</v>
      </c>
      <c r="O291" s="138">
        <f t="shared" si="54"/>
        <v>-89721.982770377072</v>
      </c>
      <c r="P291" s="35">
        <f>O291/'D) Ecrêtage'!C291</f>
        <v>-8.858815530567929</v>
      </c>
      <c r="Q291" s="134"/>
    </row>
    <row r="292" spans="1:17" x14ac:dyDescent="0.25">
      <c r="A292" s="51">
        <f>+'A) Base RI'!A294</f>
        <v>5911</v>
      </c>
      <c r="B292" s="321" t="str">
        <f>+'A) Base RI'!B294</f>
        <v>Cuarny</v>
      </c>
      <c r="C292" s="335">
        <f>+'D) Ecrêtage'!M292</f>
        <v>7075.4874683544303</v>
      </c>
      <c r="D292" s="310">
        <v>52057</v>
      </c>
      <c r="E292" s="335">
        <v>9605</v>
      </c>
      <c r="F292" s="310">
        <v>17518</v>
      </c>
      <c r="G292" s="335">
        <f t="shared" si="50"/>
        <v>79180</v>
      </c>
      <c r="H292" s="310">
        <f t="shared" si="51"/>
        <v>56603.899746835443</v>
      </c>
      <c r="I292" s="10">
        <f t="shared" si="52"/>
        <v>22576.100253164557</v>
      </c>
      <c r="J292" s="332">
        <f t="shared" si="47"/>
        <v>-16183.20471894</v>
      </c>
      <c r="K292" s="15">
        <v>12507</v>
      </c>
      <c r="L292" s="10">
        <f t="shared" si="48"/>
        <v>7075.4874683544303</v>
      </c>
      <c r="M292" s="15">
        <f t="shared" si="53"/>
        <v>5431.5125316455697</v>
      </c>
      <c r="N292" s="2">
        <f t="shared" si="49"/>
        <v>-3893.4660214749551</v>
      </c>
      <c r="O292" s="138">
        <f t="shared" si="54"/>
        <v>-20076.670740414957</v>
      </c>
      <c r="P292" s="35">
        <f>O292/'D) Ecrêtage'!C292</f>
        <v>-2.837496473594102</v>
      </c>
      <c r="Q292" s="134"/>
    </row>
    <row r="293" spans="1:17" x14ac:dyDescent="0.25">
      <c r="A293" s="51">
        <f>+'A) Base RI'!A295</f>
        <v>5912</v>
      </c>
      <c r="B293" s="321" t="str">
        <f>+'A) Base RI'!B295</f>
        <v>Démoret</v>
      </c>
      <c r="C293" s="335">
        <f>+'D) Ecrêtage'!M293</f>
        <v>3190.0809876543208</v>
      </c>
      <c r="D293" s="310">
        <v>10693</v>
      </c>
      <c r="E293" s="335">
        <v>5106</v>
      </c>
      <c r="F293" s="310">
        <v>8866</v>
      </c>
      <c r="G293" s="335">
        <f t="shared" si="50"/>
        <v>24665</v>
      </c>
      <c r="H293" s="310">
        <f t="shared" si="51"/>
        <v>25520.647901234566</v>
      </c>
      <c r="I293" s="10">
        <f t="shared" si="52"/>
        <v>0</v>
      </c>
      <c r="J293" s="332">
        <f t="shared" si="47"/>
        <v>0</v>
      </c>
      <c r="K293" s="15">
        <v>23575</v>
      </c>
      <c r="L293" s="10">
        <f t="shared" si="48"/>
        <v>3190.0809876543208</v>
      </c>
      <c r="M293" s="15">
        <f t="shared" si="53"/>
        <v>20384.919012345679</v>
      </c>
      <c r="N293" s="2">
        <f t="shared" si="49"/>
        <v>-14612.502330182568</v>
      </c>
      <c r="O293" s="138">
        <f t="shared" si="54"/>
        <v>-14612.502330182568</v>
      </c>
      <c r="P293" s="35">
        <f>O293/'D) Ecrêtage'!C293</f>
        <v>-4.580605441282918</v>
      </c>
      <c r="Q293" s="134"/>
    </row>
    <row r="294" spans="1:17" x14ac:dyDescent="0.25">
      <c r="A294" s="51">
        <f>+'A) Base RI'!A296</f>
        <v>5913</v>
      </c>
      <c r="B294" s="321" t="str">
        <f>+'A) Base RI'!B296</f>
        <v>Donneloye</v>
      </c>
      <c r="C294" s="335">
        <f>+'D) Ecrêtage'!M294</f>
        <v>20217.518082191778</v>
      </c>
      <c r="D294" s="310">
        <v>183998</v>
      </c>
      <c r="E294" s="335">
        <v>47353</v>
      </c>
      <c r="F294" s="310">
        <v>70452</v>
      </c>
      <c r="G294" s="335">
        <f t="shared" si="50"/>
        <v>301803</v>
      </c>
      <c r="H294" s="310">
        <f t="shared" si="51"/>
        <v>161740.14465753423</v>
      </c>
      <c r="I294" s="10">
        <f t="shared" si="52"/>
        <v>140062.85534246577</v>
      </c>
      <c r="J294" s="332">
        <f t="shared" si="47"/>
        <v>-100401.12491122898</v>
      </c>
      <c r="K294" s="15">
        <v>50053</v>
      </c>
      <c r="L294" s="10">
        <f t="shared" si="48"/>
        <v>20217.518082191778</v>
      </c>
      <c r="M294" s="15">
        <f t="shared" si="53"/>
        <v>29835.481917808222</v>
      </c>
      <c r="N294" s="2">
        <f t="shared" si="49"/>
        <v>-21386.940452500996</v>
      </c>
      <c r="O294" s="138">
        <f t="shared" si="54"/>
        <v>-121788.06536372998</v>
      </c>
      <c r="P294" s="35">
        <f>O294/'D) Ecrêtage'!C294</f>
        <v>-6.0238880395019763</v>
      </c>
      <c r="Q294" s="134"/>
    </row>
    <row r="295" spans="1:17" x14ac:dyDescent="0.25">
      <c r="A295" s="51">
        <f>+'A) Base RI'!A297</f>
        <v>5914</v>
      </c>
      <c r="B295" s="321" t="str">
        <f>+'A) Base RI'!B297</f>
        <v>Ependes</v>
      </c>
      <c r="C295" s="335">
        <f>+'D) Ecrêtage'!M295</f>
        <v>9998.8652000000002</v>
      </c>
      <c r="D295" s="310">
        <v>84615</v>
      </c>
      <c r="E295" s="335">
        <v>35460</v>
      </c>
      <c r="F295" s="310">
        <v>46137</v>
      </c>
      <c r="G295" s="335">
        <f t="shared" si="50"/>
        <v>166212</v>
      </c>
      <c r="H295" s="310">
        <f t="shared" si="51"/>
        <v>79990.921600000001</v>
      </c>
      <c r="I295" s="10">
        <f t="shared" si="52"/>
        <v>86221.078399999999</v>
      </c>
      <c r="J295" s="332">
        <f t="shared" si="47"/>
        <v>-61805.774566375243</v>
      </c>
      <c r="K295" s="15">
        <v>16650</v>
      </c>
      <c r="L295" s="10">
        <f t="shared" si="48"/>
        <v>9998.8652000000002</v>
      </c>
      <c r="M295" s="15">
        <f t="shared" si="53"/>
        <v>6651.1347999999998</v>
      </c>
      <c r="N295" s="2">
        <f t="shared" si="49"/>
        <v>-4767.7267054383456</v>
      </c>
      <c r="O295" s="138">
        <f t="shared" si="54"/>
        <v>-66573.501271813584</v>
      </c>
      <c r="P295" s="35">
        <f>O295/'D) Ecrêtage'!C295</f>
        <v>-6.6581056890149473</v>
      </c>
      <c r="Q295" s="134"/>
    </row>
    <row r="296" spans="1:17" x14ac:dyDescent="0.25">
      <c r="A296" s="51">
        <f>+'A) Base RI'!A298</f>
        <v>5919</v>
      </c>
      <c r="B296" s="321" t="str">
        <f>+'A) Base RI'!B298</f>
        <v>Mathod</v>
      </c>
      <c r="C296" s="335">
        <f>+'D) Ecrêtage'!M296</f>
        <v>15974.205138888889</v>
      </c>
      <c r="D296" s="310">
        <v>400528</v>
      </c>
      <c r="E296" s="335">
        <v>37324</v>
      </c>
      <c r="F296" s="310">
        <v>31603</v>
      </c>
      <c r="G296" s="335">
        <f t="shared" si="50"/>
        <v>469455</v>
      </c>
      <c r="H296" s="310">
        <f t="shared" si="51"/>
        <v>127793.64111111111</v>
      </c>
      <c r="I296" s="10">
        <f t="shared" si="52"/>
        <v>341661.35888888891</v>
      </c>
      <c r="J296" s="332">
        <f t="shared" si="47"/>
        <v>-244912.79067008392</v>
      </c>
      <c r="K296" s="15">
        <v>-1854</v>
      </c>
      <c r="L296" s="10">
        <f t="shared" si="48"/>
        <v>15974.205138888889</v>
      </c>
      <c r="M296" s="15">
        <f t="shared" si="53"/>
        <v>0</v>
      </c>
      <c r="N296" s="2">
        <f t="shared" si="49"/>
        <v>0</v>
      </c>
      <c r="O296" s="138">
        <f t="shared" si="54"/>
        <v>-244912.79067008392</v>
      </c>
      <c r="P296" s="35">
        <f>O296/'D) Ecrêtage'!C296</f>
        <v>-15.331766966848857</v>
      </c>
      <c r="Q296" s="134"/>
    </row>
    <row r="297" spans="1:17" x14ac:dyDescent="0.25">
      <c r="A297" s="51">
        <f>+'A) Base RI'!A299</f>
        <v>5921</v>
      </c>
      <c r="B297" s="321" t="str">
        <f>+'A) Base RI'!B299</f>
        <v>Molondin</v>
      </c>
      <c r="C297" s="335">
        <f>+'D) Ecrêtage'!M297</f>
        <v>5428.3767901234569</v>
      </c>
      <c r="D297" s="310">
        <v>29330</v>
      </c>
      <c r="E297" s="335">
        <v>8835</v>
      </c>
      <c r="F297" s="310">
        <v>15839</v>
      </c>
      <c r="G297" s="335">
        <f t="shared" si="50"/>
        <v>54004</v>
      </c>
      <c r="H297" s="310">
        <f t="shared" si="51"/>
        <v>43427.014320987655</v>
      </c>
      <c r="I297" s="10">
        <f t="shared" si="52"/>
        <v>10576.985679012345</v>
      </c>
      <c r="J297" s="332">
        <f t="shared" si="47"/>
        <v>-7581.8907000450645</v>
      </c>
      <c r="K297" s="15">
        <v>45837</v>
      </c>
      <c r="L297" s="10">
        <f t="shared" si="48"/>
        <v>5428.3767901234569</v>
      </c>
      <c r="M297" s="15">
        <f t="shared" si="53"/>
        <v>40408.623209876547</v>
      </c>
      <c r="N297" s="2">
        <f t="shared" si="49"/>
        <v>-28966.075384267384</v>
      </c>
      <c r="O297" s="138">
        <f t="shared" si="54"/>
        <v>-36547.966084312451</v>
      </c>
      <c r="P297" s="35">
        <f>O297/'D) Ecrêtage'!C297</f>
        <v>-6.7327614676285661</v>
      </c>
      <c r="Q297" s="134"/>
    </row>
    <row r="298" spans="1:17" x14ac:dyDescent="0.25">
      <c r="A298" s="51">
        <f>+'A) Base RI'!A300</f>
        <v>5922</v>
      </c>
      <c r="B298" s="321" t="str">
        <f>+'A) Base RI'!B300</f>
        <v>Montagny-près-Yverdon</v>
      </c>
      <c r="C298" s="335">
        <f>+'D) Ecrêtage'!M298</f>
        <v>46148.683999846275</v>
      </c>
      <c r="D298" s="310">
        <v>124985</v>
      </c>
      <c r="E298" s="335">
        <v>334596</v>
      </c>
      <c r="F298" s="310">
        <v>145453</v>
      </c>
      <c r="G298" s="335">
        <f t="shared" si="50"/>
        <v>605034</v>
      </c>
      <c r="H298" s="310">
        <f t="shared" si="51"/>
        <v>369189.4719987702</v>
      </c>
      <c r="I298" s="10">
        <f t="shared" si="52"/>
        <v>235844.5280012298</v>
      </c>
      <c r="J298" s="332">
        <f t="shared" si="47"/>
        <v>-169060.21127146078</v>
      </c>
      <c r="K298" s="15">
        <v>6880</v>
      </c>
      <c r="L298" s="10">
        <f t="shared" si="48"/>
        <v>46148.683999846275</v>
      </c>
      <c r="M298" s="15">
        <f t="shared" si="53"/>
        <v>0</v>
      </c>
      <c r="N298" s="2">
        <f t="shared" si="49"/>
        <v>0</v>
      </c>
      <c r="O298" s="138">
        <f t="shared" si="54"/>
        <v>-169060.21127146078</v>
      </c>
      <c r="P298" s="35">
        <f>O298/'D) Ecrêtage'!C298</f>
        <v>-3.516141058255156</v>
      </c>
      <c r="Q298" s="134"/>
    </row>
    <row r="299" spans="1:17" x14ac:dyDescent="0.25">
      <c r="A299" s="51">
        <f>+'A) Base RI'!A301</f>
        <v>5923</v>
      </c>
      <c r="B299" s="321" t="str">
        <f>+'A) Base RI'!B301</f>
        <v>Oppens</v>
      </c>
      <c r="C299" s="335">
        <f>+'D) Ecrêtage'!M299</f>
        <v>4655.3639506172849</v>
      </c>
      <c r="D299" s="310">
        <v>40366</v>
      </c>
      <c r="E299" s="335">
        <v>11063</v>
      </c>
      <c r="F299" s="310">
        <v>16460</v>
      </c>
      <c r="G299" s="335">
        <f t="shared" si="50"/>
        <v>67889</v>
      </c>
      <c r="H299" s="310">
        <f t="shared" si="51"/>
        <v>37242.911604938279</v>
      </c>
      <c r="I299" s="10">
        <f t="shared" si="52"/>
        <v>30646.088395061721</v>
      </c>
      <c r="J299" s="332">
        <f t="shared" si="47"/>
        <v>-21968.006731476849</v>
      </c>
      <c r="K299" s="15">
        <v>33476</v>
      </c>
      <c r="L299" s="10">
        <f t="shared" si="48"/>
        <v>4655.3639506172849</v>
      </c>
      <c r="M299" s="15">
        <f t="shared" si="53"/>
        <v>28820.636049382716</v>
      </c>
      <c r="N299" s="2">
        <f t="shared" si="49"/>
        <v>-20659.469442772544</v>
      </c>
      <c r="O299" s="138">
        <f t="shared" si="54"/>
        <v>-42627.476174249394</v>
      </c>
      <c r="P299" s="35">
        <f>O299/'D) Ecrêtage'!C299</f>
        <v>-9.1566366510607917</v>
      </c>
      <c r="Q299" s="134"/>
    </row>
    <row r="300" spans="1:17" x14ac:dyDescent="0.25">
      <c r="A300" s="51">
        <f>+'A) Base RI'!A302</f>
        <v>5924</v>
      </c>
      <c r="B300" s="321" t="str">
        <f>+'A) Base RI'!B302</f>
        <v>Orges</v>
      </c>
      <c r="C300" s="335">
        <f>+'D) Ecrêtage'!M300</f>
        <v>10584.548243243244</v>
      </c>
      <c r="D300" s="310">
        <v>31103</v>
      </c>
      <c r="E300" s="335">
        <v>11833</v>
      </c>
      <c r="F300" s="310">
        <v>40169</v>
      </c>
      <c r="G300" s="335">
        <f t="shared" si="50"/>
        <v>83105</v>
      </c>
      <c r="H300" s="310">
        <f t="shared" si="51"/>
        <v>84676.385945945949</v>
      </c>
      <c r="I300" s="10">
        <f t="shared" si="52"/>
        <v>0</v>
      </c>
      <c r="J300" s="332">
        <f t="shared" si="47"/>
        <v>0</v>
      </c>
      <c r="K300" s="15">
        <v>1324</v>
      </c>
      <c r="L300" s="10">
        <f t="shared" si="48"/>
        <v>10584.548243243244</v>
      </c>
      <c r="M300" s="15">
        <f t="shared" si="53"/>
        <v>0</v>
      </c>
      <c r="N300" s="2">
        <f t="shared" si="49"/>
        <v>0</v>
      </c>
      <c r="O300" s="138">
        <f t="shared" si="54"/>
        <v>0</v>
      </c>
      <c r="P300" s="35">
        <f>O300/'D) Ecrêtage'!C300</f>
        <v>0</v>
      </c>
      <c r="Q300" s="134"/>
    </row>
    <row r="301" spans="1:17" x14ac:dyDescent="0.25">
      <c r="A301" s="51">
        <f>+'A) Base RI'!A303</f>
        <v>5925</v>
      </c>
      <c r="B301" s="321" t="str">
        <f>+'A) Base RI'!B303</f>
        <v>Orzens</v>
      </c>
      <c r="C301" s="335">
        <f>+'D) Ecrêtage'!M301</f>
        <v>4781.2708860759494</v>
      </c>
      <c r="D301" s="310">
        <v>13896</v>
      </c>
      <c r="E301" s="335">
        <v>12158</v>
      </c>
      <c r="F301" s="310">
        <v>18088</v>
      </c>
      <c r="G301" s="335">
        <f t="shared" si="50"/>
        <v>44142</v>
      </c>
      <c r="H301" s="310">
        <f t="shared" si="51"/>
        <v>38250.167088607595</v>
      </c>
      <c r="I301" s="10">
        <f t="shared" si="52"/>
        <v>5891.8329113924046</v>
      </c>
      <c r="J301" s="332">
        <f t="shared" si="47"/>
        <v>-4223.4370465061284</v>
      </c>
      <c r="K301" s="15">
        <v>13379</v>
      </c>
      <c r="L301" s="10">
        <f t="shared" si="48"/>
        <v>4781.2708860759494</v>
      </c>
      <c r="M301" s="15">
        <f t="shared" si="53"/>
        <v>8597.7291139240515</v>
      </c>
      <c r="N301" s="2">
        <f t="shared" si="49"/>
        <v>-6163.1020773448263</v>
      </c>
      <c r="O301" s="138">
        <f t="shared" si="54"/>
        <v>-10386.539123850955</v>
      </c>
      <c r="P301" s="35">
        <f>O301/'D) Ecrêtage'!C301</f>
        <v>-2.172338562556392</v>
      </c>
      <c r="Q301" s="134"/>
    </row>
    <row r="302" spans="1:17" x14ac:dyDescent="0.25">
      <c r="A302" s="51">
        <f>+'A) Base RI'!A304</f>
        <v>5926</v>
      </c>
      <c r="B302" s="321" t="str">
        <f>+'A) Base RI'!B304</f>
        <v>Pomy</v>
      </c>
      <c r="C302" s="335">
        <f>+'D) Ecrêtage'!M302</f>
        <v>23350.72985915493</v>
      </c>
      <c r="D302" s="310">
        <v>96966</v>
      </c>
      <c r="E302" s="335">
        <v>46198</v>
      </c>
      <c r="F302" s="310">
        <v>75622</v>
      </c>
      <c r="G302" s="335">
        <f t="shared" si="50"/>
        <v>218786</v>
      </c>
      <c r="H302" s="310">
        <f t="shared" si="51"/>
        <v>186805.83887323944</v>
      </c>
      <c r="I302" s="10">
        <f t="shared" si="52"/>
        <v>31980.161126760562</v>
      </c>
      <c r="J302" s="332">
        <f t="shared" si="47"/>
        <v>-22924.308833475694</v>
      </c>
      <c r="K302" s="15">
        <v>39352</v>
      </c>
      <c r="L302" s="10">
        <f t="shared" si="48"/>
        <v>23350.72985915493</v>
      </c>
      <c r="M302" s="15">
        <f t="shared" si="53"/>
        <v>16001.27014084507</v>
      </c>
      <c r="N302" s="2">
        <f t="shared" si="49"/>
        <v>-11470.175431031745</v>
      </c>
      <c r="O302" s="138">
        <f t="shared" si="54"/>
        <v>-34394.484264507439</v>
      </c>
      <c r="P302" s="35">
        <f>O302/'D) Ecrêtage'!C302</f>
        <v>-1.4729511442239855</v>
      </c>
      <c r="Q302" s="134"/>
    </row>
    <row r="303" spans="1:17" x14ac:dyDescent="0.25">
      <c r="A303" s="51">
        <f>+'A) Base RI'!A305</f>
        <v>5928</v>
      </c>
      <c r="B303" s="321" t="str">
        <f>+'A) Base RI'!B305</f>
        <v>Rovray</v>
      </c>
      <c r="C303" s="335">
        <f>+'D) Ecrêtage'!M303</f>
        <v>4495.7758904109587</v>
      </c>
      <c r="D303" s="310">
        <v>30330</v>
      </c>
      <c r="E303" s="335">
        <v>6970</v>
      </c>
      <c r="F303" s="310">
        <v>16630</v>
      </c>
      <c r="G303" s="335">
        <f t="shared" si="50"/>
        <v>53930</v>
      </c>
      <c r="H303" s="310">
        <f t="shared" si="51"/>
        <v>35966.20712328767</v>
      </c>
      <c r="I303" s="10">
        <f t="shared" si="52"/>
        <v>17963.79287671233</v>
      </c>
      <c r="J303" s="332">
        <f t="shared" si="47"/>
        <v>-12876.968758664236</v>
      </c>
      <c r="K303" s="15">
        <v>2042</v>
      </c>
      <c r="L303" s="10">
        <f t="shared" si="48"/>
        <v>4495.7758904109587</v>
      </c>
      <c r="M303" s="15">
        <f t="shared" si="53"/>
        <v>0</v>
      </c>
      <c r="N303" s="2">
        <f t="shared" si="49"/>
        <v>0</v>
      </c>
      <c r="O303" s="138">
        <f t="shared" si="54"/>
        <v>-12876.968758664236</v>
      </c>
      <c r="P303" s="35">
        <f>O303/'D) Ecrêtage'!C303</f>
        <v>-2.8642372468186248</v>
      </c>
      <c r="Q303" s="134"/>
    </row>
    <row r="304" spans="1:17" x14ac:dyDescent="0.25">
      <c r="A304" s="51">
        <f>+'A) Base RI'!A306</f>
        <v>5929</v>
      </c>
      <c r="B304" s="321" t="str">
        <f>+'A) Base RI'!B306</f>
        <v>Suchy</v>
      </c>
      <c r="C304" s="335">
        <f>+'D) Ecrêtage'!M304</f>
        <v>17118.434321428569</v>
      </c>
      <c r="D304" s="310">
        <v>30767</v>
      </c>
      <c r="E304" s="335">
        <v>24558</v>
      </c>
      <c r="F304" s="310">
        <v>86783</v>
      </c>
      <c r="G304" s="335">
        <f t="shared" si="50"/>
        <v>142108</v>
      </c>
      <c r="H304" s="310">
        <f t="shared" si="51"/>
        <v>136947.47457142855</v>
      </c>
      <c r="I304" s="10">
        <f t="shared" si="52"/>
        <v>5160.5254285714473</v>
      </c>
      <c r="J304" s="332">
        <f t="shared" si="47"/>
        <v>-3699.2145911542425</v>
      </c>
      <c r="K304" s="15">
        <v>37800</v>
      </c>
      <c r="L304" s="10">
        <f t="shared" si="48"/>
        <v>17118.434321428569</v>
      </c>
      <c r="M304" s="15">
        <f t="shared" si="53"/>
        <v>20681.565678571431</v>
      </c>
      <c r="N304" s="2">
        <f t="shared" si="49"/>
        <v>-14825.147281032725</v>
      </c>
      <c r="O304" s="138">
        <f t="shared" si="54"/>
        <v>-18524.361872186968</v>
      </c>
      <c r="P304" s="35">
        <f>O304/'D) Ecrêtage'!C304</f>
        <v>-1.0821294473758316</v>
      </c>
      <c r="Q304" s="134"/>
    </row>
    <row r="305" spans="1:17" x14ac:dyDescent="0.25">
      <c r="A305" s="51">
        <f>+'A) Base RI'!A307</f>
        <v>5930</v>
      </c>
      <c r="B305" s="321" t="str">
        <f>+'A) Base RI'!B307</f>
        <v>Suscévaz</v>
      </c>
      <c r="C305" s="335">
        <f>+'D) Ecrêtage'!M305</f>
        <v>5362.7113888888889</v>
      </c>
      <c r="D305" s="310">
        <v>65827</v>
      </c>
      <c r="E305" s="335">
        <v>12280</v>
      </c>
      <c r="F305" s="310">
        <v>10783</v>
      </c>
      <c r="G305" s="335">
        <f t="shared" si="50"/>
        <v>88890</v>
      </c>
      <c r="H305" s="310">
        <f t="shared" si="51"/>
        <v>42901.691111111111</v>
      </c>
      <c r="I305" s="10">
        <f t="shared" si="52"/>
        <v>45988.308888888889</v>
      </c>
      <c r="J305" s="332">
        <f t="shared" si="47"/>
        <v>-32965.756223660239</v>
      </c>
      <c r="K305" s="15">
        <v>1798</v>
      </c>
      <c r="L305" s="10">
        <f t="shared" si="48"/>
        <v>5362.7113888888889</v>
      </c>
      <c r="M305" s="15">
        <f t="shared" si="53"/>
        <v>0</v>
      </c>
      <c r="N305" s="2">
        <f t="shared" si="49"/>
        <v>0</v>
      </c>
      <c r="O305" s="138">
        <f t="shared" si="54"/>
        <v>-32965.756223660239</v>
      </c>
      <c r="P305" s="35">
        <f>O305/'D) Ecrêtage'!C305</f>
        <v>-6.1472180457002894</v>
      </c>
      <c r="Q305" s="134"/>
    </row>
    <row r="306" spans="1:17" x14ac:dyDescent="0.25">
      <c r="A306" s="51">
        <f>+'A) Base RI'!A308</f>
        <v>5931</v>
      </c>
      <c r="B306" s="321" t="str">
        <f>+'A) Base RI'!B308</f>
        <v>Treycovagnes</v>
      </c>
      <c r="C306" s="335">
        <f>+'D) Ecrêtage'!M306</f>
        <v>13288.6564</v>
      </c>
      <c r="D306" s="310">
        <v>79500</v>
      </c>
      <c r="E306" s="335">
        <v>27111</v>
      </c>
      <c r="F306" s="310">
        <v>20434</v>
      </c>
      <c r="G306" s="335">
        <f t="shared" si="50"/>
        <v>127045</v>
      </c>
      <c r="H306" s="310">
        <f t="shared" si="51"/>
        <v>106309.2512</v>
      </c>
      <c r="I306" s="10">
        <f t="shared" si="52"/>
        <v>20735.748800000001</v>
      </c>
      <c r="J306" s="332">
        <f t="shared" si="47"/>
        <v>-14863.987317024628</v>
      </c>
      <c r="K306" s="15">
        <v>827</v>
      </c>
      <c r="L306" s="10">
        <f t="shared" si="48"/>
        <v>13288.6564</v>
      </c>
      <c r="M306" s="15">
        <f t="shared" si="53"/>
        <v>0</v>
      </c>
      <c r="N306" s="2">
        <f t="shared" si="49"/>
        <v>0</v>
      </c>
      <c r="O306" s="138">
        <f t="shared" si="54"/>
        <v>-14863.987317024628</v>
      </c>
      <c r="P306" s="35">
        <f>O306/'D) Ecrêtage'!C306</f>
        <v>-1.1185470426509507</v>
      </c>
      <c r="Q306" s="134"/>
    </row>
    <row r="307" spans="1:17" x14ac:dyDescent="0.25">
      <c r="A307" s="51">
        <f>+'A) Base RI'!A309</f>
        <v>5932</v>
      </c>
      <c r="B307" s="321" t="str">
        <f>+'A) Base RI'!B309</f>
        <v>Ursins</v>
      </c>
      <c r="C307" s="335">
        <f>+'D) Ecrêtage'!M307</f>
        <v>6858.6807692307693</v>
      </c>
      <c r="D307" s="310">
        <v>28081</v>
      </c>
      <c r="E307" s="335">
        <v>8510</v>
      </c>
      <c r="F307" s="310">
        <v>8603</v>
      </c>
      <c r="G307" s="335">
        <f t="shared" si="50"/>
        <v>45194</v>
      </c>
      <c r="H307" s="310">
        <f t="shared" si="51"/>
        <v>54869.446153846155</v>
      </c>
      <c r="I307" s="10">
        <f t="shared" si="52"/>
        <v>0</v>
      </c>
      <c r="J307" s="332">
        <f t="shared" si="47"/>
        <v>0</v>
      </c>
      <c r="K307" s="15">
        <v>15161</v>
      </c>
      <c r="L307" s="10">
        <f t="shared" si="48"/>
        <v>6858.6807692307693</v>
      </c>
      <c r="M307" s="15">
        <f t="shared" si="53"/>
        <v>8302.3192307692298</v>
      </c>
      <c r="N307" s="2">
        <f t="shared" si="49"/>
        <v>-5951.3436885406081</v>
      </c>
      <c r="O307" s="138">
        <f t="shared" si="54"/>
        <v>-5951.3436885406081</v>
      </c>
      <c r="P307" s="35">
        <f>O307/'D) Ecrêtage'!C307</f>
        <v>-0.86770967898657236</v>
      </c>
      <c r="Q307" s="134"/>
    </row>
    <row r="308" spans="1:17" x14ac:dyDescent="0.25">
      <c r="A308" s="51">
        <f>+'A) Base RI'!A310</f>
        <v>5933</v>
      </c>
      <c r="B308" s="321" t="str">
        <f>+'A) Base RI'!B310</f>
        <v>Valeyres-sous-Montagny</v>
      </c>
      <c r="C308" s="335">
        <f>+'D) Ecrêtage'!M308</f>
        <v>20763.196805555559</v>
      </c>
      <c r="D308" s="310">
        <v>388275</v>
      </c>
      <c r="E308" s="335">
        <v>69805</v>
      </c>
      <c r="F308" s="310">
        <v>85931</v>
      </c>
      <c r="G308" s="335">
        <f t="shared" si="50"/>
        <v>544011</v>
      </c>
      <c r="H308" s="310">
        <f t="shared" si="51"/>
        <v>166105.57444444447</v>
      </c>
      <c r="I308" s="10">
        <f t="shared" si="52"/>
        <v>377905.4255555555</v>
      </c>
      <c r="J308" s="332">
        <f t="shared" si="47"/>
        <v>-270893.59090290347</v>
      </c>
      <c r="K308" s="15">
        <v>6224</v>
      </c>
      <c r="L308" s="10">
        <f t="shared" si="48"/>
        <v>20763.196805555559</v>
      </c>
      <c r="M308" s="15">
        <f t="shared" si="53"/>
        <v>0</v>
      </c>
      <c r="N308" s="2">
        <f t="shared" si="49"/>
        <v>0</v>
      </c>
      <c r="O308" s="138">
        <f t="shared" si="54"/>
        <v>-270893.59090290347</v>
      </c>
      <c r="P308" s="35">
        <f>O308/'D) Ecrêtage'!C308</f>
        <v>-13.046815162413772</v>
      </c>
      <c r="Q308" s="134"/>
    </row>
    <row r="309" spans="1:17" x14ac:dyDescent="0.25">
      <c r="A309" s="51">
        <f>+'A) Base RI'!A311</f>
        <v>5934</v>
      </c>
      <c r="B309" s="321" t="str">
        <f>+'A) Base RI'!B311</f>
        <v>Valeyres-sous-Ursins</v>
      </c>
      <c r="C309" s="335">
        <f>+'D) Ecrêtage'!M309</f>
        <v>6895.611012658228</v>
      </c>
      <c r="D309" s="310">
        <v>20668</v>
      </c>
      <c r="E309" s="335">
        <v>10010</v>
      </c>
      <c r="F309" s="310">
        <v>12357</v>
      </c>
      <c r="G309" s="335">
        <f t="shared" si="50"/>
        <v>43035</v>
      </c>
      <c r="H309" s="310">
        <f t="shared" si="51"/>
        <v>55164.888101265824</v>
      </c>
      <c r="I309" s="10">
        <f t="shared" si="52"/>
        <v>0</v>
      </c>
      <c r="J309" s="332">
        <f t="shared" si="47"/>
        <v>0</v>
      </c>
      <c r="K309" s="15">
        <v>14324</v>
      </c>
      <c r="L309" s="10">
        <f t="shared" si="48"/>
        <v>6895.611012658228</v>
      </c>
      <c r="M309" s="15">
        <f t="shared" si="53"/>
        <v>7428.388987341772</v>
      </c>
      <c r="N309" s="2">
        <f t="shared" si="49"/>
        <v>-5324.8850937938405</v>
      </c>
      <c r="O309" s="138">
        <f t="shared" si="54"/>
        <v>-5324.8850937938405</v>
      </c>
      <c r="P309" s="35">
        <f>O309/'D) Ecrêtage'!C309</f>
        <v>-0.77221367098854388</v>
      </c>
      <c r="Q309" s="134"/>
    </row>
    <row r="310" spans="1:17" x14ac:dyDescent="0.25">
      <c r="A310" s="51">
        <f>+'A) Base RI'!A312</f>
        <v>5935</v>
      </c>
      <c r="B310" s="321" t="str">
        <f>+'A) Base RI'!B312</f>
        <v>Villars-Epeney</v>
      </c>
      <c r="C310" s="335">
        <f>+'D) Ecrêtage'!M310</f>
        <v>5507.9496666666664</v>
      </c>
      <c r="D310" s="310">
        <v>15116</v>
      </c>
      <c r="E310" s="335">
        <v>4255</v>
      </c>
      <c r="F310" s="310">
        <v>8053</v>
      </c>
      <c r="G310" s="335">
        <f t="shared" si="50"/>
        <v>27424</v>
      </c>
      <c r="H310" s="310">
        <f t="shared" si="51"/>
        <v>44063.597333333331</v>
      </c>
      <c r="I310" s="10">
        <f t="shared" si="52"/>
        <v>0</v>
      </c>
      <c r="J310" s="332">
        <f t="shared" si="47"/>
        <v>0</v>
      </c>
      <c r="K310" s="15">
        <v>26780</v>
      </c>
      <c r="L310" s="10">
        <f t="shared" si="48"/>
        <v>5507.9496666666664</v>
      </c>
      <c r="M310" s="15">
        <f t="shared" si="53"/>
        <v>21272.050333333333</v>
      </c>
      <c r="N310" s="2">
        <f t="shared" si="49"/>
        <v>-15248.423840945457</v>
      </c>
      <c r="O310" s="138">
        <f t="shared" si="54"/>
        <v>-15248.423840945457</v>
      </c>
      <c r="P310" s="35">
        <f>O310/'D) Ecrêtage'!C310</f>
        <v>-2.7684392130935338</v>
      </c>
      <c r="Q310" s="134"/>
    </row>
    <row r="311" spans="1:17" x14ac:dyDescent="0.25">
      <c r="A311" s="51">
        <f>+'A) Base RI'!A313</f>
        <v>5937</v>
      </c>
      <c r="B311" s="321" t="str">
        <f>+'A) Base RI'!B313</f>
        <v>Vugelles-La Mothe</v>
      </c>
      <c r="C311" s="335">
        <f>+'D) Ecrêtage'!M311</f>
        <v>2890.9266938775513</v>
      </c>
      <c r="D311" s="310">
        <v>31737</v>
      </c>
      <c r="E311" s="335">
        <v>5430</v>
      </c>
      <c r="F311" s="310">
        <v>21671</v>
      </c>
      <c r="G311" s="335">
        <f t="shared" si="50"/>
        <v>58838</v>
      </c>
      <c r="H311" s="310">
        <f t="shared" si="51"/>
        <v>23127.413551020411</v>
      </c>
      <c r="I311" s="10">
        <f t="shared" si="52"/>
        <v>35710.586448979593</v>
      </c>
      <c r="J311" s="332">
        <f t="shared" si="47"/>
        <v>-25598.386109940926</v>
      </c>
      <c r="K311" s="15">
        <v>5367</v>
      </c>
      <c r="L311" s="10">
        <f t="shared" si="48"/>
        <v>2890.9266938775513</v>
      </c>
      <c r="M311" s="15">
        <f t="shared" si="53"/>
        <v>2476.0733061224487</v>
      </c>
      <c r="N311" s="2">
        <f t="shared" si="49"/>
        <v>-1774.9213000799525</v>
      </c>
      <c r="O311" s="138">
        <f t="shared" si="54"/>
        <v>-27373.30741002088</v>
      </c>
      <c r="P311" s="35">
        <f>O311/'D) Ecrêtage'!C311</f>
        <v>-9.4686964799185294</v>
      </c>
      <c r="Q311" s="134"/>
    </row>
    <row r="312" spans="1:17" x14ac:dyDescent="0.25">
      <c r="A312" s="51">
        <f>+'A) Base RI'!A314</f>
        <v>5938</v>
      </c>
      <c r="B312" s="321" t="str">
        <f>+'A) Base RI'!B314</f>
        <v>Yverdon-les-Bains</v>
      </c>
      <c r="C312" s="335">
        <f>+'D) Ecrêtage'!M312</f>
        <v>801914.63490196085</v>
      </c>
      <c r="D312" s="310">
        <v>8962319</v>
      </c>
      <c r="E312" s="335">
        <v>7031994</v>
      </c>
      <c r="F312" s="310">
        <v>753650</v>
      </c>
      <c r="G312" s="335">
        <f t="shared" si="50"/>
        <v>16747963</v>
      </c>
      <c r="H312" s="310">
        <f t="shared" si="51"/>
        <v>6415317.0792156868</v>
      </c>
      <c r="I312" s="10">
        <f t="shared" si="52"/>
        <v>10332645.920784313</v>
      </c>
      <c r="J312" s="332">
        <f t="shared" si="47"/>
        <v>-7406740.8608771479</v>
      </c>
      <c r="K312" s="15">
        <v>242311</v>
      </c>
      <c r="L312" s="10">
        <f t="shared" si="48"/>
        <v>801914.63490196085</v>
      </c>
      <c r="M312" s="15">
        <f t="shared" si="53"/>
        <v>0</v>
      </c>
      <c r="N312" s="2">
        <f t="shared" si="49"/>
        <v>0</v>
      </c>
      <c r="O312" s="138">
        <f t="shared" si="54"/>
        <v>-7406740.8608771479</v>
      </c>
      <c r="P312" s="35">
        <f>O312/'D) Ecrêtage'!C312</f>
        <v>-9.2363208482691785</v>
      </c>
      <c r="Q312" s="134"/>
    </row>
    <row r="313" spans="1:17" x14ac:dyDescent="0.25">
      <c r="A313" s="51">
        <f>+'A) Base RI'!A315</f>
        <v>5939</v>
      </c>
      <c r="B313" s="321" t="str">
        <f>+'A) Base RI'!B315</f>
        <v>Yvonand</v>
      </c>
      <c r="C313" s="335">
        <f>+'D) Ecrêtage'!M313</f>
        <v>93413.424931506845</v>
      </c>
      <c r="D313" s="310">
        <v>549701</v>
      </c>
      <c r="E313" s="335">
        <v>327849</v>
      </c>
      <c r="F313" s="310">
        <v>299162</v>
      </c>
      <c r="G313" s="335">
        <f t="shared" si="50"/>
        <v>1176712</v>
      </c>
      <c r="H313" s="310">
        <f t="shared" si="51"/>
        <v>747307.39945205476</v>
      </c>
      <c r="I313" s="10">
        <f t="shared" si="52"/>
        <v>429404.60054794524</v>
      </c>
      <c r="J313" s="332">
        <f t="shared" si="47"/>
        <v>-307809.69609434524</v>
      </c>
      <c r="K313" s="76">
        <v>135713</v>
      </c>
      <c r="L313" s="20">
        <f t="shared" si="48"/>
        <v>93413.424931506845</v>
      </c>
      <c r="M313" s="76">
        <f t="shared" si="53"/>
        <v>42299.575068493155</v>
      </c>
      <c r="N313" s="139">
        <f t="shared" si="49"/>
        <v>-30321.564627249601</v>
      </c>
      <c r="O313" s="140">
        <f t="shared" si="54"/>
        <v>-338131.26072159485</v>
      </c>
      <c r="P313" s="35">
        <f>O313/'D) Ecrêtage'!C313</f>
        <v>-3.6197287592176552</v>
      </c>
      <c r="Q313" s="134"/>
    </row>
    <row r="314" spans="1:17" x14ac:dyDescent="0.25">
      <c r="A314" s="84"/>
      <c r="B314" s="328">
        <f>COUNTA(B5:B313)</f>
        <v>309</v>
      </c>
      <c r="C314" s="11">
        <f t="shared" ref="C314:N314" si="55">SUM(C5:C313)</f>
        <v>35582677.91930794</v>
      </c>
      <c r="D314" s="329">
        <f t="shared" si="55"/>
        <v>253789545</v>
      </c>
      <c r="E314" s="11">
        <f t="shared" si="55"/>
        <v>153325569</v>
      </c>
      <c r="F314" s="329">
        <f t="shared" si="55"/>
        <v>42669125</v>
      </c>
      <c r="G314" s="11">
        <f t="shared" si="55"/>
        <v>449784239</v>
      </c>
      <c r="H314" s="329">
        <f t="shared" si="55"/>
        <v>284661423.35446352</v>
      </c>
      <c r="I314" s="11">
        <f t="shared" si="55"/>
        <v>190323510.07011327</v>
      </c>
      <c r="J314" s="333">
        <f t="shared" si="55"/>
        <v>-136429422.78572416</v>
      </c>
      <c r="K314" s="127">
        <f t="shared" si="55"/>
        <v>22084942</v>
      </c>
      <c r="L314" s="20">
        <f t="shared" si="55"/>
        <v>35582677.91930794</v>
      </c>
      <c r="M314" s="11">
        <f t="shared" si="55"/>
        <v>8232491.1506333705</v>
      </c>
      <c r="N314" s="139">
        <f t="shared" si="55"/>
        <v>-5901288.8915075911</v>
      </c>
      <c r="O314" s="39">
        <f>SUM(O5:O313)</f>
        <v>-142330711.67723176</v>
      </c>
      <c r="P314" s="21">
        <f>O314/'D) Ecrêtage'!C314</f>
        <v>-3.8711355449077378</v>
      </c>
    </row>
  </sheetData>
  <mergeCells count="10">
    <mergeCell ref="D3:D4"/>
    <mergeCell ref="C3:C4"/>
    <mergeCell ref="B3:B4"/>
    <mergeCell ref="A3:A4"/>
    <mergeCell ref="L3:L4"/>
    <mergeCell ref="K3:K4"/>
    <mergeCell ref="H3:H4"/>
    <mergeCell ref="G3:G4"/>
    <mergeCell ref="F3:F4"/>
    <mergeCell ref="E3:E4"/>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00B050"/>
  </sheetPr>
  <dimension ref="A1:Y320"/>
  <sheetViews>
    <sheetView workbookViewId="0">
      <pane ySplit="4" topLeftCell="A290" activePane="bottomLeft" state="frozen"/>
      <selection pane="bottomLeft" activeCell="A5" sqref="A5"/>
    </sheetView>
  </sheetViews>
  <sheetFormatPr baseColWidth="10" defaultColWidth="10.75" defaultRowHeight="15" x14ac:dyDescent="0.25"/>
  <cols>
    <col min="1" max="1" width="7.25" style="14" customWidth="1"/>
    <col min="2" max="2" width="19.875" style="14" customWidth="1"/>
    <col min="3" max="4" width="10" style="14" customWidth="1"/>
    <col min="5" max="5" width="11.125" style="14" customWidth="1"/>
    <col min="6" max="7" width="10" style="14" customWidth="1"/>
    <col min="8" max="8" width="10" style="147" customWidth="1"/>
    <col min="9" max="9" width="10" style="14" customWidth="1"/>
    <col min="10" max="10" width="10" style="16" customWidth="1"/>
    <col min="11" max="11" width="12.125" style="16" customWidth="1"/>
    <col min="12" max="14" width="12.125" style="14" customWidth="1"/>
    <col min="15" max="17" width="8.125" style="14" customWidth="1"/>
    <col min="18" max="16384" width="10.75" style="14"/>
  </cols>
  <sheetData>
    <row r="1" spans="1:25" s="45" customFormat="1" ht="21" x14ac:dyDescent="0.25">
      <c r="A1" s="53" t="s">
        <v>216</v>
      </c>
      <c r="B1" s="44"/>
      <c r="C1" s="74"/>
      <c r="D1" s="74"/>
      <c r="E1" s="74"/>
      <c r="F1" s="74"/>
      <c r="G1" s="74"/>
      <c r="H1" s="146"/>
      <c r="I1" s="74"/>
      <c r="J1" s="141"/>
      <c r="K1" s="142"/>
      <c r="L1" s="61"/>
      <c r="N1" s="14"/>
      <c r="O1" s="14"/>
      <c r="P1" s="14"/>
      <c r="Q1" s="14"/>
      <c r="R1" s="14"/>
      <c r="Y1" s="14"/>
    </row>
    <row r="3" spans="1:25" ht="30" x14ac:dyDescent="0.25">
      <c r="A3" s="568" t="s">
        <v>50</v>
      </c>
      <c r="B3" s="568" t="s">
        <v>101</v>
      </c>
      <c r="C3" s="568" t="s">
        <v>377</v>
      </c>
      <c r="D3" s="568" t="s">
        <v>98</v>
      </c>
      <c r="E3" s="568" t="s">
        <v>334</v>
      </c>
      <c r="F3" s="568" t="s">
        <v>375</v>
      </c>
      <c r="G3" s="583" t="s">
        <v>364</v>
      </c>
      <c r="H3" s="148" t="s">
        <v>151</v>
      </c>
      <c r="I3" s="581" t="s">
        <v>378</v>
      </c>
      <c r="J3" s="588" t="s">
        <v>346</v>
      </c>
    </row>
    <row r="4" spans="1:25" x14ac:dyDescent="0.25">
      <c r="A4" s="569"/>
      <c r="B4" s="570"/>
      <c r="C4" s="569"/>
      <c r="D4" s="570"/>
      <c r="E4" s="569"/>
      <c r="F4" s="570"/>
      <c r="G4" s="590"/>
      <c r="H4" s="275">
        <f>Paramètres!B47</f>
        <v>57.002438415899086</v>
      </c>
      <c r="I4" s="593"/>
      <c r="J4" s="589"/>
    </row>
    <row r="5" spans="1:25" x14ac:dyDescent="0.25">
      <c r="A5" s="48">
        <f>'A) Base RI'!A7</f>
        <v>5401</v>
      </c>
      <c r="B5" s="321" t="str">
        <f>'A) Base RI'!B7</f>
        <v>Aigle</v>
      </c>
      <c r="C5" s="100">
        <f>'B) D RI'!U7</f>
        <v>280807.53491358022</v>
      </c>
      <c r="D5" s="117">
        <f>'E) Fact soc'!G11/C5</f>
        <v>19.576152587821493</v>
      </c>
      <c r="E5" s="143">
        <f>'H) Péréquation directe'!I16/C5</f>
        <v>-10.944458825400933</v>
      </c>
      <c r="F5" s="117">
        <f>+'I) Dépenses thématiques'!O5/'J) Plafonnement effort'!C5</f>
        <v>-7.8867439719058474</v>
      </c>
      <c r="G5" s="143">
        <f>SUM(D5:F5)</f>
        <v>0.74494979051471333</v>
      </c>
      <c r="H5" s="336">
        <f t="shared" ref="H5" si="0">IF(G5&gt;H$4,H$4-G5,0)</f>
        <v>0</v>
      </c>
      <c r="I5" s="106">
        <f>H5*C5</f>
        <v>0</v>
      </c>
      <c r="J5" s="93">
        <f>G5+H5</f>
        <v>0.74494979051471333</v>
      </c>
    </row>
    <row r="6" spans="1:25" x14ac:dyDescent="0.25">
      <c r="A6" s="51">
        <f>'A) Base RI'!A8</f>
        <v>5402</v>
      </c>
      <c r="B6" s="321" t="str">
        <f>'A) Base RI'!B8</f>
        <v>Bex</v>
      </c>
      <c r="C6" s="101">
        <f>'B) D RI'!U8</f>
        <v>178888.62591549297</v>
      </c>
      <c r="D6" s="117">
        <f>'E) Fact soc'!G12/C6</f>
        <v>19.977687903132544</v>
      </c>
      <c r="E6" s="144">
        <f>'H) Péréquation directe'!I17/C6</f>
        <v>-19.132766100565849</v>
      </c>
      <c r="F6" s="117">
        <f>+'I) Dépenses thématiques'!O6/'J) Plafonnement effort'!C6</f>
        <v>-9.89492711806116</v>
      </c>
      <c r="G6" s="144">
        <f t="shared" ref="G6:G69" si="1">SUM(D6:F6)</f>
        <v>-9.0500053154944649</v>
      </c>
      <c r="H6" s="336">
        <f t="shared" ref="H6:H69" si="2">IF(G6&gt;H$4,H$4-G6,0)</f>
        <v>0</v>
      </c>
      <c r="I6" s="59">
        <f t="shared" ref="I6:I69" si="3">H6*C6</f>
        <v>0</v>
      </c>
      <c r="J6" s="35">
        <f t="shared" ref="J6:J69" si="4">G6+H6</f>
        <v>-9.0500053154944649</v>
      </c>
    </row>
    <row r="7" spans="1:25" x14ac:dyDescent="0.25">
      <c r="A7" s="51">
        <f>'A) Base RI'!A9</f>
        <v>5403</v>
      </c>
      <c r="B7" s="321" t="str">
        <f>'A) Base RI'!B9</f>
        <v>Chessel</v>
      </c>
      <c r="C7" s="101">
        <f>'B) D RI'!U9</f>
        <v>9797.3922972972978</v>
      </c>
      <c r="D7" s="117">
        <f>'E) Fact soc'!G13/C7</f>
        <v>18.650961168035984</v>
      </c>
      <c r="E7" s="144">
        <f>'H) Péréquation directe'!I18/C7</f>
        <v>-3.8935993735733061</v>
      </c>
      <c r="F7" s="117">
        <f>+'I) Dépenses thématiques'!O7/'J) Plafonnement effort'!C7</f>
        <v>-3.3309573825891468</v>
      </c>
      <c r="G7" s="144">
        <f t="shared" si="1"/>
        <v>11.426404411873531</v>
      </c>
      <c r="H7" s="336">
        <f t="shared" si="2"/>
        <v>0</v>
      </c>
      <c r="I7" s="59">
        <f t="shared" si="3"/>
        <v>0</v>
      </c>
      <c r="J7" s="35">
        <f t="shared" si="4"/>
        <v>11.426404411873531</v>
      </c>
    </row>
    <row r="8" spans="1:25" x14ac:dyDescent="0.25">
      <c r="A8" s="51">
        <f>'A) Base RI'!A10</f>
        <v>5404</v>
      </c>
      <c r="B8" s="321" t="str">
        <f>'A) Base RI'!B10</f>
        <v>Corbeyrier</v>
      </c>
      <c r="C8" s="101">
        <f>'B) D RI'!U10</f>
        <v>10965.354952380952</v>
      </c>
      <c r="D8" s="117">
        <f>'E) Fact soc'!G14/C8</f>
        <v>33.01523929245311</v>
      </c>
      <c r="E8" s="144">
        <f>'H) Péréquation directe'!I19/C8</f>
        <v>-0.72426637995675003</v>
      </c>
      <c r="F8" s="117">
        <f>+'I) Dépenses thématiques'!O8/'J) Plafonnement effort'!C8</f>
        <v>-19.347796519879982</v>
      </c>
      <c r="G8" s="144">
        <f t="shared" si="1"/>
        <v>12.943176392616376</v>
      </c>
      <c r="H8" s="336">
        <f t="shared" si="2"/>
        <v>0</v>
      </c>
      <c r="I8" s="59">
        <f t="shared" si="3"/>
        <v>0</v>
      </c>
      <c r="J8" s="35">
        <f t="shared" si="4"/>
        <v>12.943176392616376</v>
      </c>
    </row>
    <row r="9" spans="1:25" x14ac:dyDescent="0.25">
      <c r="A9" s="51">
        <f>'A) Base RI'!A11</f>
        <v>5405</v>
      </c>
      <c r="B9" s="321" t="str">
        <f>'A) Base RI'!B11</f>
        <v>Gryon</v>
      </c>
      <c r="C9" s="101">
        <f>'B) D RI'!U11</f>
        <v>69949.839511111102</v>
      </c>
      <c r="D9" s="117">
        <f>'E) Fact soc'!G15/C9</f>
        <v>19.648469707758579</v>
      </c>
      <c r="E9" s="144">
        <f>'H) Péréquation directe'!I20/C9</f>
        <v>15.276375579375156</v>
      </c>
      <c r="F9" s="117">
        <f>+'I) Dépenses thématiques'!O9/'J) Plafonnement effort'!C9</f>
        <v>-11.262094752678619</v>
      </c>
      <c r="G9" s="144">
        <f t="shared" si="1"/>
        <v>23.662750534455114</v>
      </c>
      <c r="H9" s="336">
        <f t="shared" si="2"/>
        <v>0</v>
      </c>
      <c r="I9" s="59">
        <f t="shared" si="3"/>
        <v>0</v>
      </c>
      <c r="J9" s="35">
        <f t="shared" si="4"/>
        <v>23.662750534455114</v>
      </c>
    </row>
    <row r="10" spans="1:25" x14ac:dyDescent="0.25">
      <c r="A10" s="51">
        <f>'A) Base RI'!A12</f>
        <v>5406</v>
      </c>
      <c r="B10" s="321" t="str">
        <f>'A) Base RI'!B12</f>
        <v>Lavey-Morcles</v>
      </c>
      <c r="C10" s="101">
        <f>'B) D RI'!U12</f>
        <v>22205.009750812569</v>
      </c>
      <c r="D10" s="117">
        <f>'E) Fact soc'!G16/C10</f>
        <v>18.516661133667668</v>
      </c>
      <c r="E10" s="144">
        <f>'H) Péréquation directe'!I21/C10</f>
        <v>-3.0047287896529191</v>
      </c>
      <c r="F10" s="117">
        <f>+'I) Dépenses thématiques'!O10/'J) Plafonnement effort'!C10</f>
        <v>-6.7088427485063225</v>
      </c>
      <c r="G10" s="144">
        <f t="shared" si="1"/>
        <v>8.8030895955084265</v>
      </c>
      <c r="H10" s="336">
        <f t="shared" si="2"/>
        <v>0</v>
      </c>
      <c r="I10" s="59">
        <f t="shared" si="3"/>
        <v>0</v>
      </c>
      <c r="J10" s="35">
        <f t="shared" si="4"/>
        <v>8.8030895955084265</v>
      </c>
    </row>
    <row r="11" spans="1:25" x14ac:dyDescent="0.25">
      <c r="A11" s="51">
        <f>'A) Base RI'!A13</f>
        <v>5407</v>
      </c>
      <c r="B11" s="321" t="str">
        <f>'A) Base RI'!B13</f>
        <v>Leysin</v>
      </c>
      <c r="C11" s="101">
        <f>'B) D RI'!U13</f>
        <v>89269.724615384606</v>
      </c>
      <c r="D11" s="117">
        <f>'E) Fact soc'!G17/C11</f>
        <v>18.946429174429273</v>
      </c>
      <c r="E11" s="144">
        <f>'H) Péréquation directe'!I22/C11</f>
        <v>-20.632787330088366</v>
      </c>
      <c r="F11" s="117">
        <f>+'I) Dépenses thématiques'!O11/'J) Plafonnement effort'!C11</f>
        <v>-21.176839301868704</v>
      </c>
      <c r="G11" s="144">
        <f t="shared" si="1"/>
        <v>-22.863197457527797</v>
      </c>
      <c r="H11" s="336">
        <f t="shared" si="2"/>
        <v>0</v>
      </c>
      <c r="I11" s="59">
        <f t="shared" si="3"/>
        <v>0</v>
      </c>
      <c r="J11" s="35">
        <f t="shared" si="4"/>
        <v>-22.863197457527797</v>
      </c>
    </row>
    <row r="12" spans="1:25" x14ac:dyDescent="0.25">
      <c r="A12" s="51">
        <f>'A) Base RI'!A14</f>
        <v>5408</v>
      </c>
      <c r="B12" s="321" t="str">
        <f>'A) Base RI'!B14</f>
        <v>Noville</v>
      </c>
      <c r="C12" s="101">
        <f>'B) D RI'!U14</f>
        <v>34371.486709129509</v>
      </c>
      <c r="D12" s="117">
        <f>'E) Fact soc'!G18/C12</f>
        <v>19.152482450923419</v>
      </c>
      <c r="E12" s="144">
        <f>'H) Péréquation directe'!I23/C12</f>
        <v>5.8882092039174143</v>
      </c>
      <c r="F12" s="117">
        <f>+'I) Dépenses thématiques'!O12/'J) Plafonnement effort'!C12</f>
        <v>-4.9801431087330936</v>
      </c>
      <c r="G12" s="144">
        <f t="shared" si="1"/>
        <v>20.060548546107739</v>
      </c>
      <c r="H12" s="336">
        <f t="shared" si="2"/>
        <v>0</v>
      </c>
      <c r="I12" s="59">
        <f t="shared" si="3"/>
        <v>0</v>
      </c>
      <c r="J12" s="35">
        <f t="shared" si="4"/>
        <v>20.060548546107739</v>
      </c>
    </row>
    <row r="13" spans="1:25" x14ac:dyDescent="0.25">
      <c r="A13" s="51">
        <f>'A) Base RI'!A15</f>
        <v>5409</v>
      </c>
      <c r="B13" s="321" t="str">
        <f>'A) Base RI'!B15</f>
        <v>Ollon</v>
      </c>
      <c r="C13" s="101">
        <f>'B) D RI'!U15</f>
        <v>372011.63303167425</v>
      </c>
      <c r="D13" s="117">
        <f>'E) Fact soc'!G19/C13</f>
        <v>18.960125489613397</v>
      </c>
      <c r="E13" s="144">
        <f>'H) Péréquation directe'!I24/C13</f>
        <v>9.7339910223167898</v>
      </c>
      <c r="F13" s="117">
        <f>+'I) Dépenses thématiques'!O13/'J) Plafonnement effort'!C13</f>
        <v>-5.2035466562518238</v>
      </c>
      <c r="G13" s="144">
        <f t="shared" si="1"/>
        <v>23.490569855678363</v>
      </c>
      <c r="H13" s="336">
        <f t="shared" si="2"/>
        <v>0</v>
      </c>
      <c r="I13" s="59">
        <f t="shared" si="3"/>
        <v>0</v>
      </c>
      <c r="J13" s="35">
        <f t="shared" si="4"/>
        <v>23.490569855678363</v>
      </c>
    </row>
    <row r="14" spans="1:25" x14ac:dyDescent="0.25">
      <c r="A14" s="51">
        <f>'A) Base RI'!A16</f>
        <v>5410</v>
      </c>
      <c r="B14" s="321" t="str">
        <f>'A) Base RI'!B16</f>
        <v>Ormont-Dessous</v>
      </c>
      <c r="C14" s="101">
        <f>'B) D RI'!U16</f>
        <v>38315.886284501066</v>
      </c>
      <c r="D14" s="117">
        <f>'E) Fact soc'!G20/C14</f>
        <v>20.28772674264329</v>
      </c>
      <c r="E14" s="144">
        <f>'H) Péréquation directe'!I25/C14</f>
        <v>7.3711592727647774</v>
      </c>
      <c r="F14" s="117">
        <f>+'I) Dépenses thématiques'!O14/'J) Plafonnement effort'!C14</f>
        <v>-22.624334669331265</v>
      </c>
      <c r="G14" s="144">
        <f t="shared" si="1"/>
        <v>5.0345513460768032</v>
      </c>
      <c r="H14" s="336">
        <f t="shared" si="2"/>
        <v>0</v>
      </c>
      <c r="I14" s="59">
        <f t="shared" si="3"/>
        <v>0</v>
      </c>
      <c r="J14" s="35">
        <f t="shared" si="4"/>
        <v>5.0345513460768032</v>
      </c>
    </row>
    <row r="15" spans="1:25" x14ac:dyDescent="0.25">
      <c r="A15" s="51">
        <f>'A) Base RI'!A17</f>
        <v>5411</v>
      </c>
      <c r="B15" s="321" t="str">
        <f>'A) Base RI'!B17</f>
        <v>Ormont-Dessus</v>
      </c>
      <c r="C15" s="101">
        <f>'B) D RI'!U17</f>
        <v>79923.40364035088</v>
      </c>
      <c r="D15" s="117">
        <f>'E) Fact soc'!G21/C15</f>
        <v>18.302861331394034</v>
      </c>
      <c r="E15" s="144">
        <f>'H) Péréquation directe'!I26/C15</f>
        <v>15.231543342402011</v>
      </c>
      <c r="F15" s="117">
        <f>+'I) Dépenses thématiques'!O15/'J) Plafonnement effort'!C15</f>
        <v>-10.931369265985216</v>
      </c>
      <c r="G15" s="144">
        <f t="shared" si="1"/>
        <v>22.603035407810829</v>
      </c>
      <c r="H15" s="336">
        <f t="shared" si="2"/>
        <v>0</v>
      </c>
      <c r="I15" s="59">
        <f t="shared" si="3"/>
        <v>0</v>
      </c>
      <c r="J15" s="35">
        <f t="shared" si="4"/>
        <v>22.603035407810829</v>
      </c>
    </row>
    <row r="16" spans="1:25" x14ac:dyDescent="0.25">
      <c r="A16" s="51">
        <f>'A) Base RI'!A18</f>
        <v>5412</v>
      </c>
      <c r="B16" s="321" t="str">
        <f>'A) Base RI'!B18</f>
        <v>Rennaz</v>
      </c>
      <c r="C16" s="101">
        <f>'B) D RI'!U18</f>
        <v>31498.582370370365</v>
      </c>
      <c r="D16" s="117">
        <f>'E) Fact soc'!G22/C16</f>
        <v>17.440308599658412</v>
      </c>
      <c r="E16" s="144">
        <f>'H) Péréquation directe'!I27/C16</f>
        <v>12.363099100470594</v>
      </c>
      <c r="F16" s="117">
        <f>+'I) Dépenses thématiques'!O16/'J) Plafonnement effort'!C16</f>
        <v>0</v>
      </c>
      <c r="G16" s="144">
        <f t="shared" si="1"/>
        <v>29.803407700129007</v>
      </c>
      <c r="H16" s="336">
        <f t="shared" si="2"/>
        <v>0</v>
      </c>
      <c r="I16" s="59">
        <f t="shared" si="3"/>
        <v>0</v>
      </c>
      <c r="J16" s="35">
        <f t="shared" si="4"/>
        <v>29.803407700129007</v>
      </c>
    </row>
    <row r="17" spans="1:10" x14ac:dyDescent="0.25">
      <c r="A17" s="51">
        <f>'A) Base RI'!A19</f>
        <v>5413</v>
      </c>
      <c r="B17" s="321" t="str">
        <f>'A) Base RI'!B19</f>
        <v>Roche</v>
      </c>
      <c r="C17" s="101">
        <f>'B) D RI'!U19</f>
        <v>37711.950000000012</v>
      </c>
      <c r="D17" s="117">
        <f>'E) Fact soc'!G23/C17</f>
        <v>19.341011053608185</v>
      </c>
      <c r="E17" s="144">
        <f>'H) Péréquation directe'!I28/C17</f>
        <v>-7.7133839984915777</v>
      </c>
      <c r="F17" s="117">
        <f>+'I) Dépenses thématiques'!O17/'J) Plafonnement effort'!C17</f>
        <v>-0.90022687781536326</v>
      </c>
      <c r="G17" s="144">
        <f t="shared" si="1"/>
        <v>10.727400177301243</v>
      </c>
      <c r="H17" s="336">
        <f t="shared" si="2"/>
        <v>0</v>
      </c>
      <c r="I17" s="59">
        <f t="shared" si="3"/>
        <v>0</v>
      </c>
      <c r="J17" s="35">
        <f t="shared" si="4"/>
        <v>10.727400177301243</v>
      </c>
    </row>
    <row r="18" spans="1:10" x14ac:dyDescent="0.25">
      <c r="A18" s="51">
        <f>'A) Base RI'!A20</f>
        <v>5414</v>
      </c>
      <c r="B18" s="321" t="str">
        <f>'A) Base RI'!B20</f>
        <v>Villeneuve</v>
      </c>
      <c r="C18" s="101">
        <f>'B) D RI'!U20</f>
        <v>168706.05608695652</v>
      </c>
      <c r="D18" s="117">
        <f>'E) Fact soc'!G24/C18</f>
        <v>20.72425809176999</v>
      </c>
      <c r="E18" s="144">
        <f>'H) Péréquation directe'!I29/C18</f>
        <v>-3.9783624215055586</v>
      </c>
      <c r="F18" s="117">
        <f>+'I) Dépenses thématiques'!O18/'J) Plafonnement effort'!C18</f>
        <v>-8.9574305752055157</v>
      </c>
      <c r="G18" s="144">
        <f t="shared" si="1"/>
        <v>7.7884650950589158</v>
      </c>
      <c r="H18" s="336">
        <f t="shared" si="2"/>
        <v>0</v>
      </c>
      <c r="I18" s="59">
        <f t="shared" si="3"/>
        <v>0</v>
      </c>
      <c r="J18" s="35">
        <f t="shared" si="4"/>
        <v>7.7884650950589158</v>
      </c>
    </row>
    <row r="19" spans="1:10" x14ac:dyDescent="0.25">
      <c r="A19" s="51">
        <f>'A) Base RI'!A21</f>
        <v>5415</v>
      </c>
      <c r="B19" s="321" t="str">
        <f>'A) Base RI'!B21</f>
        <v>Yvorne</v>
      </c>
      <c r="C19" s="101">
        <f>'B) D RI'!U21</f>
        <v>35013.467459207466</v>
      </c>
      <c r="D19" s="117">
        <f>'E) Fact soc'!G25/C19</f>
        <v>18.608527546943687</v>
      </c>
      <c r="E19" s="144">
        <f>'H) Péréquation directe'!I30/C19</f>
        <v>7.9539497506680092</v>
      </c>
      <c r="F19" s="117">
        <f>+'I) Dépenses thématiques'!O19/'J) Plafonnement effort'!C19</f>
        <v>-2.7733847569431109</v>
      </c>
      <c r="G19" s="144">
        <f t="shared" si="1"/>
        <v>23.789092540668584</v>
      </c>
      <c r="H19" s="336">
        <f t="shared" si="2"/>
        <v>0</v>
      </c>
      <c r="I19" s="59">
        <f t="shared" si="3"/>
        <v>0</v>
      </c>
      <c r="J19" s="35">
        <f t="shared" si="4"/>
        <v>23.789092540668584</v>
      </c>
    </row>
    <row r="20" spans="1:10" x14ac:dyDescent="0.25">
      <c r="A20" s="51">
        <f>'A) Base RI'!A22</f>
        <v>5421</v>
      </c>
      <c r="B20" s="321" t="str">
        <f>'A) Base RI'!B22</f>
        <v>Apples</v>
      </c>
      <c r="C20" s="101">
        <f>'B) D RI'!U22</f>
        <v>59328.525131578965</v>
      </c>
      <c r="D20" s="117">
        <f>'E) Fact soc'!G26/C20</f>
        <v>17.203990011332277</v>
      </c>
      <c r="E20" s="144">
        <f>'H) Péréquation directe'!I31/C20</f>
        <v>12.328183826440213</v>
      </c>
      <c r="F20" s="117">
        <f>+'I) Dépenses thématiques'!O20/'J) Plafonnement effort'!C20</f>
        <v>-2.8011311224004127</v>
      </c>
      <c r="G20" s="144">
        <f t="shared" si="1"/>
        <v>26.731042715372077</v>
      </c>
      <c r="H20" s="336">
        <f t="shared" si="2"/>
        <v>0</v>
      </c>
      <c r="I20" s="59">
        <f t="shared" si="3"/>
        <v>0</v>
      </c>
      <c r="J20" s="35">
        <f t="shared" si="4"/>
        <v>26.731042715372077</v>
      </c>
    </row>
    <row r="21" spans="1:10" x14ac:dyDescent="0.25">
      <c r="A21" s="51">
        <f>'A) Base RI'!A23</f>
        <v>5422</v>
      </c>
      <c r="B21" s="321" t="str">
        <f>'A) Base RI'!B23</f>
        <v>Aubonne</v>
      </c>
      <c r="C21" s="101">
        <f>'B) D RI'!U23</f>
        <v>265098.93749999994</v>
      </c>
      <c r="D21" s="117">
        <f>'E) Fact soc'!G27/C21</f>
        <v>25.105587804091858</v>
      </c>
      <c r="E21" s="144">
        <f>'H) Péréquation directe'!I32/C21</f>
        <v>13.469319835573591</v>
      </c>
      <c r="F21" s="117">
        <f>+'I) Dépenses thématiques'!O21/'J) Plafonnement effort'!C21</f>
        <v>-9.861449344035865E-2</v>
      </c>
      <c r="G21" s="144">
        <f t="shared" si="1"/>
        <v>38.476293146225089</v>
      </c>
      <c r="H21" s="336">
        <f t="shared" si="2"/>
        <v>0</v>
      </c>
      <c r="I21" s="59">
        <f t="shared" si="3"/>
        <v>0</v>
      </c>
      <c r="J21" s="35">
        <f t="shared" si="4"/>
        <v>38.476293146225089</v>
      </c>
    </row>
    <row r="22" spans="1:10" x14ac:dyDescent="0.25">
      <c r="A22" s="51">
        <f>'A) Base RI'!A24</f>
        <v>5423</v>
      </c>
      <c r="B22" s="321" t="str">
        <f>'A) Base RI'!B24</f>
        <v>Ballens</v>
      </c>
      <c r="C22" s="101">
        <f>'B) D RI'!U24</f>
        <v>16703.466521739134</v>
      </c>
      <c r="D22" s="117">
        <f>'E) Fact soc'!G28/C22</f>
        <v>19.225157364670913</v>
      </c>
      <c r="E22" s="144">
        <f>'H) Péréquation directe'!I33/C22</f>
        <v>7.5594563993512356</v>
      </c>
      <c r="F22" s="117">
        <f>+'I) Dépenses thématiques'!O22/'J) Plafonnement effort'!C22</f>
        <v>-3.2247724122222716</v>
      </c>
      <c r="G22" s="144">
        <f t="shared" si="1"/>
        <v>23.559841351799875</v>
      </c>
      <c r="H22" s="336">
        <f t="shared" si="2"/>
        <v>0</v>
      </c>
      <c r="I22" s="59">
        <f t="shared" si="3"/>
        <v>0</v>
      </c>
      <c r="J22" s="35">
        <f t="shared" si="4"/>
        <v>23.559841351799875</v>
      </c>
    </row>
    <row r="23" spans="1:10" x14ac:dyDescent="0.25">
      <c r="A23" s="51">
        <f>'A) Base RI'!A25</f>
        <v>5424</v>
      </c>
      <c r="B23" s="321" t="str">
        <f>'A) Base RI'!B25</f>
        <v>Berolle</v>
      </c>
      <c r="C23" s="101">
        <f>'B) D RI'!U25</f>
        <v>11342.941168831172</v>
      </c>
      <c r="D23" s="117">
        <f>'E) Fact soc'!G29/C23</f>
        <v>16.796867913993065</v>
      </c>
      <c r="E23" s="144">
        <f>'H) Péréquation directe'!I34/C23</f>
        <v>11.425640518711857</v>
      </c>
      <c r="F23" s="117">
        <f>+'I) Dépenses thématiques'!O23/'J) Plafonnement effort'!C23</f>
        <v>-1.0009919547906789</v>
      </c>
      <c r="G23" s="144">
        <f t="shared" si="1"/>
        <v>27.221516477914243</v>
      </c>
      <c r="H23" s="336">
        <f t="shared" si="2"/>
        <v>0</v>
      </c>
      <c r="I23" s="59">
        <f t="shared" si="3"/>
        <v>0</v>
      </c>
      <c r="J23" s="35">
        <f t="shared" si="4"/>
        <v>27.221516477914243</v>
      </c>
    </row>
    <row r="24" spans="1:10" x14ac:dyDescent="0.25">
      <c r="A24" s="51">
        <f>'A) Base RI'!A26</f>
        <v>5425</v>
      </c>
      <c r="B24" s="321" t="str">
        <f>'A) Base RI'!B26</f>
        <v>Bière</v>
      </c>
      <c r="C24" s="101">
        <f>'B) D RI'!U26</f>
        <v>41451.382114604457</v>
      </c>
      <c r="D24" s="117">
        <f>'E) Fact soc'!G30/C24</f>
        <v>16.889693950107368</v>
      </c>
      <c r="E24" s="144">
        <f>'H) Péréquation directe'!I35/C24</f>
        <v>-1.6361303766682749</v>
      </c>
      <c r="F24" s="117">
        <f>+'I) Dépenses thématiques'!O24/'J) Plafonnement effort'!C24</f>
        <v>-12.974528936080798</v>
      </c>
      <c r="G24" s="144">
        <f t="shared" si="1"/>
        <v>2.2790346373582953</v>
      </c>
      <c r="H24" s="336">
        <f t="shared" si="2"/>
        <v>0</v>
      </c>
      <c r="I24" s="59">
        <f t="shared" si="3"/>
        <v>0</v>
      </c>
      <c r="J24" s="35">
        <f t="shared" si="4"/>
        <v>2.2790346373582953</v>
      </c>
    </row>
    <row r="25" spans="1:10" x14ac:dyDescent="0.25">
      <c r="A25" s="51">
        <f>'A) Base RI'!A27</f>
        <v>5426</v>
      </c>
      <c r="B25" s="321" t="str">
        <f>'A) Base RI'!B27</f>
        <v>Bougy-Villars</v>
      </c>
      <c r="C25" s="101">
        <f>'B) D RI'!U27</f>
        <v>47933.807222222218</v>
      </c>
      <c r="D25" s="117">
        <f>'E) Fact soc'!G31/C25</f>
        <v>34.729763120571299</v>
      </c>
      <c r="E25" s="144">
        <f>'H) Péréquation directe'!I36/C25</f>
        <v>15.145652402193571</v>
      </c>
      <c r="F25" s="117">
        <f>+'I) Dépenses thématiques'!O25/'J) Plafonnement effort'!C25</f>
        <v>0</v>
      </c>
      <c r="G25" s="144">
        <f t="shared" si="1"/>
        <v>49.875415522764868</v>
      </c>
      <c r="H25" s="336">
        <f t="shared" si="2"/>
        <v>0</v>
      </c>
      <c r="I25" s="59">
        <f t="shared" si="3"/>
        <v>0</v>
      </c>
      <c r="J25" s="35">
        <f t="shared" si="4"/>
        <v>49.875415522764868</v>
      </c>
    </row>
    <row r="26" spans="1:10" x14ac:dyDescent="0.25">
      <c r="A26" s="51">
        <f>'A) Base RI'!A28</f>
        <v>5427</v>
      </c>
      <c r="B26" s="321" t="str">
        <f>'A) Base RI'!B28</f>
        <v>Féchy</v>
      </c>
      <c r="C26" s="101">
        <f>'B) D RI'!U28</f>
        <v>79760.38769230769</v>
      </c>
      <c r="D26" s="117">
        <f>'E) Fact soc'!G32/C26</f>
        <v>26.639800423571096</v>
      </c>
      <c r="E26" s="144">
        <f>'H) Péréquation directe'!I37/C26</f>
        <v>15.483935304913899</v>
      </c>
      <c r="F26" s="117">
        <f>+'I) Dépenses thématiques'!O26/'J) Plafonnement effort'!C26</f>
        <v>0</v>
      </c>
      <c r="G26" s="144">
        <f t="shared" si="1"/>
        <v>42.123735728484995</v>
      </c>
      <c r="H26" s="336">
        <f t="shared" si="2"/>
        <v>0</v>
      </c>
      <c r="I26" s="59">
        <f t="shared" si="3"/>
        <v>0</v>
      </c>
      <c r="J26" s="35">
        <f t="shared" si="4"/>
        <v>42.123735728484995</v>
      </c>
    </row>
    <row r="27" spans="1:10" x14ac:dyDescent="0.25">
      <c r="A27" s="51">
        <f>'A) Base RI'!A29</f>
        <v>5428</v>
      </c>
      <c r="B27" s="321" t="str">
        <f>'A) Base RI'!B29</f>
        <v>Gimel</v>
      </c>
      <c r="C27" s="101">
        <f>'B) D RI'!U29</f>
        <v>62694.643076923086</v>
      </c>
      <c r="D27" s="117">
        <f>'E) Fact soc'!G33/C27</f>
        <v>21.744805637951842</v>
      </c>
      <c r="E27" s="144">
        <f>'H) Péréquation directe'!I38/C27</f>
        <v>2.3702900895316814</v>
      </c>
      <c r="F27" s="117">
        <f>+'I) Dépenses thématiques'!O27/'J) Plafonnement effort'!C27</f>
        <v>-8.2806571797860933</v>
      </c>
      <c r="G27" s="144">
        <f t="shared" si="1"/>
        <v>15.834438547697431</v>
      </c>
      <c r="H27" s="336">
        <f t="shared" si="2"/>
        <v>0</v>
      </c>
      <c r="I27" s="59">
        <f t="shared" si="3"/>
        <v>0</v>
      </c>
      <c r="J27" s="35">
        <f t="shared" si="4"/>
        <v>15.834438547697431</v>
      </c>
    </row>
    <row r="28" spans="1:10" x14ac:dyDescent="0.25">
      <c r="A28" s="51">
        <f>'A) Base RI'!A30</f>
        <v>5429</v>
      </c>
      <c r="B28" s="321" t="str">
        <f>'A) Base RI'!B30</f>
        <v>Longirod</v>
      </c>
      <c r="C28" s="101">
        <f>'B) D RI'!U30</f>
        <v>14895.063209876542</v>
      </c>
      <c r="D28" s="117">
        <f>'E) Fact soc'!G34/C28</f>
        <v>17.80391135705554</v>
      </c>
      <c r="E28" s="144">
        <f>'H) Péréquation directe'!I39/C28</f>
        <v>4.6863372466231317</v>
      </c>
      <c r="F28" s="117">
        <f>+'I) Dépenses thématiques'!O28/'J) Plafonnement effort'!C28</f>
        <v>-6.3724332011121705</v>
      </c>
      <c r="G28" s="144">
        <f t="shared" si="1"/>
        <v>16.117815402566503</v>
      </c>
      <c r="H28" s="336">
        <f t="shared" si="2"/>
        <v>0</v>
      </c>
      <c r="I28" s="59">
        <f t="shared" si="3"/>
        <v>0</v>
      </c>
      <c r="J28" s="35">
        <f t="shared" si="4"/>
        <v>16.117815402566503</v>
      </c>
    </row>
    <row r="29" spans="1:10" x14ac:dyDescent="0.25">
      <c r="A29" s="51">
        <f>'A) Base RI'!A31</f>
        <v>5430</v>
      </c>
      <c r="B29" s="321" t="str">
        <f>'A) Base RI'!B31</f>
        <v>Marchissy</v>
      </c>
      <c r="C29" s="101">
        <f>'B) D RI'!U31</f>
        <v>13624.129113924049</v>
      </c>
      <c r="D29" s="117">
        <f>'E) Fact soc'!G35/C29</f>
        <v>18.837700450391221</v>
      </c>
      <c r="E29" s="144">
        <f>'H) Péréquation directe'!I40/C29</f>
        <v>2.8993866230105718</v>
      </c>
      <c r="F29" s="117">
        <f>+'I) Dépenses thématiques'!O29/'J) Plafonnement effort'!C29</f>
        <v>-14.734045868368158</v>
      </c>
      <c r="G29" s="144">
        <f t="shared" si="1"/>
        <v>7.0030412050336341</v>
      </c>
      <c r="H29" s="336">
        <f t="shared" si="2"/>
        <v>0</v>
      </c>
      <c r="I29" s="59">
        <f t="shared" si="3"/>
        <v>0</v>
      </c>
      <c r="J29" s="35">
        <f t="shared" si="4"/>
        <v>7.0030412050336341</v>
      </c>
    </row>
    <row r="30" spans="1:10" x14ac:dyDescent="0.25">
      <c r="A30" s="51">
        <f>'A) Base RI'!A32</f>
        <v>5431</v>
      </c>
      <c r="B30" s="321" t="str">
        <f>'A) Base RI'!B32</f>
        <v>Mollens</v>
      </c>
      <c r="C30" s="101">
        <f>'B) D RI'!U32</f>
        <v>8975.9641891891897</v>
      </c>
      <c r="D30" s="117">
        <f>'E) Fact soc'!G36/C30</f>
        <v>16.629893111710238</v>
      </c>
      <c r="E30" s="144">
        <f>'H) Péréquation directe'!I41/C30</f>
        <v>4.258404741340672</v>
      </c>
      <c r="F30" s="117">
        <f>+'I) Dépenses thématiques'!O30/'J) Plafonnement effort'!C30</f>
        <v>-2.3684391614438214</v>
      </c>
      <c r="G30" s="144">
        <f t="shared" si="1"/>
        <v>18.519858691607091</v>
      </c>
      <c r="H30" s="336">
        <f t="shared" si="2"/>
        <v>0</v>
      </c>
      <c r="I30" s="59">
        <f t="shared" si="3"/>
        <v>0</v>
      </c>
      <c r="J30" s="35">
        <f t="shared" si="4"/>
        <v>18.519858691607091</v>
      </c>
    </row>
    <row r="31" spans="1:10" x14ac:dyDescent="0.25">
      <c r="A31" s="51">
        <f>'A) Base RI'!A33</f>
        <v>5432</v>
      </c>
      <c r="B31" s="321" t="str">
        <f>'A) Base RI'!B33</f>
        <v>Montherod</v>
      </c>
      <c r="C31" s="101">
        <f>'B) D RI'!U33</f>
        <v>18019.761538461538</v>
      </c>
      <c r="D31" s="117">
        <f>'E) Fact soc'!G37/C31</f>
        <v>18.352457940479788</v>
      </c>
      <c r="E31" s="144">
        <f>'H) Péréquation directe'!I42/C31</f>
        <v>7.6514946202303795</v>
      </c>
      <c r="F31" s="117">
        <f>+'I) Dépenses thématiques'!O31/'J) Plafonnement effort'!C31</f>
        <v>0</v>
      </c>
      <c r="G31" s="144">
        <f t="shared" si="1"/>
        <v>26.003952560710168</v>
      </c>
      <c r="H31" s="336">
        <f t="shared" si="2"/>
        <v>0</v>
      </c>
      <c r="I31" s="59">
        <f t="shared" si="3"/>
        <v>0</v>
      </c>
      <c r="J31" s="35">
        <f t="shared" si="4"/>
        <v>26.003952560710168</v>
      </c>
    </row>
    <row r="32" spans="1:10" x14ac:dyDescent="0.25">
      <c r="A32" s="51">
        <f>'A) Base RI'!A34</f>
        <v>5434</v>
      </c>
      <c r="B32" s="321" t="str">
        <f>'A) Base RI'!B34</f>
        <v>Saint-George</v>
      </c>
      <c r="C32" s="101">
        <f>'B) D RI'!U34</f>
        <v>37243.682394366202</v>
      </c>
      <c r="D32" s="117">
        <f>'E) Fact soc'!G38/C32</f>
        <v>21.053297876907216</v>
      </c>
      <c r="E32" s="144">
        <f>'H) Péréquation directe'!I43/C32</f>
        <v>10.744279507871145</v>
      </c>
      <c r="F32" s="117">
        <f>+'I) Dépenses thématiques'!O32/'J) Plafonnement effort'!C32</f>
        <v>-1.6821271111515179</v>
      </c>
      <c r="G32" s="144">
        <f t="shared" si="1"/>
        <v>30.115450273626841</v>
      </c>
      <c r="H32" s="336">
        <f t="shared" si="2"/>
        <v>0</v>
      </c>
      <c r="I32" s="59">
        <f t="shared" si="3"/>
        <v>0</v>
      </c>
      <c r="J32" s="35">
        <f t="shared" si="4"/>
        <v>30.115450273626841</v>
      </c>
    </row>
    <row r="33" spans="1:10" x14ac:dyDescent="0.25">
      <c r="A33" s="51">
        <f>'A) Base RI'!A35</f>
        <v>5435</v>
      </c>
      <c r="B33" s="321" t="str">
        <f>'A) Base RI'!B35</f>
        <v>Saint-Livres</v>
      </c>
      <c r="C33" s="101">
        <f>'B) D RI'!U35</f>
        <v>25784.308260869562</v>
      </c>
      <c r="D33" s="117">
        <f>'E) Fact soc'!G39/C33</f>
        <v>15.185996518936195</v>
      </c>
      <c r="E33" s="144">
        <f>'H) Péréquation directe'!I44/C33</f>
        <v>12.345237328476884</v>
      </c>
      <c r="F33" s="117">
        <f>+'I) Dépenses thématiques'!O33/'J) Plafonnement effort'!C33</f>
        <v>-1.4374923583980568</v>
      </c>
      <c r="G33" s="144">
        <f t="shared" si="1"/>
        <v>26.09374148901502</v>
      </c>
      <c r="H33" s="336">
        <f t="shared" si="2"/>
        <v>0</v>
      </c>
      <c r="I33" s="59">
        <f t="shared" si="3"/>
        <v>0</v>
      </c>
      <c r="J33" s="35">
        <f t="shared" si="4"/>
        <v>26.09374148901502</v>
      </c>
    </row>
    <row r="34" spans="1:10" x14ac:dyDescent="0.25">
      <c r="A34" s="51">
        <f>'A) Base RI'!A36</f>
        <v>5436</v>
      </c>
      <c r="B34" s="321" t="str">
        <f>'A) Base RI'!B36</f>
        <v>Saint-Oyens</v>
      </c>
      <c r="C34" s="101">
        <f>'B) D RI'!U36</f>
        <v>11330.196234567902</v>
      </c>
      <c r="D34" s="117">
        <f>'E) Fact soc'!G40/C34</f>
        <v>22.630580446493408</v>
      </c>
      <c r="E34" s="144">
        <f>'H) Péréquation directe'!I45/C34</f>
        <v>3.6533875423498388</v>
      </c>
      <c r="F34" s="117">
        <f>+'I) Dépenses thématiques'!O34/'J) Plafonnement effort'!C34</f>
        <v>-10.913089525144741</v>
      </c>
      <c r="G34" s="144">
        <f t="shared" si="1"/>
        <v>15.370878463698507</v>
      </c>
      <c r="H34" s="336">
        <f t="shared" si="2"/>
        <v>0</v>
      </c>
      <c r="I34" s="59">
        <f t="shared" si="3"/>
        <v>0</v>
      </c>
      <c r="J34" s="35">
        <f t="shared" si="4"/>
        <v>15.370878463698507</v>
      </c>
    </row>
    <row r="35" spans="1:10" x14ac:dyDescent="0.25">
      <c r="A35" s="51">
        <f>'A) Base RI'!A37</f>
        <v>5437</v>
      </c>
      <c r="B35" s="321" t="str">
        <f>'A) Base RI'!B37</f>
        <v>Saubraz</v>
      </c>
      <c r="C35" s="101">
        <f>'B) D RI'!U37</f>
        <v>9948.7022499999985</v>
      </c>
      <c r="D35" s="117">
        <f>'E) Fact soc'!G41/C35</f>
        <v>17.256717197281095</v>
      </c>
      <c r="E35" s="144">
        <f>'H) Péréquation directe'!I46/C35</f>
        <v>-8.3244390259898093</v>
      </c>
      <c r="F35" s="117">
        <f>+'I) Dépenses thématiques'!O35/'J) Plafonnement effort'!C35</f>
        <v>-6.5953042695964337</v>
      </c>
      <c r="G35" s="144">
        <f t="shared" si="1"/>
        <v>2.3369739016948516</v>
      </c>
      <c r="H35" s="336">
        <f t="shared" si="2"/>
        <v>0</v>
      </c>
      <c r="I35" s="59">
        <f t="shared" si="3"/>
        <v>0</v>
      </c>
      <c r="J35" s="35">
        <f t="shared" si="4"/>
        <v>2.3369739016948516</v>
      </c>
    </row>
    <row r="36" spans="1:10" x14ac:dyDescent="0.25">
      <c r="A36" s="51">
        <f>'A) Base RI'!A38</f>
        <v>5451</v>
      </c>
      <c r="B36" s="321" t="str">
        <f>'A) Base RI'!B38</f>
        <v>Avenches</v>
      </c>
      <c r="C36" s="101">
        <f>'B) D RI'!U38</f>
        <v>97584.0206372549</v>
      </c>
      <c r="D36" s="117">
        <f>'E) Fact soc'!G42/C36</f>
        <v>19.660458135951522</v>
      </c>
      <c r="E36" s="144">
        <f>'H) Péréquation directe'!I47/C36</f>
        <v>-12.85601640504783</v>
      </c>
      <c r="F36" s="117">
        <f>+'I) Dépenses thématiques'!O36/'J) Plafonnement effort'!C36</f>
        <v>-15.711696233582126</v>
      </c>
      <c r="G36" s="144">
        <f t="shared" si="1"/>
        <v>-8.907254502678434</v>
      </c>
      <c r="H36" s="336">
        <f t="shared" si="2"/>
        <v>0</v>
      </c>
      <c r="I36" s="59">
        <f t="shared" si="3"/>
        <v>0</v>
      </c>
      <c r="J36" s="35">
        <f t="shared" si="4"/>
        <v>-8.907254502678434</v>
      </c>
    </row>
    <row r="37" spans="1:10" x14ac:dyDescent="0.25">
      <c r="A37" s="51">
        <f>'A) Base RI'!A39</f>
        <v>5456</v>
      </c>
      <c r="B37" s="321" t="str">
        <f>'A) Base RI'!B39</f>
        <v>Cudrefin</v>
      </c>
      <c r="C37" s="101">
        <f>'B) D RI'!U39</f>
        <v>55901.49875706216</v>
      </c>
      <c r="D37" s="117">
        <f>'E) Fact soc'!G43/C37</f>
        <v>18.388983790973004</v>
      </c>
      <c r="E37" s="144">
        <f>'H) Péréquation directe'!I48/C37</f>
        <v>9.3010058025058253</v>
      </c>
      <c r="F37" s="117">
        <f>+'I) Dépenses thématiques'!O37/'J) Plafonnement effort'!C37</f>
        <v>-5.1843818016878247</v>
      </c>
      <c r="G37" s="144">
        <f t="shared" si="1"/>
        <v>22.505607791791004</v>
      </c>
      <c r="H37" s="336">
        <f t="shared" si="2"/>
        <v>0</v>
      </c>
      <c r="I37" s="59">
        <f t="shared" si="3"/>
        <v>0</v>
      </c>
      <c r="J37" s="35">
        <f t="shared" si="4"/>
        <v>22.505607791791004</v>
      </c>
    </row>
    <row r="38" spans="1:10" x14ac:dyDescent="0.25">
      <c r="A38" s="51">
        <f>'A) Base RI'!A40</f>
        <v>5458</v>
      </c>
      <c r="B38" s="321" t="str">
        <f>'A) Base RI'!B40</f>
        <v>Faoug</v>
      </c>
      <c r="C38" s="101">
        <f>'B) D RI'!U40</f>
        <v>34800.236562500002</v>
      </c>
      <c r="D38" s="117">
        <f>'E) Fact soc'!G44/C38</f>
        <v>18.741913344323596</v>
      </c>
      <c r="E38" s="144">
        <f>'H) Péréquation directe'!I49/C38</f>
        <v>13.522900671491026</v>
      </c>
      <c r="F38" s="117">
        <f>+'I) Dépenses thématiques'!O38/'J) Plafonnement effort'!C38</f>
        <v>-2.4104471335414197</v>
      </c>
      <c r="G38" s="144">
        <f t="shared" si="1"/>
        <v>29.854366882273201</v>
      </c>
      <c r="H38" s="336">
        <f t="shared" si="2"/>
        <v>0</v>
      </c>
      <c r="I38" s="59">
        <f t="shared" si="3"/>
        <v>0</v>
      </c>
      <c r="J38" s="35">
        <f t="shared" si="4"/>
        <v>29.854366882273201</v>
      </c>
    </row>
    <row r="39" spans="1:10" x14ac:dyDescent="0.25">
      <c r="A39" s="51">
        <f>'A) Base RI'!A41</f>
        <v>5464</v>
      </c>
      <c r="B39" s="321" t="str">
        <f>'A) Base RI'!B41</f>
        <v>Vully-les-Lacs</v>
      </c>
      <c r="C39" s="101">
        <f>'B) D RI'!U41</f>
        <v>98954.06119402984</v>
      </c>
      <c r="D39" s="117">
        <f>'E) Fact soc'!G45/C39</f>
        <v>18.055807331567852</v>
      </c>
      <c r="E39" s="144">
        <f>'H) Péréquation directe'!I50/C39</f>
        <v>3.0755188163912108</v>
      </c>
      <c r="F39" s="117">
        <f>+'I) Dépenses thématiques'!O39/'J) Plafonnement effort'!C39</f>
        <v>-4.6427718337579797</v>
      </c>
      <c r="G39" s="144">
        <f t="shared" si="1"/>
        <v>16.488554314201082</v>
      </c>
      <c r="H39" s="336">
        <f t="shared" si="2"/>
        <v>0</v>
      </c>
      <c r="I39" s="59">
        <f t="shared" si="3"/>
        <v>0</v>
      </c>
      <c r="J39" s="35">
        <f t="shared" si="4"/>
        <v>16.488554314201082</v>
      </c>
    </row>
    <row r="40" spans="1:10" x14ac:dyDescent="0.25">
      <c r="A40" s="51">
        <f>'A) Base RI'!A42</f>
        <v>5471</v>
      </c>
      <c r="B40" s="321" t="str">
        <f>'A) Base RI'!B42</f>
        <v>Bettens</v>
      </c>
      <c r="C40" s="101">
        <f>'B) D RI'!U42</f>
        <v>19215.411857142855</v>
      </c>
      <c r="D40" s="117">
        <f>'E) Fact soc'!G46/C40</f>
        <v>20.602209451843482</v>
      </c>
      <c r="E40" s="144">
        <f>'H) Péréquation directe'!I51/C40</f>
        <v>8.959979585935212</v>
      </c>
      <c r="F40" s="117">
        <f>+'I) Dépenses thématiques'!O40/'J) Plafonnement effort'!C40</f>
        <v>0</v>
      </c>
      <c r="G40" s="144">
        <f t="shared" si="1"/>
        <v>29.562189037778694</v>
      </c>
      <c r="H40" s="336">
        <f t="shared" si="2"/>
        <v>0</v>
      </c>
      <c r="I40" s="59">
        <f t="shared" si="3"/>
        <v>0</v>
      </c>
      <c r="J40" s="35">
        <f t="shared" si="4"/>
        <v>29.562189037778694</v>
      </c>
    </row>
    <row r="41" spans="1:10" x14ac:dyDescent="0.25">
      <c r="A41" s="51">
        <f>'A) Base RI'!A43</f>
        <v>5472</v>
      </c>
      <c r="B41" s="321" t="str">
        <f>'A) Base RI'!B43</f>
        <v>Bournens</v>
      </c>
      <c r="C41" s="101">
        <f>'B) D RI'!U43</f>
        <v>15134.969000000003</v>
      </c>
      <c r="D41" s="117">
        <f>'E) Fact soc'!G47/C41</f>
        <v>16.689826620159078</v>
      </c>
      <c r="E41" s="144">
        <f>'H) Péréquation directe'!I52/C41</f>
        <v>9.6528426875264088</v>
      </c>
      <c r="F41" s="117">
        <f>+'I) Dépenses thématiques'!O41/'J) Plafonnement effort'!C41</f>
        <v>-2.3213767356109605</v>
      </c>
      <c r="G41" s="144">
        <f t="shared" si="1"/>
        <v>24.021292572074525</v>
      </c>
      <c r="H41" s="336">
        <f t="shared" si="2"/>
        <v>0</v>
      </c>
      <c r="I41" s="59">
        <f t="shared" si="3"/>
        <v>0</v>
      </c>
      <c r="J41" s="35">
        <f t="shared" si="4"/>
        <v>24.021292572074525</v>
      </c>
    </row>
    <row r="42" spans="1:10" x14ac:dyDescent="0.25">
      <c r="A42" s="51">
        <f>'A) Base RI'!A44</f>
        <v>5473</v>
      </c>
      <c r="B42" s="321" t="str">
        <f>'A) Base RI'!B44</f>
        <v>Boussens</v>
      </c>
      <c r="C42" s="101">
        <f>'B) D RI'!U44</f>
        <v>33278.780724637691</v>
      </c>
      <c r="D42" s="117">
        <f>'E) Fact soc'!G48/C42</f>
        <v>16.423601031963607</v>
      </c>
      <c r="E42" s="144">
        <f>'H) Péréquation directe'!I53/C42</f>
        <v>9.4903171225860969</v>
      </c>
      <c r="F42" s="117">
        <f>+'I) Dépenses thématiques'!O42/'J) Plafonnement effort'!C42</f>
        <v>0</v>
      </c>
      <c r="G42" s="144">
        <f t="shared" si="1"/>
        <v>25.913918154549705</v>
      </c>
      <c r="H42" s="336">
        <f t="shared" si="2"/>
        <v>0</v>
      </c>
      <c r="I42" s="59">
        <f t="shared" si="3"/>
        <v>0</v>
      </c>
      <c r="J42" s="35">
        <f t="shared" si="4"/>
        <v>25.913918154549705</v>
      </c>
    </row>
    <row r="43" spans="1:10" x14ac:dyDescent="0.25">
      <c r="A43" s="51">
        <f>'A) Base RI'!A45</f>
        <v>5474</v>
      </c>
      <c r="B43" s="321" t="str">
        <f>'A) Base RI'!B45</f>
        <v>La Chaux (Cossonay)</v>
      </c>
      <c r="C43" s="101">
        <f>'B) D RI'!U45</f>
        <v>13413.30380952381</v>
      </c>
      <c r="D43" s="117">
        <f>'E) Fact soc'!G49/C43</f>
        <v>23.05862837188555</v>
      </c>
      <c r="E43" s="144">
        <f>'H) Péréquation directe'!I54/C43</f>
        <v>5.9177004282439052</v>
      </c>
      <c r="F43" s="117">
        <f>+'I) Dépenses thématiques'!O43/'J) Plafonnement effort'!C43</f>
        <v>-7.4052095878566755</v>
      </c>
      <c r="G43" s="144">
        <f t="shared" si="1"/>
        <v>21.57111921227278</v>
      </c>
      <c r="H43" s="336">
        <f t="shared" si="2"/>
        <v>0</v>
      </c>
      <c r="I43" s="59">
        <f t="shared" si="3"/>
        <v>0</v>
      </c>
      <c r="J43" s="35">
        <f t="shared" si="4"/>
        <v>21.57111921227278</v>
      </c>
    </row>
    <row r="44" spans="1:10" x14ac:dyDescent="0.25">
      <c r="A44" s="51">
        <f>'A) Base RI'!A46</f>
        <v>5475</v>
      </c>
      <c r="B44" s="321" t="str">
        <f>'A) Base RI'!B46</f>
        <v>Chavannes-le-Veyron</v>
      </c>
      <c r="C44" s="101">
        <f>'B) D RI'!U46</f>
        <v>3783.0914285714284</v>
      </c>
      <c r="D44" s="117">
        <f>'E) Fact soc'!G50/C44</f>
        <v>15.742077231120602</v>
      </c>
      <c r="E44" s="144">
        <f>'H) Péréquation directe'!I55/C44</f>
        <v>-0.95462319964376252</v>
      </c>
      <c r="F44" s="117">
        <f>+'I) Dépenses thématiques'!O44/'J) Plafonnement effort'!C44</f>
        <v>-10.79939070679902</v>
      </c>
      <c r="G44" s="144">
        <f t="shared" si="1"/>
        <v>3.9880633246778192</v>
      </c>
      <c r="H44" s="336">
        <f t="shared" si="2"/>
        <v>0</v>
      </c>
      <c r="I44" s="59">
        <f t="shared" si="3"/>
        <v>0</v>
      </c>
      <c r="J44" s="35">
        <f t="shared" si="4"/>
        <v>3.9880633246778192</v>
      </c>
    </row>
    <row r="45" spans="1:10" x14ac:dyDescent="0.25">
      <c r="A45" s="51">
        <f>'A) Base RI'!A47</f>
        <v>5476</v>
      </c>
      <c r="B45" s="321" t="str">
        <f>'A) Base RI'!B47</f>
        <v>Chevilly</v>
      </c>
      <c r="C45" s="101">
        <f>'B) D RI'!U47</f>
        <v>10089.483198198201</v>
      </c>
      <c r="D45" s="117">
        <f>'E) Fact soc'!G51/C45</f>
        <v>15.233663255161451</v>
      </c>
      <c r="E45" s="144">
        <f>'H) Péréquation directe'!I56/C45</f>
        <v>8.5474492468425396</v>
      </c>
      <c r="F45" s="117">
        <f>+'I) Dépenses thématiques'!O45/'J) Plafonnement effort'!C45</f>
        <v>-3.1976998269269186</v>
      </c>
      <c r="G45" s="144">
        <f t="shared" si="1"/>
        <v>20.583412675077074</v>
      </c>
      <c r="H45" s="336">
        <f t="shared" si="2"/>
        <v>0</v>
      </c>
      <c r="I45" s="59">
        <f t="shared" si="3"/>
        <v>0</v>
      </c>
      <c r="J45" s="35">
        <f t="shared" si="4"/>
        <v>20.583412675077074</v>
      </c>
    </row>
    <row r="46" spans="1:10" x14ac:dyDescent="0.25">
      <c r="A46" s="51">
        <f>'A) Base RI'!A48</f>
        <v>5477</v>
      </c>
      <c r="B46" s="321" t="str">
        <f>'A) Base RI'!B48</f>
        <v>Cossonay</v>
      </c>
      <c r="C46" s="101">
        <f>'B) D RI'!U48</f>
        <v>126013.2271830986</v>
      </c>
      <c r="D46" s="117">
        <f>'E) Fact soc'!G52/C46</f>
        <v>19.682990233599213</v>
      </c>
      <c r="E46" s="144">
        <f>'H) Péréquation directe'!I57/C46</f>
        <v>1.9713616923911743</v>
      </c>
      <c r="F46" s="117">
        <f>+'I) Dépenses thématiques'!O46/'J) Plafonnement effort'!C46</f>
        <v>-4.2118853832002188</v>
      </c>
      <c r="G46" s="144">
        <f t="shared" si="1"/>
        <v>17.442466542790168</v>
      </c>
      <c r="H46" s="336">
        <f t="shared" si="2"/>
        <v>0</v>
      </c>
      <c r="I46" s="59">
        <f t="shared" si="3"/>
        <v>0</v>
      </c>
      <c r="J46" s="35">
        <f t="shared" si="4"/>
        <v>17.442466542790168</v>
      </c>
    </row>
    <row r="47" spans="1:10" x14ac:dyDescent="0.25">
      <c r="A47" s="51">
        <f>'A) Base RI'!A49</f>
        <v>5478</v>
      </c>
      <c r="B47" s="321" t="str">
        <f>'A) Base RI'!B49</f>
        <v>Cottens</v>
      </c>
      <c r="C47" s="101">
        <f>'B) D RI'!U49</f>
        <v>17030.362972972973</v>
      </c>
      <c r="D47" s="117">
        <f>'E) Fact soc'!G53/C47</f>
        <v>17.384717514006017</v>
      </c>
      <c r="E47" s="144">
        <f>'H) Péréquation directe'!I58/C47</f>
        <v>10.185389536670936</v>
      </c>
      <c r="F47" s="117">
        <f>+'I) Dépenses thématiques'!O47/'J) Plafonnement effort'!C47</f>
        <v>-1.6509907661797085</v>
      </c>
      <c r="G47" s="144">
        <f t="shared" si="1"/>
        <v>25.919116284497242</v>
      </c>
      <c r="H47" s="336">
        <f t="shared" si="2"/>
        <v>0</v>
      </c>
      <c r="I47" s="59">
        <f t="shared" si="3"/>
        <v>0</v>
      </c>
      <c r="J47" s="35">
        <f t="shared" si="4"/>
        <v>25.919116284497242</v>
      </c>
    </row>
    <row r="48" spans="1:10" x14ac:dyDescent="0.25">
      <c r="A48" s="51">
        <f>'A) Base RI'!A50</f>
        <v>5479</v>
      </c>
      <c r="B48" s="321" t="str">
        <f>'A) Base RI'!B50</f>
        <v>Cuarnens</v>
      </c>
      <c r="C48" s="101">
        <f>'B) D RI'!U50</f>
        <v>19628.392987012987</v>
      </c>
      <c r="D48" s="117">
        <f>'E) Fact soc'!G54/C48</f>
        <v>18.20706983732941</v>
      </c>
      <c r="E48" s="144">
        <f>'H) Péréquation directe'!I59/C48</f>
        <v>13.885486755159027</v>
      </c>
      <c r="F48" s="117">
        <f>+'I) Dépenses thématiques'!O48/'J) Plafonnement effort'!C48</f>
        <v>-5.3809843835399898</v>
      </c>
      <c r="G48" s="144">
        <f t="shared" si="1"/>
        <v>26.711572208948446</v>
      </c>
      <c r="H48" s="336">
        <f t="shared" si="2"/>
        <v>0</v>
      </c>
      <c r="I48" s="59">
        <f t="shared" si="3"/>
        <v>0</v>
      </c>
      <c r="J48" s="35">
        <f t="shared" si="4"/>
        <v>26.711572208948446</v>
      </c>
    </row>
    <row r="49" spans="1:10" x14ac:dyDescent="0.25">
      <c r="A49" s="51">
        <f>'A) Base RI'!A51</f>
        <v>5480</v>
      </c>
      <c r="B49" s="321" t="str">
        <f>'A) Base RI'!B51</f>
        <v>Daillens</v>
      </c>
      <c r="C49" s="101">
        <f>'B) D RI'!U51</f>
        <v>41809.315211267603</v>
      </c>
      <c r="D49" s="117">
        <f>'E) Fact soc'!G55/C49</f>
        <v>16.846515216675467</v>
      </c>
      <c r="E49" s="144">
        <f>'H) Péréquation directe'!I60/C49</f>
        <v>14.744404407752665</v>
      </c>
      <c r="F49" s="117">
        <f>+'I) Dépenses thématiques'!O49/'J) Plafonnement effort'!C49</f>
        <v>-2.9203329253297587</v>
      </c>
      <c r="G49" s="144">
        <f t="shared" si="1"/>
        <v>28.670586699098372</v>
      </c>
      <c r="H49" s="336">
        <f t="shared" si="2"/>
        <v>0</v>
      </c>
      <c r="I49" s="59">
        <f t="shared" si="3"/>
        <v>0</v>
      </c>
      <c r="J49" s="35">
        <f t="shared" si="4"/>
        <v>28.670586699098372</v>
      </c>
    </row>
    <row r="50" spans="1:10" x14ac:dyDescent="0.25">
      <c r="A50" s="51">
        <f>'A) Base RI'!A52</f>
        <v>5481</v>
      </c>
      <c r="B50" s="321" t="str">
        <f>'A) Base RI'!B52</f>
        <v>Dizy</v>
      </c>
      <c r="C50" s="101">
        <f>'B) D RI'!U52</f>
        <v>8477.634430379745</v>
      </c>
      <c r="D50" s="117">
        <f>'E) Fact soc'!G56/C50</f>
        <v>16.05456697170953</v>
      </c>
      <c r="E50" s="144">
        <f>'H) Péréquation directe'!I61/C50</f>
        <v>10.616667500255073</v>
      </c>
      <c r="F50" s="117">
        <f>+'I) Dépenses thématiques'!O50/'J) Plafonnement effort'!C50</f>
        <v>-0.79303793145683066</v>
      </c>
      <c r="G50" s="144">
        <f t="shared" si="1"/>
        <v>25.878196540507773</v>
      </c>
      <c r="H50" s="336">
        <f t="shared" si="2"/>
        <v>0</v>
      </c>
      <c r="I50" s="59">
        <f t="shared" si="3"/>
        <v>0</v>
      </c>
      <c r="J50" s="35">
        <f t="shared" si="4"/>
        <v>25.878196540507773</v>
      </c>
    </row>
    <row r="51" spans="1:10" x14ac:dyDescent="0.25">
      <c r="A51" s="51">
        <f>'A) Base RI'!A53</f>
        <v>5482</v>
      </c>
      <c r="B51" s="321" t="str">
        <f>'A) Base RI'!B53</f>
        <v>Eclépens</v>
      </c>
      <c r="C51" s="101">
        <f>'B) D RI'!U53</f>
        <v>50368.719782608692</v>
      </c>
      <c r="D51" s="117">
        <f>'E) Fact soc'!G57/C51</f>
        <v>20.287145785467793</v>
      </c>
      <c r="E51" s="144">
        <f>'H) Péréquation directe'!I62/C51</f>
        <v>15.901936135421071</v>
      </c>
      <c r="F51" s="117">
        <f>+'I) Dépenses thématiques'!O51/'J) Plafonnement effort'!C51</f>
        <v>-1.669833217197745</v>
      </c>
      <c r="G51" s="144">
        <f t="shared" si="1"/>
        <v>34.519248703691119</v>
      </c>
      <c r="H51" s="336">
        <f t="shared" si="2"/>
        <v>0</v>
      </c>
      <c r="I51" s="59">
        <f t="shared" si="3"/>
        <v>0</v>
      </c>
      <c r="J51" s="35">
        <f t="shared" si="4"/>
        <v>34.519248703691119</v>
      </c>
    </row>
    <row r="52" spans="1:10" x14ac:dyDescent="0.25">
      <c r="A52" s="51">
        <f>'A) Base RI'!A54</f>
        <v>5483</v>
      </c>
      <c r="B52" s="321" t="str">
        <f>'A) Base RI'!B54</f>
        <v>Ferreyres</v>
      </c>
      <c r="C52" s="101">
        <f>'B) D RI'!U54</f>
        <v>12305.209605263159</v>
      </c>
      <c r="D52" s="117">
        <f>'E) Fact soc'!G58/C52</f>
        <v>16.079787668332632</v>
      </c>
      <c r="E52" s="144">
        <f>'H) Péréquation directe'!I63/C52</f>
        <v>11.955249975410494</v>
      </c>
      <c r="F52" s="117">
        <f>+'I) Dépenses thématiques'!O52/'J) Plafonnement effort'!C52</f>
        <v>-0.56083116251280141</v>
      </c>
      <c r="G52" s="144">
        <f t="shared" si="1"/>
        <v>27.474206481230322</v>
      </c>
      <c r="H52" s="336">
        <f t="shared" si="2"/>
        <v>0</v>
      </c>
      <c r="I52" s="59">
        <f t="shared" si="3"/>
        <v>0</v>
      </c>
      <c r="J52" s="35">
        <f t="shared" si="4"/>
        <v>27.474206481230322</v>
      </c>
    </row>
    <row r="53" spans="1:10" x14ac:dyDescent="0.25">
      <c r="A53" s="51">
        <f>'A) Base RI'!A55</f>
        <v>5484</v>
      </c>
      <c r="B53" s="321" t="str">
        <f>'A) Base RI'!B55</f>
        <v>Gollion</v>
      </c>
      <c r="C53" s="101">
        <f>'B) D RI'!U55</f>
        <v>34769.525540540541</v>
      </c>
      <c r="D53" s="117">
        <f>'E) Fact soc'!G59/C53</f>
        <v>20.059618050885408</v>
      </c>
      <c r="E53" s="144">
        <f>'H) Péréquation directe'!I64/C53</f>
        <v>11.908568345177358</v>
      </c>
      <c r="F53" s="117">
        <f>+'I) Dépenses thématiques'!O53/'J) Plafonnement effort'!C53</f>
        <v>-3.6593884815517321</v>
      </c>
      <c r="G53" s="144">
        <f t="shared" si="1"/>
        <v>28.308797914511032</v>
      </c>
      <c r="H53" s="336">
        <f t="shared" si="2"/>
        <v>0</v>
      </c>
      <c r="I53" s="59">
        <f t="shared" si="3"/>
        <v>0</v>
      </c>
      <c r="J53" s="35">
        <f t="shared" si="4"/>
        <v>28.308797914511032</v>
      </c>
    </row>
    <row r="54" spans="1:10" x14ac:dyDescent="0.25">
      <c r="A54" s="51">
        <f>'A) Base RI'!A56</f>
        <v>5485</v>
      </c>
      <c r="B54" s="321" t="str">
        <f>'A) Base RI'!B56</f>
        <v>Grancy</v>
      </c>
      <c r="C54" s="101">
        <f>'B) D RI'!U56</f>
        <v>17864.595714285719</v>
      </c>
      <c r="D54" s="117">
        <f>'E) Fact soc'!G60/C54</f>
        <v>17.500986940187701</v>
      </c>
      <c r="E54" s="144">
        <f>'H) Péréquation directe'!I65/C54</f>
        <v>16.055857995728879</v>
      </c>
      <c r="F54" s="117">
        <f>+'I) Dépenses thématiques'!O54/'J) Plafonnement effort'!C54</f>
        <v>-1.8875683584546488</v>
      </c>
      <c r="G54" s="144">
        <f t="shared" si="1"/>
        <v>31.669276577461932</v>
      </c>
      <c r="H54" s="336">
        <f t="shared" si="2"/>
        <v>0</v>
      </c>
      <c r="I54" s="59">
        <f t="shared" si="3"/>
        <v>0</v>
      </c>
      <c r="J54" s="35">
        <f t="shared" si="4"/>
        <v>31.669276577461932</v>
      </c>
    </row>
    <row r="55" spans="1:10" x14ac:dyDescent="0.25">
      <c r="A55" s="51">
        <f>'A) Base RI'!A57</f>
        <v>5486</v>
      </c>
      <c r="B55" s="321" t="str">
        <f>'A) Base RI'!B57</f>
        <v>L'Isle</v>
      </c>
      <c r="C55" s="101">
        <f>'B) D RI'!U57</f>
        <v>26187.199605263158</v>
      </c>
      <c r="D55" s="117">
        <f>'E) Fact soc'!G61/C55</f>
        <v>19.118428485522404</v>
      </c>
      <c r="E55" s="144">
        <f>'H) Péréquation directe'!I66/C55</f>
        <v>-1.8409877952869134</v>
      </c>
      <c r="F55" s="117">
        <f>+'I) Dépenses thématiques'!O55/'J) Plafonnement effort'!C55</f>
        <v>-12.005096818970991</v>
      </c>
      <c r="G55" s="144">
        <f t="shared" si="1"/>
        <v>5.2723438712644999</v>
      </c>
      <c r="H55" s="336">
        <f t="shared" si="2"/>
        <v>0</v>
      </c>
      <c r="I55" s="59">
        <f t="shared" si="3"/>
        <v>0</v>
      </c>
      <c r="J55" s="35">
        <f t="shared" si="4"/>
        <v>5.2723438712644999</v>
      </c>
    </row>
    <row r="56" spans="1:10" x14ac:dyDescent="0.25">
      <c r="A56" s="51">
        <f>'A) Base RI'!A58</f>
        <v>5487</v>
      </c>
      <c r="B56" s="321" t="str">
        <f>'A) Base RI'!B58</f>
        <v>Lussery-Villars</v>
      </c>
      <c r="C56" s="101">
        <f>'B) D RI'!U58</f>
        <v>14370.481805555557</v>
      </c>
      <c r="D56" s="117">
        <f>'E) Fact soc'!G62/C56</f>
        <v>18.158024946008641</v>
      </c>
      <c r="E56" s="144">
        <f>'H) Péréquation directe'!I67/C56</f>
        <v>6.4671718087754311</v>
      </c>
      <c r="F56" s="117">
        <f>+'I) Dépenses thématiques'!O56/'J) Plafonnement effort'!C56</f>
        <v>-0.83248875574992176</v>
      </c>
      <c r="G56" s="144">
        <f t="shared" si="1"/>
        <v>23.79270799903415</v>
      </c>
      <c r="H56" s="336">
        <f t="shared" si="2"/>
        <v>0</v>
      </c>
      <c r="I56" s="59">
        <f t="shared" si="3"/>
        <v>0</v>
      </c>
      <c r="J56" s="35">
        <f t="shared" si="4"/>
        <v>23.79270799903415</v>
      </c>
    </row>
    <row r="57" spans="1:10" x14ac:dyDescent="0.25">
      <c r="A57" s="51">
        <f>'A) Base RI'!A59</f>
        <v>5488</v>
      </c>
      <c r="B57" s="321" t="str">
        <f>'A) Base RI'!B59</f>
        <v>Mauraz</v>
      </c>
      <c r="C57" s="101">
        <f>'B) D RI'!U59</f>
        <v>1634.9372972972974</v>
      </c>
      <c r="D57" s="117">
        <f>'E) Fact soc'!G63/C57</f>
        <v>15.015158505543184</v>
      </c>
      <c r="E57" s="144">
        <f>'H) Péréquation directe'!I68/C57</f>
        <v>0.86362462077476987</v>
      </c>
      <c r="F57" s="117">
        <f>+'I) Dépenses thématiques'!O57/'J) Plafonnement effort'!C57</f>
        <v>-1.1419290830419844</v>
      </c>
      <c r="G57" s="144">
        <f t="shared" si="1"/>
        <v>14.736854043275969</v>
      </c>
      <c r="H57" s="336">
        <f t="shared" si="2"/>
        <v>0</v>
      </c>
      <c r="I57" s="59">
        <f t="shared" si="3"/>
        <v>0</v>
      </c>
      <c r="J57" s="35">
        <f t="shared" si="4"/>
        <v>14.736854043275969</v>
      </c>
    </row>
    <row r="58" spans="1:10" x14ac:dyDescent="0.25">
      <c r="A58" s="51">
        <f>'A) Base RI'!A60</f>
        <v>5489</v>
      </c>
      <c r="B58" s="321" t="str">
        <f>'A) Base RI'!B60</f>
        <v>Mex</v>
      </c>
      <c r="C58" s="101">
        <f>'B) D RI'!U60</f>
        <v>57398.642786885255</v>
      </c>
      <c r="D58" s="117">
        <f>'E) Fact soc'!G64/C58</f>
        <v>24.052473966473752</v>
      </c>
      <c r="E58" s="144">
        <f>'H) Péréquation directe'!I69/C58</f>
        <v>15.773606287105912</v>
      </c>
      <c r="F58" s="117">
        <f>+'I) Dépenses thématiques'!O58/'J) Plafonnement effort'!C58</f>
        <v>0</v>
      </c>
      <c r="G58" s="144">
        <f t="shared" si="1"/>
        <v>39.826080253579661</v>
      </c>
      <c r="H58" s="336">
        <f t="shared" si="2"/>
        <v>0</v>
      </c>
      <c r="I58" s="59">
        <f t="shared" si="3"/>
        <v>0</v>
      </c>
      <c r="J58" s="35">
        <f t="shared" si="4"/>
        <v>39.826080253579661</v>
      </c>
    </row>
    <row r="59" spans="1:10" x14ac:dyDescent="0.25">
      <c r="A59" s="51">
        <f>'A) Base RI'!A61</f>
        <v>5490</v>
      </c>
      <c r="B59" s="321" t="str">
        <f>'A) Base RI'!B61</f>
        <v>Moiry</v>
      </c>
      <c r="C59" s="101">
        <f>'B) D RI'!U61</f>
        <v>8164.7235802469131</v>
      </c>
      <c r="D59" s="117">
        <f>'E) Fact soc'!G65/C59</f>
        <v>15.823682509463028</v>
      </c>
      <c r="E59" s="144">
        <f>'H) Péréquation directe'!I70/C59</f>
        <v>-4.4470548809045791</v>
      </c>
      <c r="F59" s="117">
        <f>+'I) Dépenses thématiques'!O59/'J) Plafonnement effort'!C59</f>
        <v>-5.2579379840977376</v>
      </c>
      <c r="G59" s="144">
        <f t="shared" si="1"/>
        <v>6.1186896444607113</v>
      </c>
      <c r="H59" s="336">
        <f t="shared" si="2"/>
        <v>0</v>
      </c>
      <c r="I59" s="59">
        <f t="shared" si="3"/>
        <v>0</v>
      </c>
      <c r="J59" s="35">
        <f t="shared" si="4"/>
        <v>6.1186896444607113</v>
      </c>
    </row>
    <row r="60" spans="1:10" x14ac:dyDescent="0.25">
      <c r="A60" s="51">
        <f>'A) Base RI'!A62</f>
        <v>5491</v>
      </c>
      <c r="B60" s="321" t="str">
        <f>'A) Base RI'!B62</f>
        <v>Mont-la-Ville</v>
      </c>
      <c r="C60" s="101">
        <f>'B) D RI'!U62</f>
        <v>10538.480394736844</v>
      </c>
      <c r="D60" s="117">
        <f>'E) Fact soc'!G66/C60</f>
        <v>17.266095463384566</v>
      </c>
      <c r="E60" s="144">
        <f>'H) Péréquation directe'!I71/C60</f>
        <v>-3.1358223223980244</v>
      </c>
      <c r="F60" s="117">
        <f>+'I) Dépenses thématiques'!O60/'J) Plafonnement effort'!C60</f>
        <v>-8.6715953501487579</v>
      </c>
      <c r="G60" s="144">
        <f t="shared" si="1"/>
        <v>5.4586777908377844</v>
      </c>
      <c r="H60" s="336">
        <f t="shared" si="2"/>
        <v>0</v>
      </c>
      <c r="I60" s="59">
        <f t="shared" si="3"/>
        <v>0</v>
      </c>
      <c r="J60" s="35">
        <f t="shared" si="4"/>
        <v>5.4586777908377844</v>
      </c>
    </row>
    <row r="61" spans="1:10" x14ac:dyDescent="0.25">
      <c r="A61" s="51">
        <f>'A) Base RI'!A63</f>
        <v>5492</v>
      </c>
      <c r="B61" s="321" t="str">
        <f>'A) Base RI'!B63</f>
        <v>Montricher</v>
      </c>
      <c r="C61" s="101">
        <f>'B) D RI'!U63</f>
        <v>223685.74057291666</v>
      </c>
      <c r="D61" s="117">
        <f>'E) Fact soc'!G67/C61</f>
        <v>39.205206695508309</v>
      </c>
      <c r="E61" s="144">
        <f>'H) Péréquation directe'!I72/C61</f>
        <v>12.773959976382695</v>
      </c>
      <c r="F61" s="117">
        <f>+'I) Dépenses thématiques'!O61/'J) Plafonnement effort'!C61</f>
        <v>-0.60377938307455159</v>
      </c>
      <c r="G61" s="144">
        <f t="shared" si="1"/>
        <v>51.375387288816455</v>
      </c>
      <c r="H61" s="336">
        <f t="shared" si="2"/>
        <v>0</v>
      </c>
      <c r="I61" s="59">
        <f t="shared" si="3"/>
        <v>0</v>
      </c>
      <c r="J61" s="35">
        <f t="shared" si="4"/>
        <v>51.375387288816455</v>
      </c>
    </row>
    <row r="62" spans="1:10" x14ac:dyDescent="0.25">
      <c r="A62" s="51">
        <f>'A) Base RI'!A64</f>
        <v>5493</v>
      </c>
      <c r="B62" s="321" t="str">
        <f>'A) Base RI'!B64</f>
        <v>Orny</v>
      </c>
      <c r="C62" s="101">
        <f>'B) D RI'!U64</f>
        <v>9903.4061011591148</v>
      </c>
      <c r="D62" s="117">
        <f>'E) Fact soc'!G68/C62</f>
        <v>20.613243087120743</v>
      </c>
      <c r="E62" s="144">
        <f>'H) Péréquation directe'!I73/C62</f>
        <v>2.0258387120253585</v>
      </c>
      <c r="F62" s="117">
        <f>+'I) Dépenses thématiques'!O62/'J) Plafonnement effort'!C62</f>
        <v>-31.704458526823551</v>
      </c>
      <c r="G62" s="144">
        <f t="shared" si="1"/>
        <v>-9.0653767276774495</v>
      </c>
      <c r="H62" s="336">
        <f t="shared" si="2"/>
        <v>0</v>
      </c>
      <c r="I62" s="59">
        <f t="shared" si="3"/>
        <v>0</v>
      </c>
      <c r="J62" s="35">
        <f t="shared" si="4"/>
        <v>-9.0653767276774495</v>
      </c>
    </row>
    <row r="63" spans="1:10" x14ac:dyDescent="0.25">
      <c r="A63" s="51">
        <f>'A) Base RI'!A65</f>
        <v>5494</v>
      </c>
      <c r="B63" s="321" t="str">
        <f>'A) Base RI'!B65</f>
        <v>Pampigny</v>
      </c>
      <c r="C63" s="101">
        <f>'B) D RI'!U65</f>
        <v>37200.871473015875</v>
      </c>
      <c r="D63" s="117">
        <f>'E) Fact soc'!G69/C63</f>
        <v>15.812303540747809</v>
      </c>
      <c r="E63" s="144">
        <f>'H) Péréquation directe'!I74/C63</f>
        <v>6.7871370051711803</v>
      </c>
      <c r="F63" s="117">
        <f>+'I) Dépenses thématiques'!O63/'J) Plafonnement effort'!C63</f>
        <v>-5.8154893832647145</v>
      </c>
      <c r="G63" s="144">
        <f t="shared" si="1"/>
        <v>16.783951162654272</v>
      </c>
      <c r="H63" s="336">
        <f t="shared" si="2"/>
        <v>0</v>
      </c>
      <c r="I63" s="59">
        <f t="shared" si="3"/>
        <v>0</v>
      </c>
      <c r="J63" s="35">
        <f t="shared" si="4"/>
        <v>16.783951162654272</v>
      </c>
    </row>
    <row r="64" spans="1:10" x14ac:dyDescent="0.25">
      <c r="A64" s="51">
        <f>'A) Base RI'!A66</f>
        <v>5495</v>
      </c>
      <c r="B64" s="321" t="str">
        <f>'A) Base RI'!B66</f>
        <v>Penthalaz</v>
      </c>
      <c r="C64" s="101">
        <f>'B) D RI'!U66</f>
        <v>93529.013513513521</v>
      </c>
      <c r="D64" s="117">
        <f>'E) Fact soc'!G70/C64</f>
        <v>19.071952229184653</v>
      </c>
      <c r="E64" s="144">
        <f>'H) Péréquation directe'!I75/C64</f>
        <v>-3.8843890157832552</v>
      </c>
      <c r="F64" s="117">
        <f>+'I) Dépenses thématiques'!O64/'J) Plafonnement effort'!C64</f>
        <v>-4.9689881998173622</v>
      </c>
      <c r="G64" s="144">
        <f t="shared" si="1"/>
        <v>10.218575013584035</v>
      </c>
      <c r="H64" s="336">
        <f t="shared" si="2"/>
        <v>0</v>
      </c>
      <c r="I64" s="59">
        <f t="shared" si="3"/>
        <v>0</v>
      </c>
      <c r="J64" s="35">
        <f t="shared" si="4"/>
        <v>10.218575013584035</v>
      </c>
    </row>
    <row r="65" spans="1:10" x14ac:dyDescent="0.25">
      <c r="A65" s="51">
        <f>'A) Base RI'!A67</f>
        <v>5496</v>
      </c>
      <c r="B65" s="321" t="str">
        <f>'A) Base RI'!B67</f>
        <v>Penthaz</v>
      </c>
      <c r="C65" s="101">
        <f>'B) D RI'!U67</f>
        <v>55364.179859154945</v>
      </c>
      <c r="D65" s="117">
        <f>'E) Fact soc'!G71/C65</f>
        <v>17.638868553620053</v>
      </c>
      <c r="E65" s="144">
        <f>'H) Péréquation directe'!I76/C65</f>
        <v>4.2345317946461893</v>
      </c>
      <c r="F65" s="117">
        <f>+'I) Dépenses thématiques'!O65/'J) Plafonnement effort'!C65</f>
        <v>-4.1741337044639613</v>
      </c>
      <c r="G65" s="144">
        <f t="shared" si="1"/>
        <v>17.699266643802282</v>
      </c>
      <c r="H65" s="336">
        <f t="shared" si="2"/>
        <v>0</v>
      </c>
      <c r="I65" s="59">
        <f t="shared" si="3"/>
        <v>0</v>
      </c>
      <c r="J65" s="35">
        <f t="shared" si="4"/>
        <v>17.699266643802282</v>
      </c>
    </row>
    <row r="66" spans="1:10" x14ac:dyDescent="0.25">
      <c r="A66" s="51">
        <f>'A) Base RI'!A68</f>
        <v>5497</v>
      </c>
      <c r="B66" s="321" t="str">
        <f>'A) Base RI'!B68</f>
        <v>Pompaples</v>
      </c>
      <c r="C66" s="101">
        <f>'B) D RI'!U68</f>
        <v>21756.171818181818</v>
      </c>
      <c r="D66" s="117">
        <f>'E) Fact soc'!G72/C66</f>
        <v>26.583189963617631</v>
      </c>
      <c r="E66" s="144">
        <f>'H) Péréquation directe'!I77/C66</f>
        <v>1.4953152388213411</v>
      </c>
      <c r="F66" s="117">
        <f>+'I) Dépenses thématiques'!O66/'J) Plafonnement effort'!C66</f>
        <v>-7.9629348462910432</v>
      </c>
      <c r="G66" s="144">
        <f t="shared" si="1"/>
        <v>20.115570356147927</v>
      </c>
      <c r="H66" s="336">
        <f t="shared" si="2"/>
        <v>0</v>
      </c>
      <c r="I66" s="59">
        <f t="shared" si="3"/>
        <v>0</v>
      </c>
      <c r="J66" s="35">
        <f t="shared" si="4"/>
        <v>20.115570356147927</v>
      </c>
    </row>
    <row r="67" spans="1:10" x14ac:dyDescent="0.25">
      <c r="A67" s="51">
        <f>'A) Base RI'!A69</f>
        <v>5498</v>
      </c>
      <c r="B67" s="321" t="str">
        <f>'A) Base RI'!B69</f>
        <v>La Sarraz</v>
      </c>
      <c r="C67" s="101">
        <f>'B) D RI'!U69</f>
        <v>71866.729696969705</v>
      </c>
      <c r="D67" s="117">
        <f>'E) Fact soc'!G73/C67</f>
        <v>21.019350804531214</v>
      </c>
      <c r="E67" s="144">
        <f>'H) Péréquation directe'!I78/C67</f>
        <v>-1.4574574461401846</v>
      </c>
      <c r="F67" s="117">
        <f>+'I) Dépenses thématiques'!O67/'J) Plafonnement effort'!C67</f>
        <v>-8.0538483276594466</v>
      </c>
      <c r="G67" s="144">
        <f t="shared" si="1"/>
        <v>11.508045030731582</v>
      </c>
      <c r="H67" s="336">
        <f t="shared" si="2"/>
        <v>0</v>
      </c>
      <c r="I67" s="59">
        <f t="shared" si="3"/>
        <v>0</v>
      </c>
      <c r="J67" s="35">
        <f t="shared" si="4"/>
        <v>11.508045030731582</v>
      </c>
    </row>
    <row r="68" spans="1:10" x14ac:dyDescent="0.25">
      <c r="A68" s="51">
        <f>'A) Base RI'!A70</f>
        <v>5499</v>
      </c>
      <c r="B68" s="321" t="str">
        <f>'A) Base RI'!B70</f>
        <v>Senarclens</v>
      </c>
      <c r="C68" s="101">
        <f>'B) D RI'!U70</f>
        <v>20247.622335766424</v>
      </c>
      <c r="D68" s="117">
        <f>'E) Fact soc'!G74/C68</f>
        <v>23.778812926662813</v>
      </c>
      <c r="E68" s="144">
        <f>'H) Péréquation directe'!I79/C68</f>
        <v>13.840733011788213</v>
      </c>
      <c r="F68" s="117">
        <f>+'I) Dépenses thématiques'!O68/'J) Plafonnement effort'!C68</f>
        <v>-1.1144556569835122</v>
      </c>
      <c r="G68" s="144">
        <f t="shared" si="1"/>
        <v>36.505090281467517</v>
      </c>
      <c r="H68" s="336">
        <f t="shared" si="2"/>
        <v>0</v>
      </c>
      <c r="I68" s="59">
        <f t="shared" si="3"/>
        <v>0</v>
      </c>
      <c r="J68" s="35">
        <f t="shared" si="4"/>
        <v>36.505090281467517</v>
      </c>
    </row>
    <row r="69" spans="1:10" x14ac:dyDescent="0.25">
      <c r="A69" s="51">
        <f>'A) Base RI'!A71</f>
        <v>5500</v>
      </c>
      <c r="B69" s="321" t="str">
        <f>'A) Base RI'!B71</f>
        <v>Sévery</v>
      </c>
      <c r="C69" s="101">
        <f>'B) D RI'!U71</f>
        <v>8952.9604888888862</v>
      </c>
      <c r="D69" s="117">
        <f>'E) Fact soc'!G75/C69</f>
        <v>16.848188487119334</v>
      </c>
      <c r="E69" s="144">
        <f>'H) Péréquation directe'!I80/C69</f>
        <v>12.215493142423234</v>
      </c>
      <c r="F69" s="117">
        <f>+'I) Dépenses thématiques'!O69/'J) Plafonnement effort'!C69</f>
        <v>-0.74880392440952037</v>
      </c>
      <c r="G69" s="144">
        <f t="shared" si="1"/>
        <v>28.314877705133046</v>
      </c>
      <c r="H69" s="336">
        <f t="shared" si="2"/>
        <v>0</v>
      </c>
      <c r="I69" s="59">
        <f t="shared" si="3"/>
        <v>0</v>
      </c>
      <c r="J69" s="35">
        <f t="shared" si="4"/>
        <v>28.314877705133046</v>
      </c>
    </row>
    <row r="70" spans="1:10" x14ac:dyDescent="0.25">
      <c r="A70" s="51">
        <f>'A) Base RI'!A72</f>
        <v>5501</v>
      </c>
      <c r="B70" s="321" t="str">
        <f>'A) Base RI'!B72</f>
        <v>Sullens</v>
      </c>
      <c r="C70" s="101">
        <f>'B) D RI'!U72</f>
        <v>34510.891142857145</v>
      </c>
      <c r="D70" s="117">
        <f>'E) Fact soc'!G76/C70</f>
        <v>17.637250025156963</v>
      </c>
      <c r="E70" s="144">
        <f>'H) Péréquation directe'!I81/C70</f>
        <v>9.652497453633897</v>
      </c>
      <c r="F70" s="117">
        <f>+'I) Dépenses thématiques'!O70/'J) Plafonnement effort'!C70</f>
        <v>-1.6819183691439159</v>
      </c>
      <c r="G70" s="144">
        <f t="shared" ref="G70:G133" si="5">SUM(D70:F70)</f>
        <v>25.607829109646943</v>
      </c>
      <c r="H70" s="336">
        <f t="shared" ref="H70:H133" si="6">IF(G70&gt;H$4,H$4-G70,0)</f>
        <v>0</v>
      </c>
      <c r="I70" s="59">
        <f t="shared" ref="I70:I133" si="7">H70*C70</f>
        <v>0</v>
      </c>
      <c r="J70" s="35">
        <f t="shared" ref="J70:J133" si="8">G70+H70</f>
        <v>25.607829109646943</v>
      </c>
    </row>
    <row r="71" spans="1:10" x14ac:dyDescent="0.25">
      <c r="A71" s="51">
        <f>'A) Base RI'!A73</f>
        <v>5503</v>
      </c>
      <c r="B71" s="321" t="str">
        <f>'A) Base RI'!B73</f>
        <v>Vufflens-la-Ville</v>
      </c>
      <c r="C71" s="101">
        <f>'B) D RI'!U73</f>
        <v>69488.630199004954</v>
      </c>
      <c r="D71" s="117">
        <f>'E) Fact soc'!G77/C71</f>
        <v>17.066959708008703</v>
      </c>
      <c r="E71" s="144">
        <f>'H) Péréquation directe'!I82/C71</f>
        <v>15.6531383205217</v>
      </c>
      <c r="F71" s="117">
        <f>+'I) Dépenses thématiques'!O71/'J) Plafonnement effort'!C71</f>
        <v>0</v>
      </c>
      <c r="G71" s="144">
        <f t="shared" si="5"/>
        <v>32.720098028530401</v>
      </c>
      <c r="H71" s="336">
        <f t="shared" si="6"/>
        <v>0</v>
      </c>
      <c r="I71" s="59">
        <f t="shared" si="7"/>
        <v>0</v>
      </c>
      <c r="J71" s="35">
        <f t="shared" si="8"/>
        <v>32.720098028530401</v>
      </c>
    </row>
    <row r="72" spans="1:10" x14ac:dyDescent="0.25">
      <c r="A72" s="51">
        <f>'A) Base RI'!A74</f>
        <v>5511</v>
      </c>
      <c r="B72" s="321" t="str">
        <f>'A) Base RI'!B74</f>
        <v>Assens</v>
      </c>
      <c r="C72" s="101">
        <f>'B) D RI'!U74</f>
        <v>49567.304285714286</v>
      </c>
      <c r="D72" s="117">
        <f>'E) Fact soc'!G78/C72</f>
        <v>15.910847622386997</v>
      </c>
      <c r="E72" s="144">
        <f>'H) Péréquation directe'!I83/C72</f>
        <v>16.006616665968288</v>
      </c>
      <c r="F72" s="117">
        <f>+'I) Dépenses thématiques'!O72/'J) Plafonnement effort'!C72</f>
        <v>-2.4604983034292593</v>
      </c>
      <c r="G72" s="144">
        <f t="shared" si="5"/>
        <v>29.456965984926025</v>
      </c>
      <c r="H72" s="336">
        <f t="shared" si="6"/>
        <v>0</v>
      </c>
      <c r="I72" s="59">
        <f t="shared" si="7"/>
        <v>0</v>
      </c>
      <c r="J72" s="35">
        <f t="shared" si="8"/>
        <v>29.456965984926025</v>
      </c>
    </row>
    <row r="73" spans="1:10" x14ac:dyDescent="0.25">
      <c r="A73" s="51">
        <f>'A) Base RI'!A75</f>
        <v>5512</v>
      </c>
      <c r="B73" s="321" t="str">
        <f>'A) Base RI'!B75</f>
        <v>Bercher</v>
      </c>
      <c r="C73" s="101">
        <f>'B) D RI'!U75</f>
        <v>38296.029873417712</v>
      </c>
      <c r="D73" s="117">
        <f>'E) Fact soc'!G79/C73</f>
        <v>18.145322530279515</v>
      </c>
      <c r="E73" s="144">
        <f>'H) Péréquation directe'!I84/C73</f>
        <v>3.3034922113032281</v>
      </c>
      <c r="F73" s="117">
        <f>+'I) Dépenses thématiques'!O73/'J) Plafonnement effort'!C73</f>
        <v>-4.2977470166617504</v>
      </c>
      <c r="G73" s="144">
        <f t="shared" si="5"/>
        <v>17.151067724920992</v>
      </c>
      <c r="H73" s="336">
        <f t="shared" si="6"/>
        <v>0</v>
      </c>
      <c r="I73" s="59">
        <f t="shared" si="7"/>
        <v>0</v>
      </c>
      <c r="J73" s="35">
        <f t="shared" si="8"/>
        <v>17.151067724920992</v>
      </c>
    </row>
    <row r="74" spans="1:10" x14ac:dyDescent="0.25">
      <c r="A74" s="51">
        <f>'A) Base RI'!A76</f>
        <v>5513</v>
      </c>
      <c r="B74" s="321" t="str">
        <f>'A) Base RI'!B76</f>
        <v>Bioley-Orjulaz</v>
      </c>
      <c r="C74" s="101">
        <f>'B) D RI'!U76</f>
        <v>23261.0975</v>
      </c>
      <c r="D74" s="117">
        <f>'E) Fact soc'!G80/C74</f>
        <v>24.203123088899577</v>
      </c>
      <c r="E74" s="144">
        <f>'H) Péréquation directe'!I85/C74</f>
        <v>16.368715559547869</v>
      </c>
      <c r="F74" s="117">
        <f>+'I) Dépenses thématiques'!O74/'J) Plafonnement effort'!C74</f>
        <v>-0.54453695443480588</v>
      </c>
      <c r="G74" s="144">
        <f t="shared" si="5"/>
        <v>40.027301694012642</v>
      </c>
      <c r="H74" s="336">
        <f t="shared" si="6"/>
        <v>0</v>
      </c>
      <c r="I74" s="59">
        <f t="shared" si="7"/>
        <v>0</v>
      </c>
      <c r="J74" s="35">
        <f t="shared" si="8"/>
        <v>40.027301694012642</v>
      </c>
    </row>
    <row r="75" spans="1:10" x14ac:dyDescent="0.25">
      <c r="A75" s="51">
        <f>'A) Base RI'!A77</f>
        <v>5514</v>
      </c>
      <c r="B75" s="321" t="str">
        <f>'A) Base RI'!B77</f>
        <v>Bottens</v>
      </c>
      <c r="C75" s="101">
        <f>'B) D RI'!U77</f>
        <v>41051.716376811593</v>
      </c>
      <c r="D75" s="117">
        <f>'E) Fact soc'!G81/C75</f>
        <v>16.532536108667852</v>
      </c>
      <c r="E75" s="144">
        <f>'H) Péréquation directe'!I86/C75</f>
        <v>6.7187192492375525</v>
      </c>
      <c r="F75" s="117">
        <f>+'I) Dépenses thématiques'!O75/'J) Plafonnement effort'!C75</f>
        <v>0</v>
      </c>
      <c r="G75" s="144">
        <f t="shared" si="5"/>
        <v>23.251255357905404</v>
      </c>
      <c r="H75" s="336">
        <f t="shared" si="6"/>
        <v>0</v>
      </c>
      <c r="I75" s="59">
        <f t="shared" si="7"/>
        <v>0</v>
      </c>
      <c r="J75" s="35">
        <f t="shared" si="8"/>
        <v>23.251255357905404</v>
      </c>
    </row>
    <row r="76" spans="1:10" x14ac:dyDescent="0.25">
      <c r="A76" s="51">
        <f>'A) Base RI'!A78</f>
        <v>5515</v>
      </c>
      <c r="B76" s="321" t="str">
        <f>'A) Base RI'!B78</f>
        <v>Bretigny-sur-Morrens</v>
      </c>
      <c r="C76" s="101">
        <f>'B) D RI'!U78</f>
        <v>27741.095753424659</v>
      </c>
      <c r="D76" s="117">
        <f>'E) Fact soc'!G82/C76</f>
        <v>17.023519151972302</v>
      </c>
      <c r="E76" s="144">
        <f>'H) Péréquation directe'!I87/C76</f>
        <v>8.5229205786953752</v>
      </c>
      <c r="F76" s="117">
        <f>+'I) Dépenses thématiques'!O76/'J) Plafonnement effort'!C76</f>
        <v>-1.5622647436640638</v>
      </c>
      <c r="G76" s="144">
        <f t="shared" si="5"/>
        <v>23.984174987003616</v>
      </c>
      <c r="H76" s="336">
        <f t="shared" si="6"/>
        <v>0</v>
      </c>
      <c r="I76" s="59">
        <f t="shared" si="7"/>
        <v>0</v>
      </c>
      <c r="J76" s="35">
        <f t="shared" si="8"/>
        <v>23.984174987003616</v>
      </c>
    </row>
    <row r="77" spans="1:10" x14ac:dyDescent="0.25">
      <c r="A77" s="51">
        <f>'A) Base RI'!A79</f>
        <v>5516</v>
      </c>
      <c r="B77" s="321" t="str">
        <f>'A) Base RI'!B79</f>
        <v>Cugy</v>
      </c>
      <c r="C77" s="101">
        <f>'B) D RI'!U79</f>
        <v>111403.80442857141</v>
      </c>
      <c r="D77" s="117">
        <f>'E) Fact soc'!G83/C77</f>
        <v>17.762998326366127</v>
      </c>
      <c r="E77" s="144">
        <f>'H) Péréquation directe'!I88/C77</f>
        <v>10.178491934900782</v>
      </c>
      <c r="F77" s="117">
        <f>+'I) Dépenses thématiques'!O77/'J) Plafonnement effort'!C77</f>
        <v>-2.2274256068250211</v>
      </c>
      <c r="G77" s="144">
        <f t="shared" si="5"/>
        <v>25.714064654441884</v>
      </c>
      <c r="H77" s="336">
        <f t="shared" si="6"/>
        <v>0</v>
      </c>
      <c r="I77" s="59">
        <f t="shared" si="7"/>
        <v>0</v>
      </c>
      <c r="J77" s="35">
        <f t="shared" si="8"/>
        <v>25.714064654441884</v>
      </c>
    </row>
    <row r="78" spans="1:10" x14ac:dyDescent="0.25">
      <c r="A78" s="51">
        <f>'A) Base RI'!A80</f>
        <v>5518</v>
      </c>
      <c r="B78" s="321" t="str">
        <f>'A) Base RI'!B80</f>
        <v>Echallens</v>
      </c>
      <c r="C78" s="101">
        <f>'B) D RI'!U80</f>
        <v>193638.72135135136</v>
      </c>
      <c r="D78" s="117">
        <f>'E) Fact soc'!G84/C78</f>
        <v>16.661534694020197</v>
      </c>
      <c r="E78" s="144">
        <f>'H) Péréquation directe'!I89/C78</f>
        <v>9.4299518337354078E-3</v>
      </c>
      <c r="F78" s="117">
        <f>+'I) Dépenses thématiques'!O78/'J) Plafonnement effort'!C78</f>
        <v>-5.0642627915204406</v>
      </c>
      <c r="G78" s="144">
        <f t="shared" si="5"/>
        <v>11.60670185433349</v>
      </c>
      <c r="H78" s="336">
        <f t="shared" si="6"/>
        <v>0</v>
      </c>
      <c r="I78" s="59">
        <f t="shared" si="7"/>
        <v>0</v>
      </c>
      <c r="J78" s="35">
        <f t="shared" si="8"/>
        <v>11.60670185433349</v>
      </c>
    </row>
    <row r="79" spans="1:10" x14ac:dyDescent="0.25">
      <c r="A79" s="51">
        <f>'A) Base RI'!A81</f>
        <v>5520</v>
      </c>
      <c r="B79" s="321" t="str">
        <f>'A) Base RI'!B81</f>
        <v>Essertines-sur-Yverdon</v>
      </c>
      <c r="C79" s="101">
        <f>'B) D RI'!U81</f>
        <v>32024.354520547942</v>
      </c>
      <c r="D79" s="117">
        <f>'E) Fact soc'!G85/C79</f>
        <v>18.185770107873854</v>
      </c>
      <c r="E79" s="144">
        <f>'H) Péréquation directe'!I90/C79</f>
        <v>7.5876359491030412</v>
      </c>
      <c r="F79" s="117">
        <f>+'I) Dépenses thématiques'!O79/'J) Plafonnement effort'!C79</f>
        <v>-6.9650509501781599</v>
      </c>
      <c r="G79" s="144">
        <f t="shared" si="5"/>
        <v>18.808355106798736</v>
      </c>
      <c r="H79" s="336">
        <f t="shared" si="6"/>
        <v>0</v>
      </c>
      <c r="I79" s="59">
        <f t="shared" si="7"/>
        <v>0</v>
      </c>
      <c r="J79" s="35">
        <f t="shared" si="8"/>
        <v>18.808355106798736</v>
      </c>
    </row>
    <row r="80" spans="1:10" x14ac:dyDescent="0.25">
      <c r="A80" s="51">
        <f>'A) Base RI'!A82</f>
        <v>5521</v>
      </c>
      <c r="B80" s="321" t="str">
        <f>'A) Base RI'!B82</f>
        <v>Etagnières</v>
      </c>
      <c r="C80" s="101">
        <f>'B) D RI'!U82</f>
        <v>41782.284931506838</v>
      </c>
      <c r="D80" s="117">
        <f>'E) Fact soc'!G86/C80</f>
        <v>17.143563405987983</v>
      </c>
      <c r="E80" s="144">
        <f>'H) Péréquation directe'!I91/C80</f>
        <v>10.914824326823894</v>
      </c>
      <c r="F80" s="117">
        <f>+'I) Dépenses thématiques'!O80/'J) Plafonnement effort'!C80</f>
        <v>0</v>
      </c>
      <c r="G80" s="144">
        <f t="shared" si="5"/>
        <v>28.058387732811877</v>
      </c>
      <c r="H80" s="336">
        <f t="shared" si="6"/>
        <v>0</v>
      </c>
      <c r="I80" s="59">
        <f t="shared" si="7"/>
        <v>0</v>
      </c>
      <c r="J80" s="35">
        <f t="shared" si="8"/>
        <v>28.058387732811877</v>
      </c>
    </row>
    <row r="81" spans="1:10" x14ac:dyDescent="0.25">
      <c r="A81" s="51">
        <f>'A) Base RI'!A83</f>
        <v>5522</v>
      </c>
      <c r="B81" s="321" t="str">
        <f>'A) Base RI'!B83</f>
        <v>Fey</v>
      </c>
      <c r="C81" s="101">
        <f>'B) D RI'!U83</f>
        <v>20521.084933333332</v>
      </c>
      <c r="D81" s="117">
        <f>'E) Fact soc'!G87/C81</f>
        <v>18.374791303905234</v>
      </c>
      <c r="E81" s="144">
        <f>'H) Péréquation directe'!I92/C81</f>
        <v>3.1661399714726959</v>
      </c>
      <c r="F81" s="117">
        <f>+'I) Dépenses thématiques'!O81/'J) Plafonnement effort'!C81</f>
        <v>-0.80101885982749665</v>
      </c>
      <c r="G81" s="144">
        <f t="shared" si="5"/>
        <v>20.739912415550432</v>
      </c>
      <c r="H81" s="336">
        <f t="shared" si="6"/>
        <v>0</v>
      </c>
      <c r="I81" s="59">
        <f t="shared" si="7"/>
        <v>0</v>
      </c>
      <c r="J81" s="35">
        <f t="shared" si="8"/>
        <v>20.739912415550432</v>
      </c>
    </row>
    <row r="82" spans="1:10" x14ac:dyDescent="0.25">
      <c r="A82" s="51">
        <f>'A) Base RI'!A84</f>
        <v>5523</v>
      </c>
      <c r="B82" s="321" t="str">
        <f>'A) Base RI'!B84</f>
        <v>Froideville</v>
      </c>
      <c r="C82" s="101">
        <f>'B) D RI'!U84</f>
        <v>83854.770526315799</v>
      </c>
      <c r="D82" s="117">
        <f>'E) Fact soc'!G88/C82</f>
        <v>16.737453720156839</v>
      </c>
      <c r="E82" s="144">
        <f>'H) Péréquation directe'!I93/C82</f>
        <v>2.4330983411400653</v>
      </c>
      <c r="F82" s="117">
        <f>+'I) Dépenses thématiques'!O82/'J) Plafonnement effort'!C82</f>
        <v>-1.6936962106189601</v>
      </c>
      <c r="G82" s="144">
        <f t="shared" si="5"/>
        <v>17.476855850677946</v>
      </c>
      <c r="H82" s="336">
        <f t="shared" si="6"/>
        <v>0</v>
      </c>
      <c r="I82" s="59">
        <f t="shared" si="7"/>
        <v>0</v>
      </c>
      <c r="J82" s="35">
        <f t="shared" si="8"/>
        <v>17.476855850677946</v>
      </c>
    </row>
    <row r="83" spans="1:10" x14ac:dyDescent="0.25">
      <c r="A83" s="51">
        <f>'A) Base RI'!A85</f>
        <v>5527</v>
      </c>
      <c r="B83" s="321" t="str">
        <f>'A) Base RI'!B85</f>
        <v>Morrens</v>
      </c>
      <c r="C83" s="101">
        <f>'B) D RI'!U85</f>
        <v>39746.766619718313</v>
      </c>
      <c r="D83" s="117">
        <f>'E) Fact soc'!G89/C83</f>
        <v>17.071960528765956</v>
      </c>
      <c r="E83" s="144">
        <f>'H) Péréquation directe'!I94/C83</f>
        <v>10.585823485135753</v>
      </c>
      <c r="F83" s="117">
        <f>+'I) Dépenses thématiques'!O83/'J) Plafonnement effort'!C83</f>
        <v>-0.7049278352975572</v>
      </c>
      <c r="G83" s="144">
        <f t="shared" si="5"/>
        <v>26.952856178604154</v>
      </c>
      <c r="H83" s="336">
        <f t="shared" si="6"/>
        <v>0</v>
      </c>
      <c r="I83" s="59">
        <f t="shared" si="7"/>
        <v>0</v>
      </c>
      <c r="J83" s="35">
        <f t="shared" si="8"/>
        <v>26.952856178604154</v>
      </c>
    </row>
    <row r="84" spans="1:10" x14ac:dyDescent="0.25">
      <c r="A84" s="51">
        <f>'A) Base RI'!A86</f>
        <v>5529</v>
      </c>
      <c r="B84" s="321" t="str">
        <f>'A) Base RI'!B86</f>
        <v>Oulens-sous-Echallens</v>
      </c>
      <c r="C84" s="101">
        <f>'B) D RI'!U86</f>
        <v>20201.042816901412</v>
      </c>
      <c r="D84" s="117">
        <f>'E) Fact soc'!G90/C84</f>
        <v>17.630931883132867</v>
      </c>
      <c r="E84" s="144">
        <f>'H) Péréquation directe'!I95/C84</f>
        <v>10.073613866579889</v>
      </c>
      <c r="F84" s="117">
        <f>+'I) Dépenses thématiques'!O84/'J) Plafonnement effort'!C84</f>
        <v>-5.812140839864016</v>
      </c>
      <c r="G84" s="144">
        <f t="shared" si="5"/>
        <v>21.892404909848743</v>
      </c>
      <c r="H84" s="336">
        <f t="shared" si="6"/>
        <v>0</v>
      </c>
      <c r="I84" s="59">
        <f t="shared" si="7"/>
        <v>0</v>
      </c>
      <c r="J84" s="35">
        <f t="shared" si="8"/>
        <v>21.892404909848743</v>
      </c>
    </row>
    <row r="85" spans="1:10" x14ac:dyDescent="0.25">
      <c r="A85" s="51">
        <f>'A) Base RI'!A87</f>
        <v>5530</v>
      </c>
      <c r="B85" s="321" t="str">
        <f>'A) Base RI'!B87</f>
        <v>Pailly</v>
      </c>
      <c r="C85" s="101">
        <f>'B) D RI'!U87</f>
        <v>17056.622387096773</v>
      </c>
      <c r="D85" s="117">
        <f>'E) Fact soc'!G91/C85</f>
        <v>18.010216603249908</v>
      </c>
      <c r="E85" s="144">
        <f>'H) Péréquation directe'!I96/C85</f>
        <v>5.1839330767583762</v>
      </c>
      <c r="F85" s="117">
        <f>+'I) Dépenses thématiques'!O85/'J) Plafonnement effort'!C85</f>
        <v>-30.193952169349362</v>
      </c>
      <c r="G85" s="144">
        <f t="shared" si="5"/>
        <v>-6.9998024893410786</v>
      </c>
      <c r="H85" s="336">
        <f t="shared" si="6"/>
        <v>0</v>
      </c>
      <c r="I85" s="59">
        <f t="shared" si="7"/>
        <v>0</v>
      </c>
      <c r="J85" s="35">
        <f t="shared" si="8"/>
        <v>-6.9998024893410786</v>
      </c>
    </row>
    <row r="86" spans="1:10" x14ac:dyDescent="0.25">
      <c r="A86" s="51">
        <f>'A) Base RI'!A88</f>
        <v>5531</v>
      </c>
      <c r="B86" s="321" t="str">
        <f>'A) Base RI'!B88</f>
        <v>Penthéréaz</v>
      </c>
      <c r="C86" s="101">
        <f>'B) D RI'!U88</f>
        <v>13134.769871794872</v>
      </c>
      <c r="D86" s="117">
        <f>'E) Fact soc'!G92/C86</f>
        <v>17.208100618815546</v>
      </c>
      <c r="E86" s="144">
        <f>'H) Péréquation directe'!I97/C86</f>
        <v>5.0656658947982569</v>
      </c>
      <c r="F86" s="117">
        <f>+'I) Dépenses thématiques'!O86/'J) Plafonnement effort'!C86</f>
        <v>-4.3953590651877814</v>
      </c>
      <c r="G86" s="144">
        <f t="shared" si="5"/>
        <v>17.878407448426024</v>
      </c>
      <c r="H86" s="336">
        <f t="shared" si="6"/>
        <v>0</v>
      </c>
      <c r="I86" s="59">
        <f t="shared" si="7"/>
        <v>0</v>
      </c>
      <c r="J86" s="35">
        <f t="shared" si="8"/>
        <v>17.878407448426024</v>
      </c>
    </row>
    <row r="87" spans="1:10" x14ac:dyDescent="0.25">
      <c r="A87" s="51">
        <f>'A) Base RI'!A89</f>
        <v>5533</v>
      </c>
      <c r="B87" s="321" t="str">
        <f>'A) Base RI'!B89</f>
        <v>Poliez-Pittet</v>
      </c>
      <c r="C87" s="101">
        <f>'B) D RI'!U89</f>
        <v>28042.897605633803</v>
      </c>
      <c r="D87" s="117">
        <f>'E) Fact soc'!G93/C87</f>
        <v>15.683709960662197</v>
      </c>
      <c r="E87" s="144">
        <f>'H) Péréquation directe'!I98/C87</f>
        <v>8.369409001527389</v>
      </c>
      <c r="F87" s="117">
        <f>+'I) Dépenses thématiques'!O87/'J) Plafonnement effort'!C87</f>
        <v>-1.4440139086970414</v>
      </c>
      <c r="G87" s="144">
        <f t="shared" si="5"/>
        <v>22.609105053492545</v>
      </c>
      <c r="H87" s="336">
        <f t="shared" si="6"/>
        <v>0</v>
      </c>
      <c r="I87" s="59">
        <f t="shared" si="7"/>
        <v>0</v>
      </c>
      <c r="J87" s="35">
        <f t="shared" si="8"/>
        <v>22.609105053492545</v>
      </c>
    </row>
    <row r="88" spans="1:10" x14ac:dyDescent="0.25">
      <c r="A88" s="51">
        <f>'A) Base RI'!A90</f>
        <v>5534</v>
      </c>
      <c r="B88" s="321" t="str">
        <f>'A) Base RI'!B90</f>
        <v>Rueyres</v>
      </c>
      <c r="C88" s="101">
        <f>'B) D RI'!U90</f>
        <v>9722.0657534246584</v>
      </c>
      <c r="D88" s="117">
        <f>'E) Fact soc'!G94/C88</f>
        <v>16.204188213136757</v>
      </c>
      <c r="E88" s="144">
        <f>'H) Péréquation directe'!I99/C88</f>
        <v>11.981386480591397</v>
      </c>
      <c r="F88" s="117">
        <f>+'I) Dépenses thématiques'!O88/'J) Plafonnement effort'!C88</f>
        <v>-1.8118508511618512</v>
      </c>
      <c r="G88" s="144">
        <f t="shared" si="5"/>
        <v>26.373723842566303</v>
      </c>
      <c r="H88" s="336">
        <f t="shared" si="6"/>
        <v>0</v>
      </c>
      <c r="I88" s="59">
        <f t="shared" si="7"/>
        <v>0</v>
      </c>
      <c r="J88" s="35">
        <f t="shared" si="8"/>
        <v>26.373723842566303</v>
      </c>
    </row>
    <row r="89" spans="1:10" x14ac:dyDescent="0.25">
      <c r="A89" s="51">
        <f>'A) Base RI'!A91</f>
        <v>5535</v>
      </c>
      <c r="B89" s="321" t="str">
        <f>'A) Base RI'!B91</f>
        <v>Saint-Barthélemy</v>
      </c>
      <c r="C89" s="101">
        <f>'B) D RI'!U91</f>
        <v>23314.139350649355</v>
      </c>
      <c r="D89" s="117">
        <f>'E) Fact soc'!G95/C89</f>
        <v>16.14161527089955</v>
      </c>
      <c r="E89" s="144">
        <f>'H) Péréquation directe'!I100/C89</f>
        <v>3.9893153922161897</v>
      </c>
      <c r="F89" s="117">
        <f>+'I) Dépenses thématiques'!O89/'J) Plafonnement effort'!C89</f>
        <v>0</v>
      </c>
      <c r="G89" s="144">
        <f t="shared" si="5"/>
        <v>20.130930663115741</v>
      </c>
      <c r="H89" s="336">
        <f t="shared" si="6"/>
        <v>0</v>
      </c>
      <c r="I89" s="59">
        <f t="shared" si="7"/>
        <v>0</v>
      </c>
      <c r="J89" s="35">
        <f t="shared" si="8"/>
        <v>20.130930663115741</v>
      </c>
    </row>
    <row r="90" spans="1:10" x14ac:dyDescent="0.25">
      <c r="A90" s="51">
        <f>'A) Base RI'!A92</f>
        <v>5537</v>
      </c>
      <c r="B90" s="321" t="str">
        <f>'A) Base RI'!B92</f>
        <v>Villars-le-Terroir</v>
      </c>
      <c r="C90" s="101">
        <f>'B) D RI'!U92</f>
        <v>33778.811643835616</v>
      </c>
      <c r="D90" s="117">
        <f>'E) Fact soc'!G96/C90</f>
        <v>17.16446635466194</v>
      </c>
      <c r="E90" s="144">
        <f>'H) Péréquation directe'!I101/C90</f>
        <v>2.9198882241035911</v>
      </c>
      <c r="F90" s="117">
        <f>+'I) Dépenses thématiques'!O90/'J) Plafonnement effort'!C90</f>
        <v>-1.3021687005418547</v>
      </c>
      <c r="G90" s="144">
        <f t="shared" si="5"/>
        <v>18.782185878223675</v>
      </c>
      <c r="H90" s="336">
        <f t="shared" si="6"/>
        <v>0</v>
      </c>
      <c r="I90" s="59">
        <f t="shared" si="7"/>
        <v>0</v>
      </c>
      <c r="J90" s="35">
        <f t="shared" si="8"/>
        <v>18.782185878223675</v>
      </c>
    </row>
    <row r="91" spans="1:10" x14ac:dyDescent="0.25">
      <c r="A91" s="51">
        <f>'A) Base RI'!A93</f>
        <v>5539</v>
      </c>
      <c r="B91" s="321" t="str">
        <f>'A) Base RI'!B93</f>
        <v>Vuarrens</v>
      </c>
      <c r="C91" s="101">
        <f>'B) D RI'!U93</f>
        <v>26961.993700000003</v>
      </c>
      <c r="D91" s="117">
        <f>'E) Fact soc'!G97/C91</f>
        <v>16.786565157863556</v>
      </c>
      <c r="E91" s="144">
        <f>'H) Péréquation directe'!I102/C91</f>
        <v>-9.6411401147333958E-2</v>
      </c>
      <c r="F91" s="117">
        <f>+'I) Dépenses thématiques'!O91/'J) Plafonnement effort'!C91</f>
        <v>-12.856959283271019</v>
      </c>
      <c r="G91" s="144">
        <f t="shared" si="5"/>
        <v>3.8331944734452019</v>
      </c>
      <c r="H91" s="336">
        <f t="shared" si="6"/>
        <v>0</v>
      </c>
      <c r="I91" s="59">
        <f t="shared" si="7"/>
        <v>0</v>
      </c>
      <c r="J91" s="35">
        <f t="shared" si="8"/>
        <v>3.8331944734452019</v>
      </c>
    </row>
    <row r="92" spans="1:10" x14ac:dyDescent="0.25">
      <c r="A92" s="51">
        <f>'A) Base RI'!A94</f>
        <v>5540</v>
      </c>
      <c r="B92" s="321" t="str">
        <f>'A) Base RI'!B94</f>
        <v>Montilliez</v>
      </c>
      <c r="C92" s="101">
        <f>'B) D RI'!U94</f>
        <v>57534.065472972972</v>
      </c>
      <c r="D92" s="117">
        <f>'E) Fact soc'!G98/C92</f>
        <v>16.850102101691331</v>
      </c>
      <c r="E92" s="144">
        <f>'H) Péréquation directe'!I103/C92</f>
        <v>4.818544282833801</v>
      </c>
      <c r="F92" s="117">
        <f>+'I) Dépenses thématiques'!O92/'J) Plafonnement effort'!C92</f>
        <v>-4.8970481533611849</v>
      </c>
      <c r="G92" s="144">
        <f t="shared" si="5"/>
        <v>16.771598231163949</v>
      </c>
      <c r="H92" s="336">
        <f t="shared" si="6"/>
        <v>0</v>
      </c>
      <c r="I92" s="59">
        <f t="shared" si="7"/>
        <v>0</v>
      </c>
      <c r="J92" s="35">
        <f t="shared" si="8"/>
        <v>16.771598231163949</v>
      </c>
    </row>
    <row r="93" spans="1:10" x14ac:dyDescent="0.25">
      <c r="A93" s="51">
        <f>'A) Base RI'!A95</f>
        <v>5541</v>
      </c>
      <c r="B93" s="321" t="str">
        <f>'A) Base RI'!B95</f>
        <v>Goumoëns</v>
      </c>
      <c r="C93" s="101">
        <f>'B) D RI'!U95</f>
        <v>38967.18311688312</v>
      </c>
      <c r="D93" s="117">
        <f>'E) Fact soc'!G99/C93</f>
        <v>16.865419910986212</v>
      </c>
      <c r="E93" s="144">
        <f>'H) Péréquation directe'!I104/C93</f>
        <v>8.4804767353280734</v>
      </c>
      <c r="F93" s="117">
        <f>+'I) Dépenses thématiques'!O93/'J) Plafonnement effort'!C93</f>
        <v>-0.43889472862449447</v>
      </c>
      <c r="G93" s="144">
        <f t="shared" si="5"/>
        <v>24.907001917689794</v>
      </c>
      <c r="H93" s="336">
        <f t="shared" si="6"/>
        <v>0</v>
      </c>
      <c r="I93" s="59">
        <f t="shared" si="7"/>
        <v>0</v>
      </c>
      <c r="J93" s="35">
        <f t="shared" si="8"/>
        <v>24.907001917689794</v>
      </c>
    </row>
    <row r="94" spans="1:10" x14ac:dyDescent="0.25">
      <c r="A94" s="51">
        <f>'A) Base RI'!A96</f>
        <v>5551</v>
      </c>
      <c r="B94" s="321" t="str">
        <f>'A) Base RI'!B96</f>
        <v>Bonvillars</v>
      </c>
      <c r="C94" s="101">
        <f>'B) D RI'!U96</f>
        <v>18919.686363636367</v>
      </c>
      <c r="D94" s="117">
        <f>'E) Fact soc'!G100/C94</f>
        <v>18.244638837597506</v>
      </c>
      <c r="E94" s="144">
        <f>'H) Péréquation directe'!I105/C94</f>
        <v>13.838314379976453</v>
      </c>
      <c r="F94" s="117">
        <f>+'I) Dépenses thématiques'!O94/'J) Plafonnement effort'!C94</f>
        <v>-3.9067385341716627</v>
      </c>
      <c r="G94" s="144">
        <f t="shared" si="5"/>
        <v>28.176214683402296</v>
      </c>
      <c r="H94" s="336">
        <f t="shared" si="6"/>
        <v>0</v>
      </c>
      <c r="I94" s="59">
        <f t="shared" si="7"/>
        <v>0</v>
      </c>
      <c r="J94" s="35">
        <f t="shared" si="8"/>
        <v>28.176214683402296</v>
      </c>
    </row>
    <row r="95" spans="1:10" x14ac:dyDescent="0.25">
      <c r="A95" s="51">
        <f>'A) Base RI'!A97</f>
        <v>5552</v>
      </c>
      <c r="B95" s="321" t="str">
        <f>'A) Base RI'!B97</f>
        <v>Bullet</v>
      </c>
      <c r="C95" s="101">
        <f>'B) D RI'!U97</f>
        <v>17961.232428571428</v>
      </c>
      <c r="D95" s="117">
        <f>'E) Fact soc'!G101/C95</f>
        <v>18.309753140701332</v>
      </c>
      <c r="E95" s="144">
        <f>'H) Péréquation directe'!I106/C95</f>
        <v>3.1546870954709481</v>
      </c>
      <c r="F95" s="117">
        <f>+'I) Dépenses thématiques'!O95/'J) Plafonnement effort'!C95</f>
        <v>-10.820738382891129</v>
      </c>
      <c r="G95" s="144">
        <f t="shared" si="5"/>
        <v>10.643701853281151</v>
      </c>
      <c r="H95" s="336">
        <f t="shared" si="6"/>
        <v>0</v>
      </c>
      <c r="I95" s="59">
        <f t="shared" si="7"/>
        <v>0</v>
      </c>
      <c r="J95" s="35">
        <f t="shared" si="8"/>
        <v>10.643701853281151</v>
      </c>
    </row>
    <row r="96" spans="1:10" x14ac:dyDescent="0.25">
      <c r="A96" s="51">
        <f>'A) Base RI'!A98</f>
        <v>5553</v>
      </c>
      <c r="B96" s="321" t="str">
        <f>'A) Base RI'!B98</f>
        <v>Champagne</v>
      </c>
      <c r="C96" s="101">
        <f>'B) D RI'!U98</f>
        <v>34503.509846153851</v>
      </c>
      <c r="D96" s="117">
        <f>'E) Fact soc'!G102/C96</f>
        <v>18.081085000316641</v>
      </c>
      <c r="E96" s="144">
        <f>'H) Péréquation directe'!I107/C96</f>
        <v>9.7634905289372202</v>
      </c>
      <c r="F96" s="117">
        <f>+'I) Dépenses thématiques'!O96/'J) Plafonnement effort'!C96</f>
        <v>-6.9265321367261219</v>
      </c>
      <c r="G96" s="144">
        <f t="shared" si="5"/>
        <v>20.918043392527736</v>
      </c>
      <c r="H96" s="336">
        <f t="shared" si="6"/>
        <v>0</v>
      </c>
      <c r="I96" s="59">
        <f t="shared" si="7"/>
        <v>0</v>
      </c>
      <c r="J96" s="35">
        <f t="shared" si="8"/>
        <v>20.918043392527736</v>
      </c>
    </row>
    <row r="97" spans="1:10" x14ac:dyDescent="0.25">
      <c r="A97" s="51">
        <f>'A) Base RI'!A99</f>
        <v>5554</v>
      </c>
      <c r="B97" s="321" t="str">
        <f>'A) Base RI'!B99</f>
        <v>Concise</v>
      </c>
      <c r="C97" s="101">
        <f>'B) D RI'!U99</f>
        <v>31707.482800000005</v>
      </c>
      <c r="D97" s="117">
        <f>'E) Fact soc'!G103/C97</f>
        <v>16.879155101324667</v>
      </c>
      <c r="E97" s="144">
        <f>'H) Péréquation directe'!I108/C97</f>
        <v>7.2297715426522409</v>
      </c>
      <c r="F97" s="117">
        <f>+'I) Dépenses thématiques'!O97/'J) Plafonnement effort'!C97</f>
        <v>-4.5576778176435377</v>
      </c>
      <c r="G97" s="144">
        <f t="shared" si="5"/>
        <v>19.551248826333371</v>
      </c>
      <c r="H97" s="336">
        <f t="shared" si="6"/>
        <v>0</v>
      </c>
      <c r="I97" s="59">
        <f t="shared" si="7"/>
        <v>0</v>
      </c>
      <c r="J97" s="35">
        <f t="shared" si="8"/>
        <v>19.551248826333371</v>
      </c>
    </row>
    <row r="98" spans="1:10" x14ac:dyDescent="0.25">
      <c r="A98" s="51">
        <f>'A) Base RI'!A100</f>
        <v>5555</v>
      </c>
      <c r="B98" s="321" t="str">
        <f>'A) Base RI'!B100</f>
        <v>Corcelles-près-Concise</v>
      </c>
      <c r="C98" s="101">
        <f>'B) D RI'!U100</f>
        <v>13647.491690140843</v>
      </c>
      <c r="D98" s="117">
        <f>'E) Fact soc'!G104/C98</f>
        <v>19.554674000889175</v>
      </c>
      <c r="E98" s="144">
        <f>'H) Péréquation directe'!I109/C98</f>
        <v>11.008008292065144</v>
      </c>
      <c r="F98" s="117">
        <f>+'I) Dépenses thématiques'!O98/'J) Plafonnement effort'!C98</f>
        <v>-7.1275660628850366</v>
      </c>
      <c r="G98" s="144">
        <f t="shared" si="5"/>
        <v>23.435116230069283</v>
      </c>
      <c r="H98" s="336">
        <f t="shared" si="6"/>
        <v>0</v>
      </c>
      <c r="I98" s="59">
        <f t="shared" si="7"/>
        <v>0</v>
      </c>
      <c r="J98" s="35">
        <f t="shared" si="8"/>
        <v>23.435116230069283</v>
      </c>
    </row>
    <row r="99" spans="1:10" x14ac:dyDescent="0.25">
      <c r="A99" s="51">
        <f>'A) Base RI'!A101</f>
        <v>5556</v>
      </c>
      <c r="B99" s="321" t="str">
        <f>'A) Base RI'!B101</f>
        <v>Fiez</v>
      </c>
      <c r="C99" s="101">
        <f>'B) D RI'!U101</f>
        <v>12912.419806763286</v>
      </c>
      <c r="D99" s="117">
        <f>'E) Fact soc'!G105/C99</f>
        <v>33.390724708534883</v>
      </c>
      <c r="E99" s="144">
        <f>'H) Péréquation directe'!I110/C99</f>
        <v>6.2699962714184725</v>
      </c>
      <c r="F99" s="117">
        <f>+'I) Dépenses thématiques'!O99/'J) Plafonnement effort'!C99</f>
        <v>-8.9219456433722559</v>
      </c>
      <c r="G99" s="144">
        <f t="shared" si="5"/>
        <v>30.738775336581099</v>
      </c>
      <c r="H99" s="336">
        <f t="shared" si="6"/>
        <v>0</v>
      </c>
      <c r="I99" s="59">
        <f t="shared" si="7"/>
        <v>0</v>
      </c>
      <c r="J99" s="35">
        <f t="shared" si="8"/>
        <v>30.738775336581099</v>
      </c>
    </row>
    <row r="100" spans="1:10" x14ac:dyDescent="0.25">
      <c r="A100" s="51">
        <f>'A) Base RI'!A102</f>
        <v>5557</v>
      </c>
      <c r="B100" s="321" t="str">
        <f>'A) Base RI'!B102</f>
        <v>Fontaines-sur-Grandson</v>
      </c>
      <c r="C100" s="101">
        <f>'B) D RI'!U102</f>
        <v>4472.1762318840592</v>
      </c>
      <c r="D100" s="117">
        <f>'E) Fact soc'!G106/C100</f>
        <v>18.439375085118488</v>
      </c>
      <c r="E100" s="144">
        <f>'H) Péréquation directe'!I111/C100</f>
        <v>-7.0083598965609122</v>
      </c>
      <c r="F100" s="117">
        <f>+'I) Dépenses thématiques'!O100/'J) Plafonnement effort'!C100</f>
        <v>-8.0873170114357169</v>
      </c>
      <c r="G100" s="144">
        <f t="shared" si="5"/>
        <v>3.3436981771218601</v>
      </c>
      <c r="H100" s="336">
        <f t="shared" si="6"/>
        <v>0</v>
      </c>
      <c r="I100" s="59">
        <f t="shared" si="7"/>
        <v>0</v>
      </c>
      <c r="J100" s="35">
        <f t="shared" si="8"/>
        <v>3.3436981771218601</v>
      </c>
    </row>
    <row r="101" spans="1:10" x14ac:dyDescent="0.25">
      <c r="A101" s="51">
        <f>'A) Base RI'!A103</f>
        <v>5559</v>
      </c>
      <c r="B101" s="321" t="str">
        <f>'A) Base RI'!B103</f>
        <v>Giez</v>
      </c>
      <c r="C101" s="101">
        <f>'B) D RI'!U103</f>
        <v>14390.805000000002</v>
      </c>
      <c r="D101" s="117">
        <f>'E) Fact soc'!G107/C101</f>
        <v>17.392119349637728</v>
      </c>
      <c r="E101" s="144">
        <f>'H) Péréquation directe'!I112/C101</f>
        <v>10.229171524782736</v>
      </c>
      <c r="F101" s="117">
        <f>+'I) Dépenses thématiques'!O101/'J) Plafonnement effort'!C101</f>
        <v>-1.7527584686140283</v>
      </c>
      <c r="G101" s="144">
        <f t="shared" si="5"/>
        <v>25.868532405806434</v>
      </c>
      <c r="H101" s="336">
        <f t="shared" si="6"/>
        <v>0</v>
      </c>
      <c r="I101" s="59">
        <f t="shared" si="7"/>
        <v>0</v>
      </c>
      <c r="J101" s="35">
        <f t="shared" si="8"/>
        <v>25.868532405806434</v>
      </c>
    </row>
    <row r="102" spans="1:10" x14ac:dyDescent="0.25">
      <c r="A102" s="51">
        <f>'A) Base RI'!A104</f>
        <v>5560</v>
      </c>
      <c r="B102" s="321" t="str">
        <f>'A) Base RI'!B104</f>
        <v>Grandevent</v>
      </c>
      <c r="C102" s="101">
        <f>'B) D RI'!U104</f>
        <v>6268.2104411764703</v>
      </c>
      <c r="D102" s="117">
        <f>'E) Fact soc'!G108/C102</f>
        <v>17.19816195260546</v>
      </c>
      <c r="E102" s="144">
        <f>'H) Péréquation directe'!I113/C102</f>
        <v>3.1937667427068153</v>
      </c>
      <c r="F102" s="117">
        <f>+'I) Dépenses thématiques'!O102/'J) Plafonnement effort'!C102</f>
        <v>-2.8466474011236835</v>
      </c>
      <c r="G102" s="144">
        <f t="shared" si="5"/>
        <v>17.545281294188591</v>
      </c>
      <c r="H102" s="336">
        <f t="shared" si="6"/>
        <v>0</v>
      </c>
      <c r="I102" s="59">
        <f t="shared" si="7"/>
        <v>0</v>
      </c>
      <c r="J102" s="35">
        <f t="shared" si="8"/>
        <v>17.545281294188591</v>
      </c>
    </row>
    <row r="103" spans="1:10" x14ac:dyDescent="0.25">
      <c r="A103" s="51">
        <f>'A) Base RI'!A105</f>
        <v>5561</v>
      </c>
      <c r="B103" s="321" t="str">
        <f>'A) Base RI'!B105</f>
        <v>Grandson</v>
      </c>
      <c r="C103" s="101">
        <f>'B) D RI'!U105</f>
        <v>116951.12594202899</v>
      </c>
      <c r="D103" s="117">
        <f>'E) Fact soc'!G109/C103</f>
        <v>17.395933190329167</v>
      </c>
      <c r="E103" s="144">
        <f>'H) Péréquation directe'!I114/C103</f>
        <v>5.657446542622627</v>
      </c>
      <c r="F103" s="117">
        <f>+'I) Dépenses thématiques'!O103/'J) Plafonnement effort'!C103</f>
        <v>-7.1854510145051584</v>
      </c>
      <c r="G103" s="144">
        <f t="shared" si="5"/>
        <v>15.867928718446635</v>
      </c>
      <c r="H103" s="336">
        <f t="shared" si="6"/>
        <v>0</v>
      </c>
      <c r="I103" s="59">
        <f t="shared" si="7"/>
        <v>0</v>
      </c>
      <c r="J103" s="35">
        <f t="shared" si="8"/>
        <v>15.867928718446635</v>
      </c>
    </row>
    <row r="104" spans="1:10" x14ac:dyDescent="0.25">
      <c r="A104" s="51">
        <f>'A) Base RI'!A106</f>
        <v>5562</v>
      </c>
      <c r="B104" s="321" t="str">
        <f>'A) Base RI'!B106</f>
        <v>Mauborget</v>
      </c>
      <c r="C104" s="101">
        <f>'B) D RI'!U106</f>
        <v>5914.7906428571432</v>
      </c>
      <c r="D104" s="117">
        <f>'E) Fact soc'!G110/C104</f>
        <v>16.123012594666903</v>
      </c>
      <c r="E104" s="144">
        <f>'H) Péréquation directe'!I115/C104</f>
        <v>16.500413312683666</v>
      </c>
      <c r="F104" s="117">
        <f>+'I) Dépenses thématiques'!O104/'J) Plafonnement effort'!C104</f>
        <v>-1.6294209368831711</v>
      </c>
      <c r="G104" s="144">
        <f t="shared" si="5"/>
        <v>30.994004970467394</v>
      </c>
      <c r="H104" s="336">
        <f t="shared" si="6"/>
        <v>0</v>
      </c>
      <c r="I104" s="59">
        <f t="shared" si="7"/>
        <v>0</v>
      </c>
      <c r="J104" s="35">
        <f t="shared" si="8"/>
        <v>30.994004970467394</v>
      </c>
    </row>
    <row r="105" spans="1:10" x14ac:dyDescent="0.25">
      <c r="A105" s="51">
        <f>'A) Base RI'!A107</f>
        <v>5563</v>
      </c>
      <c r="B105" s="321" t="str">
        <f>'A) Base RI'!B107</f>
        <v>Mutrux</v>
      </c>
      <c r="C105" s="101">
        <f>'B) D RI'!U107</f>
        <v>3113.0356687898088</v>
      </c>
      <c r="D105" s="117">
        <f>'E) Fact soc'!G111/C105</f>
        <v>16.981567069817594</v>
      </c>
      <c r="E105" s="144">
        <f>'H) Péréquation directe'!I116/C105</f>
        <v>-19.602963469414487</v>
      </c>
      <c r="F105" s="117">
        <f>+'I) Dépenses thématiques'!O105/'J) Plafonnement effort'!C105</f>
        <v>-10.906986344433061</v>
      </c>
      <c r="G105" s="144">
        <f t="shared" si="5"/>
        <v>-13.528382744029955</v>
      </c>
      <c r="H105" s="336">
        <f t="shared" si="6"/>
        <v>0</v>
      </c>
      <c r="I105" s="59">
        <f t="shared" si="7"/>
        <v>0</v>
      </c>
      <c r="J105" s="35">
        <f t="shared" si="8"/>
        <v>-13.528382744029955</v>
      </c>
    </row>
    <row r="106" spans="1:10" x14ac:dyDescent="0.25">
      <c r="A106" s="51">
        <f>'A) Base RI'!A108</f>
        <v>5564</v>
      </c>
      <c r="B106" s="321" t="str">
        <f>'A) Base RI'!B108</f>
        <v>Novalles</v>
      </c>
      <c r="C106" s="101">
        <f>'B) D RI'!U108</f>
        <v>2626.7922039473683</v>
      </c>
      <c r="D106" s="117">
        <f>'E) Fact soc'!G112/C106</f>
        <v>18.222911287562948</v>
      </c>
      <c r="E106" s="144">
        <f>'H) Péréquation directe'!I117/C106</f>
        <v>-1.8753703433051514</v>
      </c>
      <c r="F106" s="117">
        <f>+'I) Dépenses thématiques'!O106/'J) Plafonnement effort'!C106</f>
        <v>-4.1176232354936086</v>
      </c>
      <c r="G106" s="144">
        <f t="shared" si="5"/>
        <v>12.229917708764189</v>
      </c>
      <c r="H106" s="336">
        <f t="shared" si="6"/>
        <v>0</v>
      </c>
      <c r="I106" s="59">
        <f t="shared" si="7"/>
        <v>0</v>
      </c>
      <c r="J106" s="35">
        <f t="shared" si="8"/>
        <v>12.229917708764189</v>
      </c>
    </row>
    <row r="107" spans="1:10" x14ac:dyDescent="0.25">
      <c r="A107" s="51">
        <f>'A) Base RI'!A109</f>
        <v>5565</v>
      </c>
      <c r="B107" s="321" t="str">
        <f>'A) Base RI'!B109</f>
        <v>Onnens</v>
      </c>
      <c r="C107" s="101">
        <f>'B) D RI'!U109</f>
        <v>19016.562615384613</v>
      </c>
      <c r="D107" s="117">
        <f>'E) Fact soc'!G113/C107</f>
        <v>17.604699580656355</v>
      </c>
      <c r="E107" s="144">
        <f>'H) Péréquation directe'!I118/C107</f>
        <v>13.937243193873297</v>
      </c>
      <c r="F107" s="117">
        <f>+'I) Dépenses thématiques'!O107/'J) Plafonnement effort'!C107</f>
        <v>-2.2909480685182406</v>
      </c>
      <c r="G107" s="144">
        <f t="shared" si="5"/>
        <v>29.250994706011411</v>
      </c>
      <c r="H107" s="336">
        <f t="shared" si="6"/>
        <v>0</v>
      </c>
      <c r="I107" s="59">
        <f t="shared" si="7"/>
        <v>0</v>
      </c>
      <c r="J107" s="35">
        <f t="shared" si="8"/>
        <v>29.250994706011411</v>
      </c>
    </row>
    <row r="108" spans="1:10" x14ac:dyDescent="0.25">
      <c r="A108" s="51">
        <f>'A) Base RI'!A110</f>
        <v>5566</v>
      </c>
      <c r="B108" s="321" t="str">
        <f>'A) Base RI'!B110</f>
        <v>Provence</v>
      </c>
      <c r="C108" s="101">
        <f>'B) D RI'!U110</f>
        <v>7944.5948559670787</v>
      </c>
      <c r="D108" s="117">
        <f>'E) Fact soc'!G114/C108</f>
        <v>17.507565023306341</v>
      </c>
      <c r="E108" s="144">
        <f>'H) Péréquation directe'!I119/C108</f>
        <v>-17.275000857896043</v>
      </c>
      <c r="F108" s="117">
        <f>+'I) Dépenses thématiques'!O108/'J) Plafonnement effort'!C108</f>
        <v>-25.257548305476423</v>
      </c>
      <c r="G108" s="144">
        <f t="shared" si="5"/>
        <v>-25.024984140066124</v>
      </c>
      <c r="H108" s="336">
        <f t="shared" si="6"/>
        <v>0</v>
      </c>
      <c r="I108" s="59">
        <f t="shared" si="7"/>
        <v>0</v>
      </c>
      <c r="J108" s="35">
        <f t="shared" si="8"/>
        <v>-25.024984140066124</v>
      </c>
    </row>
    <row r="109" spans="1:10" x14ac:dyDescent="0.25">
      <c r="A109" s="51">
        <f>'A) Base RI'!A111</f>
        <v>5568</v>
      </c>
      <c r="B109" s="321" t="str">
        <f>'A) Base RI'!B111</f>
        <v>Sainte-Croix</v>
      </c>
      <c r="C109" s="101">
        <f>'B) D RI'!U111</f>
        <v>100789.16114285712</v>
      </c>
      <c r="D109" s="117">
        <f>'E) Fact soc'!G115/C109</f>
        <v>24.256936335996063</v>
      </c>
      <c r="E109" s="144">
        <f>'H) Péréquation directe'!I120/C109</f>
        <v>-21.835137659558242</v>
      </c>
      <c r="F109" s="117">
        <f>+'I) Dépenses thématiques'!O109/'J) Plafonnement effort'!C109</f>
        <v>-11.614331566376514</v>
      </c>
      <c r="G109" s="144">
        <f t="shared" si="5"/>
        <v>-9.1925328899386933</v>
      </c>
      <c r="H109" s="336">
        <f t="shared" si="6"/>
        <v>0</v>
      </c>
      <c r="I109" s="59">
        <f t="shared" si="7"/>
        <v>0</v>
      </c>
      <c r="J109" s="35">
        <f t="shared" si="8"/>
        <v>-9.1925328899386933</v>
      </c>
    </row>
    <row r="110" spans="1:10" x14ac:dyDescent="0.25">
      <c r="A110" s="51">
        <f>'A) Base RI'!A112</f>
        <v>5571</v>
      </c>
      <c r="B110" s="321" t="str">
        <f>'A) Base RI'!B112</f>
        <v>Tévenon</v>
      </c>
      <c r="C110" s="101">
        <f>'B) D RI'!U112</f>
        <v>21355.706643835612</v>
      </c>
      <c r="D110" s="117">
        <f>'E) Fact soc'!G116/C110</f>
        <v>17.834990506624848</v>
      </c>
      <c r="E110" s="144">
        <f>'H) Péréquation directe'!I121/C110</f>
        <v>-1.6654238720129706</v>
      </c>
      <c r="F110" s="117">
        <f>+'I) Dépenses thématiques'!O110/'J) Plafonnement effort'!C110</f>
        <v>-8.3949515976503744</v>
      </c>
      <c r="G110" s="144">
        <f t="shared" si="5"/>
        <v>7.7746150369615048</v>
      </c>
      <c r="H110" s="336">
        <f t="shared" si="6"/>
        <v>0</v>
      </c>
      <c r="I110" s="59">
        <f t="shared" si="7"/>
        <v>0</v>
      </c>
      <c r="J110" s="35">
        <f t="shared" si="8"/>
        <v>7.7746150369615048</v>
      </c>
    </row>
    <row r="111" spans="1:10" x14ac:dyDescent="0.25">
      <c r="A111" s="51">
        <f>'A) Base RI'!A113</f>
        <v>5581</v>
      </c>
      <c r="B111" s="321" t="str">
        <f>'A) Base RI'!B113</f>
        <v>Belmont-sur-Lausanne</v>
      </c>
      <c r="C111" s="101">
        <f>'B) D RI'!U113</f>
        <v>192798.41534772189</v>
      </c>
      <c r="D111" s="117">
        <f>'E) Fact soc'!G117/C111</f>
        <v>17.634118309177101</v>
      </c>
      <c r="E111" s="144">
        <f>'H) Péréquation directe'!I122/C111</f>
        <v>12.69261914374114</v>
      </c>
      <c r="F111" s="117">
        <f>+'I) Dépenses thématiques'!O111/'J) Plafonnement effort'!C111</f>
        <v>-2.0318317771657246</v>
      </c>
      <c r="G111" s="144">
        <f t="shared" si="5"/>
        <v>28.294905675752517</v>
      </c>
      <c r="H111" s="336">
        <f t="shared" si="6"/>
        <v>0</v>
      </c>
      <c r="I111" s="59">
        <f t="shared" si="7"/>
        <v>0</v>
      </c>
      <c r="J111" s="35">
        <f t="shared" si="8"/>
        <v>28.294905675752517</v>
      </c>
    </row>
    <row r="112" spans="1:10" x14ac:dyDescent="0.25">
      <c r="A112" s="51">
        <f>'A) Base RI'!A114</f>
        <v>5582</v>
      </c>
      <c r="B112" s="321" t="str">
        <f>'A) Base RI'!B114</f>
        <v>Cheseaux-sur-Lausanne</v>
      </c>
      <c r="C112" s="101">
        <f>'B) D RI'!U114</f>
        <v>181145.82187919464</v>
      </c>
      <c r="D112" s="117">
        <f>'E) Fact soc'!G118/C112</f>
        <v>16.2298867985686</v>
      </c>
      <c r="E112" s="144">
        <f>'H) Péréquation directe'!I123/C112</f>
        <v>8.7194373154031801</v>
      </c>
      <c r="F112" s="117">
        <f>+'I) Dépenses thématiques'!O112/'J) Plafonnement effort'!C112</f>
        <v>-2.2209527622875882</v>
      </c>
      <c r="G112" s="144">
        <f t="shared" si="5"/>
        <v>22.728371351684192</v>
      </c>
      <c r="H112" s="336">
        <f t="shared" si="6"/>
        <v>0</v>
      </c>
      <c r="I112" s="59">
        <f t="shared" si="7"/>
        <v>0</v>
      </c>
      <c r="J112" s="35">
        <f t="shared" si="8"/>
        <v>22.728371351684192</v>
      </c>
    </row>
    <row r="113" spans="1:10" x14ac:dyDescent="0.25">
      <c r="A113" s="51">
        <f>'A) Base RI'!A115</f>
        <v>5583</v>
      </c>
      <c r="B113" s="321" t="str">
        <f>'A) Base RI'!B115</f>
        <v>Crissier</v>
      </c>
      <c r="C113" s="101">
        <f>'B) D RI'!U115</f>
        <v>315798.9015384615</v>
      </c>
      <c r="D113" s="117">
        <f>'E) Fact soc'!G119/C113</f>
        <v>18.164537446238675</v>
      </c>
      <c r="E113" s="144">
        <f>'H) Péréquation directe'!I124/C113</f>
        <v>4.9319703597842688</v>
      </c>
      <c r="F113" s="117">
        <f>+'I) Dépenses thématiques'!O113/'J) Plafonnement effort'!C113</f>
        <v>-6.8311704214169282</v>
      </c>
      <c r="G113" s="144">
        <f t="shared" si="5"/>
        <v>16.265337384606017</v>
      </c>
      <c r="H113" s="336">
        <f t="shared" si="6"/>
        <v>0</v>
      </c>
      <c r="I113" s="59">
        <f t="shared" si="7"/>
        <v>0</v>
      </c>
      <c r="J113" s="35">
        <f t="shared" si="8"/>
        <v>16.265337384606017</v>
      </c>
    </row>
    <row r="114" spans="1:10" x14ac:dyDescent="0.25">
      <c r="A114" s="51">
        <f>'A) Base RI'!A116</f>
        <v>5584</v>
      </c>
      <c r="B114" s="321" t="str">
        <f>'A) Base RI'!B116</f>
        <v>Epalinges</v>
      </c>
      <c r="C114" s="101">
        <f>'B) D RI'!U116</f>
        <v>424408.2359090909</v>
      </c>
      <c r="D114" s="117">
        <f>'E) Fact soc'!G120/C114</f>
        <v>18.449577189426169</v>
      </c>
      <c r="E114" s="144">
        <f>'H) Péréquation directe'!I125/C114</f>
        <v>8.048534084566823</v>
      </c>
      <c r="F114" s="117">
        <f>+'I) Dépenses thématiques'!O114/'J) Plafonnement effort'!C114</f>
        <v>-7.9226688774161715</v>
      </c>
      <c r="G114" s="144">
        <f t="shared" si="5"/>
        <v>18.575442396576818</v>
      </c>
      <c r="H114" s="336">
        <f t="shared" si="6"/>
        <v>0</v>
      </c>
      <c r="I114" s="59">
        <f t="shared" si="7"/>
        <v>0</v>
      </c>
      <c r="J114" s="35">
        <f t="shared" si="8"/>
        <v>18.575442396576818</v>
      </c>
    </row>
    <row r="115" spans="1:10" x14ac:dyDescent="0.25">
      <c r="A115" s="51">
        <f>'A) Base RI'!A117</f>
        <v>5585</v>
      </c>
      <c r="B115" s="321" t="str">
        <f>'A) Base RI'!B117</f>
        <v>Jouxtens-Mézery</v>
      </c>
      <c r="C115" s="101">
        <f>'B) D RI'!U117</f>
        <v>171676.58132075472</v>
      </c>
      <c r="D115" s="117">
        <f>'E) Fact soc'!G121/C115</f>
        <v>26.889660256930114</v>
      </c>
      <c r="E115" s="144">
        <f>'H) Péréquation directe'!I126/C115</f>
        <v>13.960098178959674</v>
      </c>
      <c r="F115" s="117">
        <f>+'I) Dépenses thématiques'!O115/'J) Plafonnement effort'!C115</f>
        <v>0</v>
      </c>
      <c r="G115" s="144">
        <f t="shared" si="5"/>
        <v>40.84975843588979</v>
      </c>
      <c r="H115" s="336">
        <f t="shared" si="6"/>
        <v>0</v>
      </c>
      <c r="I115" s="59">
        <f t="shared" si="7"/>
        <v>0</v>
      </c>
      <c r="J115" s="35">
        <f t="shared" si="8"/>
        <v>40.84975843588979</v>
      </c>
    </row>
    <row r="116" spans="1:10" x14ac:dyDescent="0.25">
      <c r="A116" s="51">
        <f>'A) Base RI'!A118</f>
        <v>5586</v>
      </c>
      <c r="B116" s="321" t="str">
        <f>'A) Base RI'!B118</f>
        <v>Lausanne</v>
      </c>
      <c r="C116" s="101">
        <f>'B) D RI'!U118</f>
        <v>6228304.1083544316</v>
      </c>
      <c r="D116" s="117">
        <f>'E) Fact soc'!G122/C116</f>
        <v>18.259130592246279</v>
      </c>
      <c r="E116" s="144">
        <f>'H) Péréquation directe'!I127/C116</f>
        <v>-3.9174584125547058</v>
      </c>
      <c r="F116" s="117">
        <f>+'I) Dépenses thématiques'!O116/'J) Plafonnement effort'!C116</f>
        <v>-7.0176936452527157</v>
      </c>
      <c r="G116" s="144">
        <f t="shared" si="5"/>
        <v>7.3239785344388588</v>
      </c>
      <c r="H116" s="336">
        <f t="shared" si="6"/>
        <v>0</v>
      </c>
      <c r="I116" s="59">
        <f t="shared" si="7"/>
        <v>0</v>
      </c>
      <c r="J116" s="35">
        <f t="shared" si="8"/>
        <v>7.3239785344388588</v>
      </c>
    </row>
    <row r="117" spans="1:10" x14ac:dyDescent="0.25">
      <c r="A117" s="51">
        <f>'A) Base RI'!A119</f>
        <v>5587</v>
      </c>
      <c r="B117" s="321" t="str">
        <f>'A) Base RI'!B119</f>
        <v>Le Mont-sur-Lausanne</v>
      </c>
      <c r="C117" s="101">
        <f>'B) D RI'!U119</f>
        <v>419199.48633333331</v>
      </c>
      <c r="D117" s="117">
        <f>'E) Fact soc'!G123/C117</f>
        <v>17.559461169959857</v>
      </c>
      <c r="E117" s="144">
        <f>'H) Péréquation directe'!I128/C117</f>
        <v>9.8724051985962351</v>
      </c>
      <c r="F117" s="117">
        <f>+'I) Dépenses thématiques'!O117/'J) Plafonnement effort'!C117</f>
        <v>-5.3092202761102349</v>
      </c>
      <c r="G117" s="144">
        <f t="shared" si="5"/>
        <v>22.122646092445859</v>
      </c>
      <c r="H117" s="336">
        <f t="shared" si="6"/>
        <v>0</v>
      </c>
      <c r="I117" s="59">
        <f t="shared" si="7"/>
        <v>0</v>
      </c>
      <c r="J117" s="35">
        <f t="shared" si="8"/>
        <v>22.122646092445859</v>
      </c>
    </row>
    <row r="118" spans="1:10" x14ac:dyDescent="0.25">
      <c r="A118" s="51">
        <f>'A) Base RI'!A120</f>
        <v>5588</v>
      </c>
      <c r="B118" s="321" t="str">
        <f>'A) Base RI'!B120</f>
        <v>Paudex</v>
      </c>
      <c r="C118" s="101">
        <f>'B) D RI'!U120</f>
        <v>145215.51428571431</v>
      </c>
      <c r="D118" s="117">
        <f>'E) Fact soc'!G124/C118</f>
        <v>24.993042580540465</v>
      </c>
      <c r="E118" s="144">
        <f>'H) Péréquation directe'!I129/C118</f>
        <v>14.368047446278354</v>
      </c>
      <c r="F118" s="117">
        <f>+'I) Dépenses thématiques'!O118/'J) Plafonnement effort'!C118</f>
        <v>0</v>
      </c>
      <c r="G118" s="144">
        <f t="shared" si="5"/>
        <v>39.361090026818815</v>
      </c>
      <c r="H118" s="336">
        <f t="shared" si="6"/>
        <v>0</v>
      </c>
      <c r="I118" s="59">
        <f t="shared" si="7"/>
        <v>0</v>
      </c>
      <c r="J118" s="35">
        <f t="shared" si="8"/>
        <v>39.361090026818815</v>
      </c>
    </row>
    <row r="119" spans="1:10" x14ac:dyDescent="0.25">
      <c r="A119" s="51">
        <f>'A) Base RI'!A121</f>
        <v>5589</v>
      </c>
      <c r="B119" s="321" t="str">
        <f>'A) Base RI'!B121</f>
        <v>Prilly</v>
      </c>
      <c r="C119" s="101">
        <f>'B) D RI'!U121</f>
        <v>433086.92517006805</v>
      </c>
      <c r="D119" s="117">
        <f>'E) Fact soc'!G125/C119</f>
        <v>17.65835773061902</v>
      </c>
      <c r="E119" s="144">
        <f>'H) Péréquation directe'!I130/C119</f>
        <v>-2.5541329313255692</v>
      </c>
      <c r="F119" s="117">
        <f>+'I) Dépenses thématiques'!O119/'J) Plafonnement effort'!C119</f>
        <v>-4.345168920694551</v>
      </c>
      <c r="G119" s="144">
        <f t="shared" si="5"/>
        <v>10.7590558785989</v>
      </c>
      <c r="H119" s="336">
        <f t="shared" si="6"/>
        <v>0</v>
      </c>
      <c r="I119" s="59">
        <f t="shared" si="7"/>
        <v>0</v>
      </c>
      <c r="J119" s="35">
        <f t="shared" si="8"/>
        <v>10.7590558785989</v>
      </c>
    </row>
    <row r="120" spans="1:10" x14ac:dyDescent="0.25">
      <c r="A120" s="51">
        <f>'A) Base RI'!A122</f>
        <v>5590</v>
      </c>
      <c r="B120" s="321" t="str">
        <f>'A) Base RI'!B122</f>
        <v>Pully</v>
      </c>
      <c r="C120" s="101">
        <f>'B) D RI'!U122</f>
        <v>1436772.8338407492</v>
      </c>
      <c r="D120" s="117">
        <f>'E) Fact soc'!G126/C120</f>
        <v>24.738471022834549</v>
      </c>
      <c r="E120" s="144">
        <f>'H) Péréquation directe'!I131/C120</f>
        <v>8.0491601048211496</v>
      </c>
      <c r="F120" s="117">
        <f>+'I) Dépenses thématiques'!O120/'J) Plafonnement effort'!C120</f>
        <v>-1.5916964813550174</v>
      </c>
      <c r="G120" s="144">
        <f t="shared" si="5"/>
        <v>31.195934646300682</v>
      </c>
      <c r="H120" s="336">
        <f t="shared" si="6"/>
        <v>0</v>
      </c>
      <c r="I120" s="59">
        <f t="shared" si="7"/>
        <v>0</v>
      </c>
      <c r="J120" s="35">
        <f t="shared" si="8"/>
        <v>31.195934646300682</v>
      </c>
    </row>
    <row r="121" spans="1:10" x14ac:dyDescent="0.25">
      <c r="A121" s="51">
        <f>'A) Base RI'!A123</f>
        <v>5591</v>
      </c>
      <c r="B121" s="321" t="str">
        <f>'A) Base RI'!B123</f>
        <v>Renens</v>
      </c>
      <c r="C121" s="101">
        <f>'B) D RI'!U123</f>
        <v>547576.12760691531</v>
      </c>
      <c r="D121" s="117">
        <f>'E) Fact soc'!G127/C121</f>
        <v>18.218496957615336</v>
      </c>
      <c r="E121" s="144">
        <f>'H) Péréquation directe'!I132/C121</f>
        <v>-28.477161351632542</v>
      </c>
      <c r="F121" s="117">
        <f>+'I) Dépenses thématiques'!O121/'J) Plafonnement effort'!C121</f>
        <v>-9.7850371818295763</v>
      </c>
      <c r="G121" s="144">
        <f t="shared" si="5"/>
        <v>-20.043701575846782</v>
      </c>
      <c r="H121" s="336">
        <f t="shared" si="6"/>
        <v>0</v>
      </c>
      <c r="I121" s="59">
        <f t="shared" si="7"/>
        <v>0</v>
      </c>
      <c r="J121" s="35">
        <f t="shared" si="8"/>
        <v>-20.043701575846782</v>
      </c>
    </row>
    <row r="122" spans="1:10" x14ac:dyDescent="0.25">
      <c r="A122" s="51">
        <f>'A) Base RI'!A124</f>
        <v>5592</v>
      </c>
      <c r="B122" s="321" t="str">
        <f>'A) Base RI'!B124</f>
        <v>Romanel-sur-Lausanne</v>
      </c>
      <c r="C122" s="101">
        <f>'B) D RI'!U124</f>
        <v>115829.88928571428</v>
      </c>
      <c r="D122" s="117">
        <f>'E) Fact soc'!G128/C122</f>
        <v>16.944752338173789</v>
      </c>
      <c r="E122" s="144">
        <f>'H) Péréquation directe'!I133/C122</f>
        <v>5.0126468363391856</v>
      </c>
      <c r="F122" s="117">
        <f>+'I) Dépenses thématiques'!O122/'J) Plafonnement effort'!C122</f>
        <v>-2.0907186781243361</v>
      </c>
      <c r="G122" s="144">
        <f t="shared" si="5"/>
        <v>19.866680496388639</v>
      </c>
      <c r="H122" s="336">
        <f t="shared" si="6"/>
        <v>0</v>
      </c>
      <c r="I122" s="59">
        <f t="shared" si="7"/>
        <v>0</v>
      </c>
      <c r="J122" s="35">
        <f t="shared" si="8"/>
        <v>19.866680496388639</v>
      </c>
    </row>
    <row r="123" spans="1:10" x14ac:dyDescent="0.25">
      <c r="A123" s="51">
        <f>'A) Base RI'!A125</f>
        <v>5601</v>
      </c>
      <c r="B123" s="321" t="str">
        <f>'A) Base RI'!B125</f>
        <v>Chexbres</v>
      </c>
      <c r="C123" s="101">
        <f>'B) D RI'!U125</f>
        <v>117508.63062500001</v>
      </c>
      <c r="D123" s="117">
        <f>'E) Fact soc'!G129/C123</f>
        <v>20.084899271233432</v>
      </c>
      <c r="E123" s="144">
        <f>'H) Péréquation directe'!I134/C123</f>
        <v>13.96911904956653</v>
      </c>
      <c r="F123" s="117">
        <f>+'I) Dépenses thématiques'!O123/'J) Plafonnement effort'!C123</f>
        <v>-1.0626832822055436</v>
      </c>
      <c r="G123" s="144">
        <f t="shared" si="5"/>
        <v>32.991335038594421</v>
      </c>
      <c r="H123" s="336">
        <f t="shared" si="6"/>
        <v>0</v>
      </c>
      <c r="I123" s="59">
        <f t="shared" si="7"/>
        <v>0</v>
      </c>
      <c r="J123" s="35">
        <f t="shared" si="8"/>
        <v>32.991335038594421</v>
      </c>
    </row>
    <row r="124" spans="1:10" x14ac:dyDescent="0.25">
      <c r="A124" s="51">
        <f>'A) Base RI'!A126</f>
        <v>5604</v>
      </c>
      <c r="B124" s="321" t="str">
        <f>'A) Base RI'!B126</f>
        <v>Forel (Lavaux)</v>
      </c>
      <c r="C124" s="101">
        <f>'B) D RI'!U126</f>
        <v>71631.535147058821</v>
      </c>
      <c r="D124" s="117">
        <f>'E) Fact soc'!G130/C124</f>
        <v>17.446461766634204</v>
      </c>
      <c r="E124" s="144">
        <f>'H) Péréquation directe'!I135/C124</f>
        <v>6.3100239215237623</v>
      </c>
      <c r="F124" s="117">
        <f>+'I) Dépenses thématiques'!O124/'J) Plafonnement effort'!C124</f>
        <v>-3.5908205137216429</v>
      </c>
      <c r="G124" s="144">
        <f t="shared" si="5"/>
        <v>20.165665174436324</v>
      </c>
      <c r="H124" s="336">
        <f t="shared" si="6"/>
        <v>0</v>
      </c>
      <c r="I124" s="59">
        <f t="shared" si="7"/>
        <v>0</v>
      </c>
      <c r="J124" s="35">
        <f t="shared" si="8"/>
        <v>20.165665174436324</v>
      </c>
    </row>
    <row r="125" spans="1:10" x14ac:dyDescent="0.25">
      <c r="A125" s="51">
        <f>'A) Base RI'!A127</f>
        <v>5606</v>
      </c>
      <c r="B125" s="321" t="str">
        <f>'A) Base RI'!B127</f>
        <v>Lutry</v>
      </c>
      <c r="C125" s="101">
        <f>'B) D RI'!U127</f>
        <v>832533.93371943373</v>
      </c>
      <c r="D125" s="117">
        <f>'E) Fact soc'!G131/C125</f>
        <v>25.059462858572349</v>
      </c>
      <c r="E125" s="144">
        <f>'H) Péréquation directe'!I136/C125</f>
        <v>10.855155254444854</v>
      </c>
      <c r="F125" s="117">
        <f>+'I) Dépenses thématiques'!O125/'J) Plafonnement effort'!C125</f>
        <v>-2.2051503740130798</v>
      </c>
      <c r="G125" s="144">
        <f t="shared" si="5"/>
        <v>33.709467739004126</v>
      </c>
      <c r="H125" s="336">
        <f t="shared" si="6"/>
        <v>0</v>
      </c>
      <c r="I125" s="59">
        <f t="shared" si="7"/>
        <v>0</v>
      </c>
      <c r="J125" s="35">
        <f t="shared" si="8"/>
        <v>33.709467739004126</v>
      </c>
    </row>
    <row r="126" spans="1:10" x14ac:dyDescent="0.25">
      <c r="A126" s="51">
        <f>'A) Base RI'!A128</f>
        <v>5607</v>
      </c>
      <c r="B126" s="321" t="str">
        <f>'A) Base RI'!B128</f>
        <v>Puidoux</v>
      </c>
      <c r="C126" s="101">
        <f>'B) D RI'!U128</f>
        <v>108525.10310559007</v>
      </c>
      <c r="D126" s="117">
        <f>'E) Fact soc'!G132/C126</f>
        <v>18.517156330232865</v>
      </c>
      <c r="E126" s="144">
        <f>'H) Péréquation directe'!I137/C126</f>
        <v>7.6473794937299635</v>
      </c>
      <c r="F126" s="117">
        <f>+'I) Dépenses thématiques'!O126/'J) Plafonnement effort'!C126</f>
        <v>-7.509561965575978</v>
      </c>
      <c r="G126" s="144">
        <f t="shared" si="5"/>
        <v>18.654973858386853</v>
      </c>
      <c r="H126" s="336">
        <f t="shared" si="6"/>
        <v>0</v>
      </c>
      <c r="I126" s="59">
        <f t="shared" si="7"/>
        <v>0</v>
      </c>
      <c r="J126" s="35">
        <f t="shared" si="8"/>
        <v>18.654973858386853</v>
      </c>
    </row>
    <row r="127" spans="1:10" x14ac:dyDescent="0.25">
      <c r="A127" s="51">
        <f>'A) Base RI'!A129</f>
        <v>5609</v>
      </c>
      <c r="B127" s="321" t="str">
        <f>'A) Base RI'!B129</f>
        <v>Rivaz</v>
      </c>
      <c r="C127" s="101">
        <f>'B) D RI'!U129</f>
        <v>15580.699212598427</v>
      </c>
      <c r="D127" s="117">
        <f>'E) Fact soc'!G133/C127</f>
        <v>17.384026840422276</v>
      </c>
      <c r="E127" s="144">
        <f>'H) Péréquation directe'!I138/C127</f>
        <v>16.116964446583644</v>
      </c>
      <c r="F127" s="117">
        <f>+'I) Dépenses thématiques'!O127/'J) Plafonnement effort'!C127</f>
        <v>-3.7860359292738486</v>
      </c>
      <c r="G127" s="144">
        <f t="shared" si="5"/>
        <v>29.71495535773207</v>
      </c>
      <c r="H127" s="336">
        <f t="shared" si="6"/>
        <v>0</v>
      </c>
      <c r="I127" s="59">
        <f t="shared" si="7"/>
        <v>0</v>
      </c>
      <c r="J127" s="35">
        <f t="shared" si="8"/>
        <v>29.71495535773207</v>
      </c>
    </row>
    <row r="128" spans="1:10" x14ac:dyDescent="0.25">
      <c r="A128" s="51">
        <f>'A) Base RI'!A130</f>
        <v>5610</v>
      </c>
      <c r="B128" s="321" t="str">
        <f>'A) Base RI'!B130</f>
        <v>St-Saphorin (Lavaux)</v>
      </c>
      <c r="C128" s="101">
        <f>'B) D RI'!U130</f>
        <v>22074.868656716415</v>
      </c>
      <c r="D128" s="117">
        <f>'E) Fact soc'!G134/C128</f>
        <v>20.772340484174098</v>
      </c>
      <c r="E128" s="144">
        <f>'H) Péréquation directe'!I139/C128</f>
        <v>16.655096800058878</v>
      </c>
      <c r="F128" s="117">
        <f>+'I) Dépenses thématiques'!O128/'J) Plafonnement effort'!C128</f>
        <v>-2.723318976215078</v>
      </c>
      <c r="G128" s="144">
        <f t="shared" si="5"/>
        <v>34.704118308017904</v>
      </c>
      <c r="H128" s="336">
        <f t="shared" si="6"/>
        <v>0</v>
      </c>
      <c r="I128" s="59">
        <f t="shared" si="7"/>
        <v>0</v>
      </c>
      <c r="J128" s="35">
        <f t="shared" si="8"/>
        <v>34.704118308017904</v>
      </c>
    </row>
    <row r="129" spans="1:10" x14ac:dyDescent="0.25">
      <c r="A129" s="51">
        <f>'A) Base RI'!A131</f>
        <v>5611</v>
      </c>
      <c r="B129" s="321" t="str">
        <f>'A) Base RI'!B131</f>
        <v>Savigny</v>
      </c>
      <c r="C129" s="101">
        <f>'B) D RI'!U131</f>
        <v>134510.93620772948</v>
      </c>
      <c r="D129" s="117">
        <f>'E) Fact soc'!G135/C129</f>
        <v>19.579016897339311</v>
      </c>
      <c r="E129" s="144">
        <f>'H) Péréquation directe'!I140/C129</f>
        <v>9.122465023605578</v>
      </c>
      <c r="F129" s="117">
        <f>+'I) Dépenses thématiques'!O129/'J) Plafonnement effort'!C129</f>
        <v>-3.6729067247193194</v>
      </c>
      <c r="G129" s="144">
        <f t="shared" si="5"/>
        <v>25.028575196225571</v>
      </c>
      <c r="H129" s="336">
        <f t="shared" si="6"/>
        <v>0</v>
      </c>
      <c r="I129" s="59">
        <f t="shared" si="7"/>
        <v>0</v>
      </c>
      <c r="J129" s="35">
        <f t="shared" si="8"/>
        <v>25.028575196225571</v>
      </c>
    </row>
    <row r="130" spans="1:10" x14ac:dyDescent="0.25">
      <c r="A130" s="51">
        <f>'A) Base RI'!A132</f>
        <v>5613</v>
      </c>
      <c r="B130" s="321" t="str">
        <f>'A) Base RI'!B132</f>
        <v>Bourg-en-Lavaux</v>
      </c>
      <c r="C130" s="101">
        <f>'B) D RI'!U132</f>
        <v>330680.25306010921</v>
      </c>
      <c r="D130" s="117">
        <f>'E) Fact soc'!G136/C130</f>
        <v>19.515644135343621</v>
      </c>
      <c r="E130" s="144">
        <f>'H) Péréquation directe'!I141/C130</f>
        <v>12.110353303855678</v>
      </c>
      <c r="F130" s="117">
        <f>+'I) Dépenses thématiques'!O130/'J) Plafonnement effort'!C130</f>
        <v>-0.80412323077960746</v>
      </c>
      <c r="G130" s="144">
        <f t="shared" si="5"/>
        <v>30.821874208419693</v>
      </c>
      <c r="H130" s="336">
        <f t="shared" si="6"/>
        <v>0</v>
      </c>
      <c r="I130" s="59">
        <f t="shared" si="7"/>
        <v>0</v>
      </c>
      <c r="J130" s="35">
        <f t="shared" si="8"/>
        <v>30.821874208419693</v>
      </c>
    </row>
    <row r="131" spans="1:10" x14ac:dyDescent="0.25">
      <c r="A131" s="51">
        <f>'A) Base RI'!A133</f>
        <v>5621</v>
      </c>
      <c r="B131" s="321" t="str">
        <f>'A) Base RI'!B133</f>
        <v>Aclens</v>
      </c>
      <c r="C131" s="101">
        <f>'B) D RI'!U133</f>
        <v>33113.551554252197</v>
      </c>
      <c r="D131" s="117">
        <f>'E) Fact soc'!G137/C131</f>
        <v>26.958713980848781</v>
      </c>
      <c r="E131" s="144">
        <f>'H) Péréquation directe'!I142/C131</f>
        <v>16.490500463334023</v>
      </c>
      <c r="F131" s="117">
        <f>+'I) Dépenses thématiques'!O131/'J) Plafonnement effort'!C131</f>
        <v>-0.4366381850063793</v>
      </c>
      <c r="G131" s="144">
        <f t="shared" si="5"/>
        <v>43.01257625917642</v>
      </c>
      <c r="H131" s="336">
        <f t="shared" si="6"/>
        <v>0</v>
      </c>
      <c r="I131" s="59">
        <f t="shared" si="7"/>
        <v>0</v>
      </c>
      <c r="J131" s="35">
        <f t="shared" si="8"/>
        <v>43.01257625917642</v>
      </c>
    </row>
    <row r="132" spans="1:10" x14ac:dyDescent="0.25">
      <c r="A132" s="51">
        <f>'A) Base RI'!A134</f>
        <v>5622</v>
      </c>
      <c r="B132" s="321" t="str">
        <f>'A) Base RI'!B134</f>
        <v>Bremblens</v>
      </c>
      <c r="C132" s="101">
        <f>'B) D RI'!U134</f>
        <v>31245.381060606058</v>
      </c>
      <c r="D132" s="117">
        <f>'E) Fact soc'!G138/C132</f>
        <v>16.737027707908691</v>
      </c>
      <c r="E132" s="144">
        <f>'H) Péréquation directe'!I143/C132</f>
        <v>16.638788801098414</v>
      </c>
      <c r="F132" s="117">
        <f>+'I) Dépenses thématiques'!O132/'J) Plafonnement effort'!C132</f>
        <v>0</v>
      </c>
      <c r="G132" s="144">
        <f t="shared" si="5"/>
        <v>33.375816509007109</v>
      </c>
      <c r="H132" s="336">
        <f t="shared" si="6"/>
        <v>0</v>
      </c>
      <c r="I132" s="59">
        <f t="shared" si="7"/>
        <v>0</v>
      </c>
      <c r="J132" s="35">
        <f t="shared" si="8"/>
        <v>33.375816509007109</v>
      </c>
    </row>
    <row r="133" spans="1:10" x14ac:dyDescent="0.25">
      <c r="A133" s="51">
        <f>'A) Base RI'!A135</f>
        <v>5623</v>
      </c>
      <c r="B133" s="321" t="str">
        <f>'A) Base RI'!B135</f>
        <v>Buchillon</v>
      </c>
      <c r="C133" s="101">
        <f>'B) D RI'!U135</f>
        <v>74216.162452830191</v>
      </c>
      <c r="D133" s="117">
        <f>'E) Fact soc'!G139/C133</f>
        <v>26.739004224446187</v>
      </c>
      <c r="E133" s="144">
        <f>'H) Péréquation directe'!I144/C133</f>
        <v>14.648176508991346</v>
      </c>
      <c r="F133" s="117">
        <f>+'I) Dépenses thématiques'!O133/'J) Plafonnement effort'!C133</f>
        <v>0</v>
      </c>
      <c r="G133" s="144">
        <f t="shared" si="5"/>
        <v>41.387180733437532</v>
      </c>
      <c r="H133" s="336">
        <f t="shared" si="6"/>
        <v>0</v>
      </c>
      <c r="I133" s="59">
        <f t="shared" si="7"/>
        <v>0</v>
      </c>
      <c r="J133" s="35">
        <f t="shared" si="8"/>
        <v>41.387180733437532</v>
      </c>
    </row>
    <row r="134" spans="1:10" x14ac:dyDescent="0.25">
      <c r="A134" s="51">
        <f>'A) Base RI'!A136</f>
        <v>5624</v>
      </c>
      <c r="B134" s="321" t="str">
        <f>'A) Base RI'!B136</f>
        <v>Bussigny</v>
      </c>
      <c r="C134" s="101">
        <f>'B) D RI'!U136</f>
        <v>336696.75822580646</v>
      </c>
      <c r="D134" s="117">
        <f>'E) Fact soc'!G140/C134</f>
        <v>18.949257654521791</v>
      </c>
      <c r="E134" s="144">
        <f>'H) Péréquation directe'!I145/C134</f>
        <v>4.3772512372624499</v>
      </c>
      <c r="F134" s="117">
        <f>+'I) Dépenses thématiques'!O134/'J) Plafonnement effort'!C134</f>
        <v>-2.6582711635861038</v>
      </c>
      <c r="G134" s="144">
        <f t="shared" ref="G134:G197" si="9">SUM(D134:F134)</f>
        <v>20.668237728198136</v>
      </c>
      <c r="H134" s="336">
        <f t="shared" ref="H134:H197" si="10">IF(G134&gt;H$4,H$4-G134,0)</f>
        <v>0</v>
      </c>
      <c r="I134" s="59">
        <f t="shared" ref="I134:I197" si="11">H134*C134</f>
        <v>0</v>
      </c>
      <c r="J134" s="35">
        <f t="shared" ref="J134:J197" si="12">G134+H134</f>
        <v>20.668237728198136</v>
      </c>
    </row>
    <row r="135" spans="1:10" x14ac:dyDescent="0.25">
      <c r="A135" s="51">
        <f>'A) Base RI'!A137</f>
        <v>5625</v>
      </c>
      <c r="B135" s="321" t="str">
        <f>'A) Base RI'!B137</f>
        <v>Bussy-Chardonney</v>
      </c>
      <c r="C135" s="101">
        <f>'B) D RI'!U137</f>
        <v>13792.360683760684</v>
      </c>
      <c r="D135" s="117">
        <f>'E) Fact soc'!G141/C135</f>
        <v>17.951485065483276</v>
      </c>
      <c r="E135" s="144">
        <f>'H) Péréquation directe'!I146/C135</f>
        <v>10.881344056312484</v>
      </c>
      <c r="F135" s="117">
        <f>+'I) Dépenses thématiques'!O135/'J) Plafonnement effort'!C135</f>
        <v>-0.99544301341548547</v>
      </c>
      <c r="G135" s="144">
        <f t="shared" si="9"/>
        <v>27.837386108380276</v>
      </c>
      <c r="H135" s="336">
        <f t="shared" si="10"/>
        <v>0</v>
      </c>
      <c r="I135" s="59">
        <f t="shared" si="11"/>
        <v>0</v>
      </c>
      <c r="J135" s="35">
        <f t="shared" si="12"/>
        <v>27.837386108380276</v>
      </c>
    </row>
    <row r="136" spans="1:10" x14ac:dyDescent="0.25">
      <c r="A136" s="51">
        <f>'A) Base RI'!A138</f>
        <v>5627</v>
      </c>
      <c r="B136" s="321" t="str">
        <f>'A) Base RI'!B138</f>
        <v>Chavannes-près-Renens</v>
      </c>
      <c r="C136" s="101">
        <f>'B) D RI'!U138</f>
        <v>175193.96054852317</v>
      </c>
      <c r="D136" s="117">
        <f>'E) Fact soc'!G142/C136</f>
        <v>22.917571383620391</v>
      </c>
      <c r="E136" s="144">
        <f>'H) Péréquation directe'!I147/C136</f>
        <v>-24.345508723587219</v>
      </c>
      <c r="F136" s="117">
        <f>+'I) Dépenses thématiques'!O136/'J) Plafonnement effort'!C136</f>
        <v>-7.7360400538070424</v>
      </c>
      <c r="G136" s="144">
        <f t="shared" si="9"/>
        <v>-9.1639773937738696</v>
      </c>
      <c r="H136" s="336">
        <f t="shared" si="10"/>
        <v>0</v>
      </c>
      <c r="I136" s="59">
        <f t="shared" si="11"/>
        <v>0</v>
      </c>
      <c r="J136" s="35">
        <f t="shared" si="12"/>
        <v>-9.1639773937738696</v>
      </c>
    </row>
    <row r="137" spans="1:10" x14ac:dyDescent="0.25">
      <c r="A137" s="51">
        <f>'A) Base RI'!A139</f>
        <v>5628</v>
      </c>
      <c r="B137" s="321" t="str">
        <f>'A) Base RI'!B139</f>
        <v>Chigny</v>
      </c>
      <c r="C137" s="101">
        <f>'B) D RI'!U139</f>
        <v>19494.348064516129</v>
      </c>
      <c r="D137" s="117">
        <f>'E) Fact soc'!G143/C137</f>
        <v>18.6206368171324</v>
      </c>
      <c r="E137" s="144">
        <f>'H) Péréquation directe'!I148/C137</f>
        <v>16.614986576627366</v>
      </c>
      <c r="F137" s="117">
        <f>+'I) Dépenses thématiques'!O137/'J) Plafonnement effort'!C137</f>
        <v>0</v>
      </c>
      <c r="G137" s="144">
        <f t="shared" si="9"/>
        <v>35.235623393759766</v>
      </c>
      <c r="H137" s="336">
        <f t="shared" si="10"/>
        <v>0</v>
      </c>
      <c r="I137" s="59">
        <f t="shared" si="11"/>
        <v>0</v>
      </c>
      <c r="J137" s="35">
        <f t="shared" si="12"/>
        <v>35.235623393759766</v>
      </c>
    </row>
    <row r="138" spans="1:10" x14ac:dyDescent="0.25">
      <c r="A138" s="51">
        <f>'A) Base RI'!A140</f>
        <v>5629</v>
      </c>
      <c r="B138" s="321" t="str">
        <f>'A) Base RI'!B140</f>
        <v>Clarmont</v>
      </c>
      <c r="C138" s="101">
        <f>'B) D RI'!U140</f>
        <v>7511.8584000000001</v>
      </c>
      <c r="D138" s="117">
        <f>'E) Fact soc'!G144/C138</f>
        <v>16.621591874947484</v>
      </c>
      <c r="E138" s="144">
        <f>'H) Péréquation directe'!I149/C138</f>
        <v>13.165978555816919</v>
      </c>
      <c r="F138" s="117">
        <f>+'I) Dépenses thématiques'!O138/'J) Plafonnement effort'!C138</f>
        <v>-5.1849067510788283</v>
      </c>
      <c r="G138" s="144">
        <f t="shared" si="9"/>
        <v>24.602663679685577</v>
      </c>
      <c r="H138" s="336">
        <f t="shared" si="10"/>
        <v>0</v>
      </c>
      <c r="I138" s="59">
        <f t="shared" si="11"/>
        <v>0</v>
      </c>
      <c r="J138" s="35">
        <f t="shared" si="12"/>
        <v>24.602663679685577</v>
      </c>
    </row>
    <row r="139" spans="1:10" x14ac:dyDescent="0.25">
      <c r="A139" s="51">
        <f>'A) Base RI'!A141</f>
        <v>5631</v>
      </c>
      <c r="B139" s="321" t="str">
        <f>'A) Base RI'!B141</f>
        <v>Denens</v>
      </c>
      <c r="C139" s="101">
        <f>'B) D RI'!U141</f>
        <v>45432.172571428571</v>
      </c>
      <c r="D139" s="117">
        <f>'E) Fact soc'!G145/C139</f>
        <v>18.51306571680664</v>
      </c>
      <c r="E139" s="144">
        <f>'H) Péréquation directe'!I150/C139</f>
        <v>16.572261218016958</v>
      </c>
      <c r="F139" s="117">
        <f>+'I) Dépenses thématiques'!O139/'J) Plafonnement effort'!C139</f>
        <v>-0.8552820520421357</v>
      </c>
      <c r="G139" s="144">
        <f t="shared" si="9"/>
        <v>34.230044882781463</v>
      </c>
      <c r="H139" s="336">
        <f t="shared" si="10"/>
        <v>0</v>
      </c>
      <c r="I139" s="59">
        <f t="shared" si="11"/>
        <v>0</v>
      </c>
      <c r="J139" s="35">
        <f t="shared" si="12"/>
        <v>34.230044882781463</v>
      </c>
    </row>
    <row r="140" spans="1:10" x14ac:dyDescent="0.25">
      <c r="A140" s="51">
        <f>'A) Base RI'!A142</f>
        <v>5632</v>
      </c>
      <c r="B140" s="321" t="str">
        <f>'A) Base RI'!B142</f>
        <v>Denges</v>
      </c>
      <c r="C140" s="101">
        <f>'B) D RI'!U142</f>
        <v>67894.99080645162</v>
      </c>
      <c r="D140" s="117">
        <f>'E) Fact soc'!G146/C140</f>
        <v>17.15672194450875</v>
      </c>
      <c r="E140" s="144">
        <f>'H) Péréquation directe'!I151/C140</f>
        <v>12.916720825388053</v>
      </c>
      <c r="F140" s="117">
        <f>+'I) Dépenses thématiques'!O140/'J) Plafonnement effort'!C140</f>
        <v>-0.26090779654804147</v>
      </c>
      <c r="G140" s="144">
        <f t="shared" si="9"/>
        <v>29.812534973348757</v>
      </c>
      <c r="H140" s="336">
        <f t="shared" si="10"/>
        <v>0</v>
      </c>
      <c r="I140" s="59">
        <f t="shared" si="11"/>
        <v>0</v>
      </c>
      <c r="J140" s="35">
        <f t="shared" si="12"/>
        <v>29.812534973348757</v>
      </c>
    </row>
    <row r="141" spans="1:10" x14ac:dyDescent="0.25">
      <c r="A141" s="51">
        <f>'A) Base RI'!A143</f>
        <v>5633</v>
      </c>
      <c r="B141" s="321" t="str">
        <f>'A) Base RI'!B143</f>
        <v>Echandens</v>
      </c>
      <c r="C141" s="101">
        <f>'B) D RI'!U143</f>
        <v>131889.87370967743</v>
      </c>
      <c r="D141" s="117">
        <f>'E) Fact soc'!G147/C141</f>
        <v>17.676018699954376</v>
      </c>
      <c r="E141" s="144">
        <f>'H) Péréquation directe'!I152/C141</f>
        <v>13.132662216242876</v>
      </c>
      <c r="F141" s="117">
        <f>+'I) Dépenses thématiques'!O141/'J) Plafonnement effort'!C141</f>
        <v>-2.9068862602678482</v>
      </c>
      <c r="G141" s="144">
        <f t="shared" si="9"/>
        <v>27.901794655929407</v>
      </c>
      <c r="H141" s="336">
        <f t="shared" si="10"/>
        <v>0</v>
      </c>
      <c r="I141" s="59">
        <f t="shared" si="11"/>
        <v>0</v>
      </c>
      <c r="J141" s="35">
        <f t="shared" si="12"/>
        <v>27.901794655929407</v>
      </c>
    </row>
    <row r="142" spans="1:10" x14ac:dyDescent="0.25">
      <c r="A142" s="51">
        <f>'A) Base RI'!A144</f>
        <v>5634</v>
      </c>
      <c r="B142" s="321" t="str">
        <f>'A) Base RI'!B144</f>
        <v>Echichens</v>
      </c>
      <c r="C142" s="101">
        <f>'B) D RI'!U144</f>
        <v>127167.81867647056</v>
      </c>
      <c r="D142" s="117">
        <f>'E) Fact soc'!G148/C142</f>
        <v>19.1547644646521</v>
      </c>
      <c r="E142" s="144">
        <f>'H) Péréquation directe'!I153/C142</f>
        <v>13.056161073914152</v>
      </c>
      <c r="F142" s="117">
        <f>+'I) Dépenses thématiques'!O142/'J) Plafonnement effort'!C142</f>
        <v>0</v>
      </c>
      <c r="G142" s="144">
        <f t="shared" si="9"/>
        <v>32.210925538566251</v>
      </c>
      <c r="H142" s="336">
        <f t="shared" si="10"/>
        <v>0</v>
      </c>
      <c r="I142" s="59">
        <f t="shared" si="11"/>
        <v>0</v>
      </c>
      <c r="J142" s="35">
        <f t="shared" si="12"/>
        <v>32.210925538566251</v>
      </c>
    </row>
    <row r="143" spans="1:10" x14ac:dyDescent="0.25">
      <c r="A143" s="51">
        <f>'A) Base RI'!A145</f>
        <v>5635</v>
      </c>
      <c r="B143" s="321" t="str">
        <f>'A) Base RI'!B145</f>
        <v>Ecublens</v>
      </c>
      <c r="C143" s="101">
        <f>'B) D RI'!U145</f>
        <v>453953.99228353141</v>
      </c>
      <c r="D143" s="117">
        <f>'E) Fact soc'!G149/C143</f>
        <v>18.068012800377581</v>
      </c>
      <c r="E143" s="144">
        <f>'H) Péréquation directe'!I154/C143</f>
        <v>-1.0733493089305823</v>
      </c>
      <c r="F143" s="117">
        <f>+'I) Dépenses thématiques'!O143/'J) Plafonnement effort'!C143</f>
        <v>-5.7151768454253418</v>
      </c>
      <c r="G143" s="144">
        <f t="shared" si="9"/>
        <v>11.279486646021658</v>
      </c>
      <c r="H143" s="336">
        <f t="shared" si="10"/>
        <v>0</v>
      </c>
      <c r="I143" s="59">
        <f t="shared" si="11"/>
        <v>0</v>
      </c>
      <c r="J143" s="35">
        <f t="shared" si="12"/>
        <v>11.279486646021658</v>
      </c>
    </row>
    <row r="144" spans="1:10" x14ac:dyDescent="0.25">
      <c r="A144" s="51">
        <f>'A) Base RI'!A146</f>
        <v>5636</v>
      </c>
      <c r="B144" s="321" t="str">
        <f>'A) Base RI'!B146</f>
        <v>Etoy</v>
      </c>
      <c r="C144" s="101">
        <f>'B) D RI'!U146</f>
        <v>157303.40508196724</v>
      </c>
      <c r="D144" s="117">
        <f>'E) Fact soc'!G150/C144</f>
        <v>19.573443652812372</v>
      </c>
      <c r="E144" s="144">
        <f>'H) Péréquation directe'!I155/C144</f>
        <v>13.665942735594452</v>
      </c>
      <c r="F144" s="117">
        <f>+'I) Dépenses thématiques'!O144/'J) Plafonnement effort'!C144</f>
        <v>0</v>
      </c>
      <c r="G144" s="144">
        <f t="shared" si="9"/>
        <v>33.239386388406828</v>
      </c>
      <c r="H144" s="336">
        <f t="shared" si="10"/>
        <v>0</v>
      </c>
      <c r="I144" s="59">
        <f t="shared" si="11"/>
        <v>0</v>
      </c>
      <c r="J144" s="35">
        <f t="shared" si="12"/>
        <v>33.239386388406828</v>
      </c>
    </row>
    <row r="145" spans="1:10" x14ac:dyDescent="0.25">
      <c r="A145" s="51">
        <f>'A) Base RI'!A147</f>
        <v>5637</v>
      </c>
      <c r="B145" s="321" t="str">
        <f>'A) Base RI'!B147</f>
        <v>Lavigny</v>
      </c>
      <c r="C145" s="101">
        <f>'B) D RI'!U147</f>
        <v>36259.562058165546</v>
      </c>
      <c r="D145" s="117">
        <f>'E) Fact soc'!G151/C145</f>
        <v>18.267025552664531</v>
      </c>
      <c r="E145" s="144">
        <f>'H) Péréquation directe'!I156/C145</f>
        <v>10.319812720291573</v>
      </c>
      <c r="F145" s="117">
        <f>+'I) Dépenses thématiques'!O145/'J) Plafonnement effort'!C145</f>
        <v>-2.3952087234234627</v>
      </c>
      <c r="G145" s="144">
        <f t="shared" si="9"/>
        <v>26.191629549532642</v>
      </c>
      <c r="H145" s="336">
        <f t="shared" si="10"/>
        <v>0</v>
      </c>
      <c r="I145" s="59">
        <f t="shared" si="11"/>
        <v>0</v>
      </c>
      <c r="J145" s="35">
        <f t="shared" si="12"/>
        <v>26.191629549532642</v>
      </c>
    </row>
    <row r="146" spans="1:10" x14ac:dyDescent="0.25">
      <c r="A146" s="51">
        <f>'A) Base RI'!A148</f>
        <v>5638</v>
      </c>
      <c r="B146" s="321" t="str">
        <f>'A) Base RI'!B148</f>
        <v>Lonay</v>
      </c>
      <c r="C146" s="101">
        <f>'B) D RI'!U148</f>
        <v>153961.25072727271</v>
      </c>
      <c r="D146" s="117">
        <f>'E) Fact soc'!G152/C146</f>
        <v>36.242664083095299</v>
      </c>
      <c r="E146" s="144">
        <f>'H) Péréquation directe'!I157/C146</f>
        <v>14.05848737246326</v>
      </c>
      <c r="F146" s="117">
        <f>+'I) Dépenses thématiques'!O146/'J) Plafonnement effort'!C146</f>
        <v>-1.8083629097920761</v>
      </c>
      <c r="G146" s="144">
        <f t="shared" si="9"/>
        <v>48.492788545766487</v>
      </c>
      <c r="H146" s="336">
        <f t="shared" si="10"/>
        <v>0</v>
      </c>
      <c r="I146" s="59">
        <f t="shared" si="11"/>
        <v>0</v>
      </c>
      <c r="J146" s="35">
        <f t="shared" si="12"/>
        <v>48.492788545766487</v>
      </c>
    </row>
    <row r="147" spans="1:10" x14ac:dyDescent="0.25">
      <c r="A147" s="51">
        <f>'A) Base RI'!A149</f>
        <v>5639</v>
      </c>
      <c r="B147" s="321" t="str">
        <f>'A) Base RI'!B149</f>
        <v>Lully</v>
      </c>
      <c r="C147" s="101">
        <f>'B) D RI'!U149</f>
        <v>51753.051967213112</v>
      </c>
      <c r="D147" s="117">
        <f>'E) Fact soc'!G153/C147</f>
        <v>19.530121574744172</v>
      </c>
      <c r="E147" s="144">
        <f>'H) Péréquation directe'!I158/C147</f>
        <v>16.33527409384423</v>
      </c>
      <c r="F147" s="117">
        <f>+'I) Dépenses thématiques'!O147/'J) Plafonnement effort'!C147</f>
        <v>0</v>
      </c>
      <c r="G147" s="144">
        <f t="shared" si="9"/>
        <v>35.865395668588405</v>
      </c>
      <c r="H147" s="336">
        <f t="shared" si="10"/>
        <v>0</v>
      </c>
      <c r="I147" s="59">
        <f t="shared" si="11"/>
        <v>0</v>
      </c>
      <c r="J147" s="35">
        <f t="shared" si="12"/>
        <v>35.865395668588405</v>
      </c>
    </row>
    <row r="148" spans="1:10" x14ac:dyDescent="0.25">
      <c r="A148" s="51">
        <f>'A) Base RI'!A150</f>
        <v>5640</v>
      </c>
      <c r="B148" s="321" t="str">
        <f>'A) Base RI'!B150</f>
        <v>Lussy-sur-Morges</v>
      </c>
      <c r="C148" s="101">
        <f>'B) D RI'!U150</f>
        <v>55596.399848484849</v>
      </c>
      <c r="D148" s="117">
        <f>'E) Fact soc'!G154/C148</f>
        <v>35.819776006400481</v>
      </c>
      <c r="E148" s="144">
        <f>'H) Péréquation directe'!I159/C148</f>
        <v>15.658487361040949</v>
      </c>
      <c r="F148" s="117">
        <f>+'I) Dépenses thématiques'!O148/'J) Plafonnement effort'!C148</f>
        <v>0</v>
      </c>
      <c r="G148" s="144">
        <f t="shared" si="9"/>
        <v>51.478263367441428</v>
      </c>
      <c r="H148" s="336">
        <f t="shared" si="10"/>
        <v>0</v>
      </c>
      <c r="I148" s="59">
        <f t="shared" si="11"/>
        <v>0</v>
      </c>
      <c r="J148" s="35">
        <f t="shared" si="12"/>
        <v>51.478263367441428</v>
      </c>
    </row>
    <row r="149" spans="1:10" x14ac:dyDescent="0.25">
      <c r="A149" s="51">
        <f>'A) Base RI'!A151</f>
        <v>5642</v>
      </c>
      <c r="B149" s="321" t="str">
        <f>'A) Base RI'!B151</f>
        <v>Morges</v>
      </c>
      <c r="C149" s="101">
        <f>'B) D RI'!U151</f>
        <v>777988.51795620425</v>
      </c>
      <c r="D149" s="117">
        <f>'E) Fact soc'!G155/C149</f>
        <v>19.279980541370172</v>
      </c>
      <c r="E149" s="144">
        <f>'H) Péréquation directe'!I160/C149</f>
        <v>4.9883341575640952</v>
      </c>
      <c r="F149" s="117">
        <f>+'I) Dépenses thématiques'!O149/'J) Plafonnement effort'!C149</f>
        <v>-0.72482517417190473</v>
      </c>
      <c r="G149" s="144">
        <f t="shared" si="9"/>
        <v>23.543489524762364</v>
      </c>
      <c r="H149" s="336">
        <f t="shared" si="10"/>
        <v>0</v>
      </c>
      <c r="I149" s="59">
        <f t="shared" si="11"/>
        <v>0</v>
      </c>
      <c r="J149" s="35">
        <f t="shared" si="12"/>
        <v>23.543489524762364</v>
      </c>
    </row>
    <row r="150" spans="1:10" x14ac:dyDescent="0.25">
      <c r="A150" s="51">
        <f>'A) Base RI'!A152</f>
        <v>5643</v>
      </c>
      <c r="B150" s="321" t="str">
        <f>'A) Base RI'!B152</f>
        <v>Préverenges</v>
      </c>
      <c r="C150" s="101">
        <f>'B) D RI'!U152</f>
        <v>264736.09703124996</v>
      </c>
      <c r="D150" s="117">
        <f>'E) Fact soc'!G156/C150</f>
        <v>16.336278647156192</v>
      </c>
      <c r="E150" s="144">
        <f>'H) Péréquation directe'!I161/C150</f>
        <v>11.119326873192934</v>
      </c>
      <c r="F150" s="117">
        <f>+'I) Dépenses thématiques'!O150/'J) Plafonnement effort'!C150</f>
        <v>0</v>
      </c>
      <c r="G150" s="144">
        <f t="shared" si="9"/>
        <v>27.455605520349124</v>
      </c>
      <c r="H150" s="336">
        <f t="shared" si="10"/>
        <v>0</v>
      </c>
      <c r="I150" s="59">
        <f t="shared" si="11"/>
        <v>0</v>
      </c>
      <c r="J150" s="35">
        <f t="shared" si="12"/>
        <v>27.455605520349124</v>
      </c>
    </row>
    <row r="151" spans="1:10" x14ac:dyDescent="0.25">
      <c r="A151" s="51">
        <f>'A) Base RI'!A153</f>
        <v>5644</v>
      </c>
      <c r="B151" s="321" t="str">
        <f>'A) Base RI'!B153</f>
        <v>Reverolle</v>
      </c>
      <c r="C151" s="101">
        <f>'B) D RI'!U153</f>
        <v>15137.442236842104</v>
      </c>
      <c r="D151" s="117">
        <f>'E) Fact soc'!G157/C151</f>
        <v>16.704489146737075</v>
      </c>
      <c r="E151" s="144">
        <f>'H) Péréquation directe'!I162/C151</f>
        <v>13.005133226305004</v>
      </c>
      <c r="F151" s="117">
        <f>+'I) Dépenses thématiques'!O151/'J) Plafonnement effort'!C151</f>
        <v>-2.2541530328060388</v>
      </c>
      <c r="G151" s="144">
        <f t="shared" si="9"/>
        <v>27.455469340236043</v>
      </c>
      <c r="H151" s="336">
        <f t="shared" si="10"/>
        <v>0</v>
      </c>
      <c r="I151" s="59">
        <f t="shared" si="11"/>
        <v>0</v>
      </c>
      <c r="J151" s="35">
        <f t="shared" si="12"/>
        <v>27.455469340236043</v>
      </c>
    </row>
    <row r="152" spans="1:10" x14ac:dyDescent="0.25">
      <c r="A152" s="51">
        <f>'A) Base RI'!A154</f>
        <v>5645</v>
      </c>
      <c r="B152" s="321" t="str">
        <f>'A) Base RI'!B154</f>
        <v>Romanel-sur-Morges</v>
      </c>
      <c r="C152" s="101">
        <f>'B) D RI'!U154</f>
        <v>26934.860133928574</v>
      </c>
      <c r="D152" s="117">
        <f>'E) Fact soc'!G158/C152</f>
        <v>16.689276548312183</v>
      </c>
      <c r="E152" s="144">
        <f>'H) Péréquation directe'!I163/C152</f>
        <v>16.630712471121701</v>
      </c>
      <c r="F152" s="117">
        <f>+'I) Dépenses thématiques'!O152/'J) Plafonnement effort'!C152</f>
        <v>0</v>
      </c>
      <c r="G152" s="144">
        <f t="shared" si="9"/>
        <v>33.319989019433883</v>
      </c>
      <c r="H152" s="336">
        <f t="shared" si="10"/>
        <v>0</v>
      </c>
      <c r="I152" s="59">
        <f t="shared" si="11"/>
        <v>0</v>
      </c>
      <c r="J152" s="35">
        <f t="shared" si="12"/>
        <v>33.319989019433883</v>
      </c>
    </row>
    <row r="153" spans="1:10" x14ac:dyDescent="0.25">
      <c r="A153" s="51">
        <f>'A) Base RI'!A155</f>
        <v>5646</v>
      </c>
      <c r="B153" s="321" t="str">
        <f>'A) Base RI'!B155</f>
        <v>Saint-Prex</v>
      </c>
      <c r="C153" s="101">
        <f>'B) D RI'!U155</f>
        <v>386152.86527272721</v>
      </c>
      <c r="D153" s="117">
        <f>'E) Fact soc'!G159/C153</f>
        <v>20.740743541427605</v>
      </c>
      <c r="E153" s="144">
        <f>'H) Péréquation directe'!I164/C153</f>
        <v>12.033551742304802</v>
      </c>
      <c r="F153" s="117">
        <f>+'I) Dépenses thématiques'!O153/'J) Plafonnement effort'!C153</f>
        <v>0</v>
      </c>
      <c r="G153" s="144">
        <f t="shared" si="9"/>
        <v>32.774295283732407</v>
      </c>
      <c r="H153" s="336">
        <f t="shared" si="10"/>
        <v>0</v>
      </c>
      <c r="I153" s="59">
        <f t="shared" si="11"/>
        <v>0</v>
      </c>
      <c r="J153" s="35">
        <f t="shared" si="12"/>
        <v>32.774295283732407</v>
      </c>
    </row>
    <row r="154" spans="1:10" x14ac:dyDescent="0.25">
      <c r="A154" s="51">
        <f>'A) Base RI'!A156</f>
        <v>5648</v>
      </c>
      <c r="B154" s="321" t="str">
        <f>'A) Base RI'!B156</f>
        <v>Saint-Sulpice</v>
      </c>
      <c r="C154" s="101">
        <f>'B) D RI'!U156</f>
        <v>363756.87836363638</v>
      </c>
      <c r="D154" s="117">
        <f>'E) Fact soc'!G160/C154</f>
        <v>24.004023078233264</v>
      </c>
      <c r="E154" s="144">
        <f>'H) Péréquation directe'!I165/C154</f>
        <v>12.743819912791988</v>
      </c>
      <c r="F154" s="117">
        <f>+'I) Dépenses thématiques'!O154/'J) Plafonnement effort'!C154</f>
        <v>0</v>
      </c>
      <c r="G154" s="144">
        <f t="shared" si="9"/>
        <v>36.747842991025252</v>
      </c>
      <c r="H154" s="336">
        <f t="shared" si="10"/>
        <v>0</v>
      </c>
      <c r="I154" s="59">
        <f t="shared" si="11"/>
        <v>0</v>
      </c>
      <c r="J154" s="35">
        <f t="shared" si="12"/>
        <v>36.747842991025252</v>
      </c>
    </row>
    <row r="155" spans="1:10" x14ac:dyDescent="0.25">
      <c r="A155" s="51">
        <f>'A) Base RI'!A157</f>
        <v>5649</v>
      </c>
      <c r="B155" s="321" t="str">
        <f>'A) Base RI'!B157</f>
        <v>Tolochenaz</v>
      </c>
      <c r="C155" s="101">
        <f>'B) D RI'!U157</f>
        <v>238285.06261538458</v>
      </c>
      <c r="D155" s="117">
        <f>'E) Fact soc'!G161/C155</f>
        <v>31.738388511564743</v>
      </c>
      <c r="E155" s="144">
        <f>'H) Péréquation directe'!I166/C155</f>
        <v>13.499584459432295</v>
      </c>
      <c r="F155" s="117">
        <f>+'I) Dépenses thématiques'!O155/'J) Plafonnement effort'!C155</f>
        <v>0</v>
      </c>
      <c r="G155" s="144">
        <f t="shared" si="9"/>
        <v>45.237972970997035</v>
      </c>
      <c r="H155" s="336">
        <f t="shared" si="10"/>
        <v>0</v>
      </c>
      <c r="I155" s="59">
        <f t="shared" si="11"/>
        <v>0</v>
      </c>
      <c r="J155" s="35">
        <f t="shared" si="12"/>
        <v>45.237972970997035</v>
      </c>
    </row>
    <row r="156" spans="1:10" x14ac:dyDescent="0.25">
      <c r="A156" s="51">
        <f>'A) Base RI'!A158</f>
        <v>5650</v>
      </c>
      <c r="B156" s="321" t="str">
        <f>'A) Base RI'!B158</f>
        <v>Vaux-sur-Morges</v>
      </c>
      <c r="C156" s="101">
        <f>'B) D RI'!U158</f>
        <v>169784.43892857147</v>
      </c>
      <c r="D156" s="117">
        <f>'E) Fact soc'!G162/C156</f>
        <v>42.884770707417779</v>
      </c>
      <c r="E156" s="144">
        <f>'H) Péréquation directe'!I167/C156</f>
        <v>11.14624154284089</v>
      </c>
      <c r="F156" s="117">
        <f>+'I) Dépenses thématiques'!O156/'J) Plafonnement effort'!C156</f>
        <v>0</v>
      </c>
      <c r="G156" s="144">
        <f t="shared" si="9"/>
        <v>54.031012250258669</v>
      </c>
      <c r="H156" s="336">
        <f t="shared" si="10"/>
        <v>0</v>
      </c>
      <c r="I156" s="59">
        <f t="shared" si="11"/>
        <v>0</v>
      </c>
      <c r="J156" s="35">
        <f t="shared" si="12"/>
        <v>54.031012250258669</v>
      </c>
    </row>
    <row r="157" spans="1:10" x14ac:dyDescent="0.25">
      <c r="A157" s="51">
        <f>'A) Base RI'!A159</f>
        <v>5651</v>
      </c>
      <c r="B157" s="321" t="str">
        <f>'A) Base RI'!B159</f>
        <v>Villars-Sainte-Croix</v>
      </c>
      <c r="C157" s="101">
        <f>'B) D RI'!U159</f>
        <v>53160.152372881355</v>
      </c>
      <c r="D157" s="117">
        <f>'E) Fact soc'!G163/C157</f>
        <v>18.948846860470081</v>
      </c>
      <c r="E157" s="144">
        <f>'H) Péréquation directe'!I168/C157</f>
        <v>16.650358822465613</v>
      </c>
      <c r="F157" s="117">
        <f>+'I) Dépenses thématiques'!O157/'J) Plafonnement effort'!C157</f>
        <v>0</v>
      </c>
      <c r="G157" s="144">
        <f t="shared" si="9"/>
        <v>35.59920568293569</v>
      </c>
      <c r="H157" s="336">
        <f t="shared" si="10"/>
        <v>0</v>
      </c>
      <c r="I157" s="59">
        <f t="shared" si="11"/>
        <v>0</v>
      </c>
      <c r="J157" s="35">
        <f t="shared" si="12"/>
        <v>35.59920568293569</v>
      </c>
    </row>
    <row r="158" spans="1:10" x14ac:dyDescent="0.25">
      <c r="A158" s="51">
        <f>'A) Base RI'!A160</f>
        <v>5652</v>
      </c>
      <c r="B158" s="321" t="str">
        <f>'A) Base RI'!B160</f>
        <v>Villars-sous-Yens</v>
      </c>
      <c r="C158" s="101">
        <f>'B) D RI'!U160</f>
        <v>25892.335109649121</v>
      </c>
      <c r="D158" s="117">
        <f>'E) Fact soc'!G164/C158</f>
        <v>16.129876621069346</v>
      </c>
      <c r="E158" s="144">
        <f>'H) Péréquation directe'!I169/C158</f>
        <v>14.718857173667935</v>
      </c>
      <c r="F158" s="117">
        <f>+'I) Dépenses thématiques'!O158/'J) Plafonnement effort'!C158</f>
        <v>-9.3417993939151428E-2</v>
      </c>
      <c r="G158" s="144">
        <f t="shared" si="9"/>
        <v>30.75531580079813</v>
      </c>
      <c r="H158" s="336">
        <f t="shared" si="10"/>
        <v>0</v>
      </c>
      <c r="I158" s="59">
        <f t="shared" si="11"/>
        <v>0</v>
      </c>
      <c r="J158" s="35">
        <f t="shared" si="12"/>
        <v>30.75531580079813</v>
      </c>
    </row>
    <row r="159" spans="1:10" x14ac:dyDescent="0.25">
      <c r="A159" s="51">
        <f>'A) Base RI'!A161</f>
        <v>5653</v>
      </c>
      <c r="B159" s="321" t="str">
        <f>'A) Base RI'!B161</f>
        <v>Vufflens-le-Château</v>
      </c>
      <c r="C159" s="101">
        <f>'B) D RI'!U161</f>
        <v>58132.597454545445</v>
      </c>
      <c r="D159" s="117">
        <f>'E) Fact soc'!G165/C159</f>
        <v>18.20296372887109</v>
      </c>
      <c r="E159" s="144">
        <f>'H) Péréquation directe'!I170/C159</f>
        <v>16.313372107218747</v>
      </c>
      <c r="F159" s="117">
        <f>+'I) Dépenses thématiques'!O159/'J) Plafonnement effort'!C159</f>
        <v>0</v>
      </c>
      <c r="G159" s="144">
        <f t="shared" si="9"/>
        <v>34.516335836089837</v>
      </c>
      <c r="H159" s="336">
        <f t="shared" si="10"/>
        <v>0</v>
      </c>
      <c r="I159" s="59">
        <f t="shared" si="11"/>
        <v>0</v>
      </c>
      <c r="J159" s="35">
        <f t="shared" si="12"/>
        <v>34.516335836089837</v>
      </c>
    </row>
    <row r="160" spans="1:10" x14ac:dyDescent="0.25">
      <c r="A160" s="51">
        <f>'A) Base RI'!A162</f>
        <v>5654</v>
      </c>
      <c r="B160" s="321" t="str">
        <f>'A) Base RI'!B162</f>
        <v>Vullierens</v>
      </c>
      <c r="C160" s="101">
        <f>'B) D RI'!U162</f>
        <v>18691.767368421053</v>
      </c>
      <c r="D160" s="117">
        <f>'E) Fact soc'!G166/C160</f>
        <v>16.009774457772984</v>
      </c>
      <c r="E160" s="144">
        <f>'H) Péréquation directe'!I171/C160</f>
        <v>11.360157771530666</v>
      </c>
      <c r="F160" s="117">
        <f>+'I) Dépenses thématiques'!O160/'J) Plafonnement effort'!C160</f>
        <v>-0.26234694130746411</v>
      </c>
      <c r="G160" s="144">
        <f t="shared" si="9"/>
        <v>27.107585287996187</v>
      </c>
      <c r="H160" s="336">
        <f t="shared" si="10"/>
        <v>0</v>
      </c>
      <c r="I160" s="59">
        <f t="shared" si="11"/>
        <v>0</v>
      </c>
      <c r="J160" s="35">
        <f t="shared" si="12"/>
        <v>27.107585287996187</v>
      </c>
    </row>
    <row r="161" spans="1:10" x14ac:dyDescent="0.25">
      <c r="A161" s="51">
        <f>'A) Base RI'!A163</f>
        <v>5655</v>
      </c>
      <c r="B161" s="321" t="str">
        <f>'A) Base RI'!B163</f>
        <v>Yens</v>
      </c>
      <c r="C161" s="101">
        <f>'B) D RI'!U163</f>
        <v>72322.592328767118</v>
      </c>
      <c r="D161" s="117">
        <f>'E) Fact soc'!G167/C161</f>
        <v>20.637410514315054</v>
      </c>
      <c r="E161" s="144">
        <f>'H) Péréquation directe'!I172/C161</f>
        <v>15.233532100879536</v>
      </c>
      <c r="F161" s="117">
        <f>+'I) Dépenses thématiques'!O161/'J) Plafonnement effort'!C161</f>
        <v>0</v>
      </c>
      <c r="G161" s="144">
        <f t="shared" si="9"/>
        <v>35.870942615194593</v>
      </c>
      <c r="H161" s="336">
        <f t="shared" si="10"/>
        <v>0</v>
      </c>
      <c r="I161" s="59">
        <f t="shared" si="11"/>
        <v>0</v>
      </c>
      <c r="J161" s="35">
        <f t="shared" si="12"/>
        <v>35.870942615194593</v>
      </c>
    </row>
    <row r="162" spans="1:10" x14ac:dyDescent="0.25">
      <c r="A162" s="51">
        <f>'A) Base RI'!A164</f>
        <v>5661</v>
      </c>
      <c r="B162" s="321" t="str">
        <f>'A) Base RI'!B164</f>
        <v>Boulens</v>
      </c>
      <c r="C162" s="101">
        <f>'B) D RI'!U164</f>
        <v>9059.2982278481013</v>
      </c>
      <c r="D162" s="117">
        <f>'E) Fact soc'!G168/C162</f>
        <v>16.327266761728001</v>
      </c>
      <c r="E162" s="144">
        <f>'H) Péréquation directe'!I173/C162</f>
        <v>-7.0344197506435506</v>
      </c>
      <c r="F162" s="117">
        <f>+'I) Dépenses thématiques'!O162/'J) Plafonnement effort'!C162</f>
        <v>-1.7270669004214445</v>
      </c>
      <c r="G162" s="144">
        <f t="shared" si="9"/>
        <v>7.565780110663006</v>
      </c>
      <c r="H162" s="336">
        <f t="shared" si="10"/>
        <v>0</v>
      </c>
      <c r="I162" s="59">
        <f t="shared" si="11"/>
        <v>0</v>
      </c>
      <c r="J162" s="35">
        <f t="shared" si="12"/>
        <v>7.565780110663006</v>
      </c>
    </row>
    <row r="163" spans="1:10" x14ac:dyDescent="0.25">
      <c r="A163" s="51">
        <f>'A) Base RI'!A165</f>
        <v>5663</v>
      </c>
      <c r="B163" s="321" t="str">
        <f>'A) Base RI'!B165</f>
        <v>Bussy-sur-Moudon</v>
      </c>
      <c r="C163" s="101">
        <f>'B) D RI'!U165</f>
        <v>5679.6416249999993</v>
      </c>
      <c r="D163" s="117">
        <f>'E) Fact soc'!G169/C163</f>
        <v>17.523538600739769</v>
      </c>
      <c r="E163" s="144">
        <f>'H) Péréquation directe'!I174/C163</f>
        <v>-1.6215029079701844</v>
      </c>
      <c r="F163" s="117">
        <f>+'I) Dépenses thématiques'!O163/'J) Plafonnement effort'!C163</f>
        <v>-12.14574683632992</v>
      </c>
      <c r="G163" s="144">
        <f t="shared" si="9"/>
        <v>3.7562888564396655</v>
      </c>
      <c r="H163" s="336">
        <f t="shared" si="10"/>
        <v>0</v>
      </c>
      <c r="I163" s="59">
        <f t="shared" si="11"/>
        <v>0</v>
      </c>
      <c r="J163" s="35">
        <f t="shared" si="12"/>
        <v>3.7562888564396655</v>
      </c>
    </row>
    <row r="164" spans="1:10" x14ac:dyDescent="0.25">
      <c r="A164" s="51">
        <f>'A) Base RI'!A166</f>
        <v>5665</v>
      </c>
      <c r="B164" s="321" t="str">
        <f>'A) Base RI'!B166</f>
        <v>Chavannes-sur-Moudon</v>
      </c>
      <c r="C164" s="101">
        <f>'B) D RI'!U166</f>
        <v>5041.8972602739723</v>
      </c>
      <c r="D164" s="117">
        <f>'E) Fact soc'!G170/C164</f>
        <v>15.32172464924045</v>
      </c>
      <c r="E164" s="144">
        <f>'H) Péréquation directe'!I175/C164</f>
        <v>-6.0193174215691307</v>
      </c>
      <c r="F164" s="117">
        <f>+'I) Dépenses thématiques'!O164/'J) Plafonnement effort'!C164</f>
        <v>-1.0362843772572186</v>
      </c>
      <c r="G164" s="144">
        <f t="shared" si="9"/>
        <v>8.2661228504140993</v>
      </c>
      <c r="H164" s="336">
        <f t="shared" si="10"/>
        <v>0</v>
      </c>
      <c r="I164" s="59">
        <f t="shared" si="11"/>
        <v>0</v>
      </c>
      <c r="J164" s="35">
        <f t="shared" si="12"/>
        <v>8.2661228504140993</v>
      </c>
    </row>
    <row r="165" spans="1:10" x14ac:dyDescent="0.25">
      <c r="A165" s="51">
        <f>'A) Base RI'!A167</f>
        <v>5669</v>
      </c>
      <c r="B165" s="321" t="str">
        <f>'A) Base RI'!B167</f>
        <v>Curtilles</v>
      </c>
      <c r="C165" s="101">
        <f>'B) D RI'!U167</f>
        <v>9002.5637333333325</v>
      </c>
      <c r="D165" s="117">
        <f>'E) Fact soc'!G171/C165</f>
        <v>18.662575060720624</v>
      </c>
      <c r="E165" s="144">
        <f>'H) Péréquation directe'!I176/C165</f>
        <v>1.9945679128357479</v>
      </c>
      <c r="F165" s="117">
        <f>+'I) Dépenses thématiques'!O165/'J) Plafonnement effort'!C165</f>
        <v>-0.73473882248783284</v>
      </c>
      <c r="G165" s="144">
        <f t="shared" si="9"/>
        <v>19.922404151068537</v>
      </c>
      <c r="H165" s="336">
        <f t="shared" si="10"/>
        <v>0</v>
      </c>
      <c r="I165" s="59">
        <f t="shared" si="11"/>
        <v>0</v>
      </c>
      <c r="J165" s="35">
        <f t="shared" si="12"/>
        <v>19.922404151068537</v>
      </c>
    </row>
    <row r="166" spans="1:10" x14ac:dyDescent="0.25">
      <c r="A166" s="51">
        <f>'A) Base RI'!A168</f>
        <v>5671</v>
      </c>
      <c r="B166" s="321" t="str">
        <f>'A) Base RI'!B168</f>
        <v>Dompierre</v>
      </c>
      <c r="C166" s="101">
        <f>'B) D RI'!U168</f>
        <v>6375.2653750000009</v>
      </c>
      <c r="D166" s="117">
        <f>'E) Fact soc'!G172/C166</f>
        <v>15.019472051471459</v>
      </c>
      <c r="E166" s="144">
        <f>'H) Péréquation directe'!I177/C166</f>
        <v>-6.3565308534826421</v>
      </c>
      <c r="F166" s="117">
        <f>+'I) Dépenses thématiques'!O166/'J) Plafonnement effort'!C166</f>
        <v>-8.8137195565509217</v>
      </c>
      <c r="G166" s="144">
        <f t="shared" si="9"/>
        <v>-0.1507783585621052</v>
      </c>
      <c r="H166" s="336">
        <f t="shared" si="10"/>
        <v>0</v>
      </c>
      <c r="I166" s="59">
        <f t="shared" si="11"/>
        <v>0</v>
      </c>
      <c r="J166" s="35">
        <f t="shared" si="12"/>
        <v>-0.1507783585621052</v>
      </c>
    </row>
    <row r="167" spans="1:10" x14ac:dyDescent="0.25">
      <c r="A167" s="51">
        <f>'A) Base RI'!A169</f>
        <v>5673</v>
      </c>
      <c r="B167" s="321" t="str">
        <f>'A) Base RI'!B169</f>
        <v>Hermenches</v>
      </c>
      <c r="C167" s="101">
        <f>'B) D RI'!U169</f>
        <v>8890.2024444444451</v>
      </c>
      <c r="D167" s="117">
        <f>'E) Fact soc'!G173/C167</f>
        <v>15.616516577354123</v>
      </c>
      <c r="E167" s="144">
        <f>'H) Péréquation directe'!I178/C167</f>
        <v>-6.03843947848803</v>
      </c>
      <c r="F167" s="117">
        <f>+'I) Dépenses thématiques'!O167/'J) Plafonnement effort'!C167</f>
        <v>-6.0133394659016801</v>
      </c>
      <c r="G167" s="144">
        <f t="shared" si="9"/>
        <v>3.5647376329644125</v>
      </c>
      <c r="H167" s="336">
        <f t="shared" si="10"/>
        <v>0</v>
      </c>
      <c r="I167" s="59">
        <f t="shared" si="11"/>
        <v>0</v>
      </c>
      <c r="J167" s="35">
        <f t="shared" si="12"/>
        <v>3.5647376329644125</v>
      </c>
    </row>
    <row r="168" spans="1:10" x14ac:dyDescent="0.25">
      <c r="A168" s="51">
        <f>'A) Base RI'!A170</f>
        <v>5674</v>
      </c>
      <c r="B168" s="321" t="str">
        <f>'A) Base RI'!B170</f>
        <v>Lovatens</v>
      </c>
      <c r="C168" s="101">
        <f>'B) D RI'!U170</f>
        <v>3625.6310666666668</v>
      </c>
      <c r="D168" s="117">
        <f>'E) Fact soc'!G174/C168</f>
        <v>15.702728463479334</v>
      </c>
      <c r="E168" s="144">
        <f>'H) Péréquation directe'!I179/C168</f>
        <v>-1.9258045831191004</v>
      </c>
      <c r="F168" s="117">
        <f>+'I) Dépenses thématiques'!O168/'J) Plafonnement effort'!C168</f>
        <v>-4.6752749178942281</v>
      </c>
      <c r="G168" s="144">
        <f t="shared" si="9"/>
        <v>9.1016489624660046</v>
      </c>
      <c r="H168" s="336">
        <f t="shared" si="10"/>
        <v>0</v>
      </c>
      <c r="I168" s="59">
        <f t="shared" si="11"/>
        <v>0</v>
      </c>
      <c r="J168" s="35">
        <f t="shared" si="12"/>
        <v>9.1016489624660046</v>
      </c>
    </row>
    <row r="169" spans="1:10" x14ac:dyDescent="0.25">
      <c r="A169" s="51">
        <f>'A) Base RI'!A171</f>
        <v>5675</v>
      </c>
      <c r="B169" s="321" t="str">
        <f>'A) Base RI'!B171</f>
        <v>Lucens</v>
      </c>
      <c r="C169" s="101">
        <f>'B) D RI'!U171</f>
        <v>86340.116763085374</v>
      </c>
      <c r="D169" s="117">
        <f>'E) Fact soc'!G175/C169</f>
        <v>18.75286273966551</v>
      </c>
      <c r="E169" s="144">
        <f>'H) Péréquation directe'!I180/C169</f>
        <v>-17.290036609627172</v>
      </c>
      <c r="F169" s="117">
        <f>+'I) Dépenses thématiques'!O169/'J) Plafonnement effort'!C169</f>
        <v>-4.9923420615319696</v>
      </c>
      <c r="G169" s="144">
        <f t="shared" si="9"/>
        <v>-3.5295159314936324</v>
      </c>
      <c r="H169" s="336">
        <f t="shared" si="10"/>
        <v>0</v>
      </c>
      <c r="I169" s="59">
        <f t="shared" si="11"/>
        <v>0</v>
      </c>
      <c r="J169" s="35">
        <f t="shared" si="12"/>
        <v>-3.5295159314936324</v>
      </c>
    </row>
    <row r="170" spans="1:10" x14ac:dyDescent="0.25">
      <c r="A170" s="51">
        <f>'A) Base RI'!A172</f>
        <v>5678</v>
      </c>
      <c r="B170" s="321" t="str">
        <f>'A) Base RI'!B172</f>
        <v>Moudon</v>
      </c>
      <c r="C170" s="101">
        <f>'B) D RI'!U172</f>
        <v>119887.03426666667</v>
      </c>
      <c r="D170" s="117">
        <f>'E) Fact soc'!G176/C170</f>
        <v>20.946722117486821</v>
      </c>
      <c r="E170" s="144">
        <f>'H) Péréquation directe'!I181/C170</f>
        <v>-31.481491621763016</v>
      </c>
      <c r="F170" s="117">
        <f>+'I) Dépenses thématiques'!O170/'J) Plafonnement effort'!C170</f>
        <v>-9.5740972482810758</v>
      </c>
      <c r="G170" s="144">
        <f t="shared" si="9"/>
        <v>-20.108866752557269</v>
      </c>
      <c r="H170" s="336">
        <f t="shared" si="10"/>
        <v>0</v>
      </c>
      <c r="I170" s="59">
        <f t="shared" si="11"/>
        <v>0</v>
      </c>
      <c r="J170" s="35">
        <f t="shared" si="12"/>
        <v>-20.108866752557269</v>
      </c>
    </row>
    <row r="171" spans="1:10" x14ac:dyDescent="0.25">
      <c r="A171" s="51">
        <f>'A) Base RI'!A173</f>
        <v>5680</v>
      </c>
      <c r="B171" s="321" t="str">
        <f>'A) Base RI'!B173</f>
        <v>Ogens</v>
      </c>
      <c r="C171" s="101">
        <f>'B) D RI'!U173</f>
        <v>7440.7528632478625</v>
      </c>
      <c r="D171" s="117">
        <f>'E) Fact soc'!G177/C171</f>
        <v>17.439358762091757</v>
      </c>
      <c r="E171" s="144">
        <f>'H) Péréquation directe'!I182/C171</f>
        <v>-5.5999738467429836</v>
      </c>
      <c r="F171" s="117">
        <f>+'I) Dépenses thématiques'!O171/'J) Plafonnement effort'!C171</f>
        <v>-2.1906569168494006</v>
      </c>
      <c r="G171" s="144">
        <f t="shared" si="9"/>
        <v>9.648727998499373</v>
      </c>
      <c r="H171" s="336">
        <f t="shared" si="10"/>
        <v>0</v>
      </c>
      <c r="I171" s="59">
        <f t="shared" si="11"/>
        <v>0</v>
      </c>
      <c r="J171" s="35">
        <f t="shared" si="12"/>
        <v>9.648727998499373</v>
      </c>
    </row>
    <row r="172" spans="1:10" x14ac:dyDescent="0.25">
      <c r="A172" s="51">
        <f>'A) Base RI'!A174</f>
        <v>5683</v>
      </c>
      <c r="B172" s="321" t="str">
        <f>'A) Base RI'!B174</f>
        <v>Prévonloup</v>
      </c>
      <c r="C172" s="101">
        <f>'B) D RI'!U174</f>
        <v>3896.046081081081</v>
      </c>
      <c r="D172" s="117">
        <f>'E) Fact soc'!G178/C172</f>
        <v>18.21147593630225</v>
      </c>
      <c r="E172" s="144">
        <f>'H) Péréquation directe'!I183/C172</f>
        <v>-3.8226732197425322</v>
      </c>
      <c r="F172" s="117">
        <f>+'I) Dépenses thématiques'!O172/'J) Plafonnement effort'!C172</f>
        <v>-24.583787102598826</v>
      </c>
      <c r="G172" s="144">
        <f t="shared" si="9"/>
        <v>-10.194984386039108</v>
      </c>
      <c r="H172" s="336">
        <f t="shared" si="10"/>
        <v>0</v>
      </c>
      <c r="I172" s="59">
        <f t="shared" si="11"/>
        <v>0</v>
      </c>
      <c r="J172" s="35">
        <f t="shared" si="12"/>
        <v>-10.194984386039108</v>
      </c>
    </row>
    <row r="173" spans="1:10" x14ac:dyDescent="0.25">
      <c r="A173" s="51">
        <f>'A) Base RI'!A175</f>
        <v>5684</v>
      </c>
      <c r="B173" s="321" t="str">
        <f>'A) Base RI'!B175</f>
        <v>Rossenges</v>
      </c>
      <c r="C173" s="101">
        <f>'B) D RI'!U175</f>
        <v>2935.9523333333332</v>
      </c>
      <c r="D173" s="117">
        <f>'E) Fact soc'!G179/C173</f>
        <v>15.015158505543186</v>
      </c>
      <c r="E173" s="144">
        <f>'H) Péréquation directe'!I184/C173</f>
        <v>16.368124007548062</v>
      </c>
      <c r="F173" s="117">
        <f>+'I) Dépenses thématiques'!O173/'J) Plafonnement effort'!C173</f>
        <v>0</v>
      </c>
      <c r="G173" s="144">
        <f t="shared" si="9"/>
        <v>31.383282513091245</v>
      </c>
      <c r="H173" s="336">
        <f t="shared" si="10"/>
        <v>0</v>
      </c>
      <c r="I173" s="59">
        <f t="shared" si="11"/>
        <v>0</v>
      </c>
      <c r="J173" s="35">
        <f t="shared" si="12"/>
        <v>31.383282513091245</v>
      </c>
    </row>
    <row r="174" spans="1:10" x14ac:dyDescent="0.25">
      <c r="A174" s="51">
        <f>'A) Base RI'!A176</f>
        <v>5688</v>
      </c>
      <c r="B174" s="321" t="str">
        <f>'A) Base RI'!B176</f>
        <v>Syens</v>
      </c>
      <c r="C174" s="101">
        <f>'B) D RI'!U176</f>
        <v>6288.5417989418002</v>
      </c>
      <c r="D174" s="117">
        <f>'E) Fact soc'!G180/C174</f>
        <v>17.470640315745733</v>
      </c>
      <c r="E174" s="144">
        <f>'H) Péréquation directe'!I185/C174</f>
        <v>14.578445197373453</v>
      </c>
      <c r="F174" s="117">
        <f>+'I) Dépenses thématiques'!O174/'J) Plafonnement effort'!C174</f>
        <v>-2.4937147818293641</v>
      </c>
      <c r="G174" s="144">
        <f t="shared" si="9"/>
        <v>29.555370731289823</v>
      </c>
      <c r="H174" s="336">
        <f t="shared" si="10"/>
        <v>0</v>
      </c>
      <c r="I174" s="59">
        <f t="shared" si="11"/>
        <v>0</v>
      </c>
      <c r="J174" s="35">
        <f t="shared" si="12"/>
        <v>29.555370731289823</v>
      </c>
    </row>
    <row r="175" spans="1:10" x14ac:dyDescent="0.25">
      <c r="A175" s="51">
        <f>'A) Base RI'!A177</f>
        <v>5690</v>
      </c>
      <c r="B175" s="321" t="str">
        <f>'A) Base RI'!B177</f>
        <v>Villars-le-Comte</v>
      </c>
      <c r="C175" s="101">
        <f>'B) D RI'!U177</f>
        <v>3582.5831666666668</v>
      </c>
      <c r="D175" s="117">
        <f>'E) Fact soc'!G181/C175</f>
        <v>18.318864085953297</v>
      </c>
      <c r="E175" s="144">
        <f>'H) Péréquation directe'!I186/C175</f>
        <v>-0.51411824497213543</v>
      </c>
      <c r="F175" s="117">
        <f>+'I) Dépenses thématiques'!O175/'J) Plafonnement effort'!C175</f>
        <v>-0.89213913454019089</v>
      </c>
      <c r="G175" s="144">
        <f t="shared" si="9"/>
        <v>16.912606706440972</v>
      </c>
      <c r="H175" s="336">
        <f t="shared" si="10"/>
        <v>0</v>
      </c>
      <c r="I175" s="59">
        <f t="shared" si="11"/>
        <v>0</v>
      </c>
      <c r="J175" s="35">
        <f t="shared" si="12"/>
        <v>16.912606706440972</v>
      </c>
    </row>
    <row r="176" spans="1:10" x14ac:dyDescent="0.25">
      <c r="A176" s="51">
        <f>'A) Base RI'!A178</f>
        <v>5692</v>
      </c>
      <c r="B176" s="321" t="str">
        <f>'A) Base RI'!B178</f>
        <v>Vucherens</v>
      </c>
      <c r="C176" s="101">
        <f>'B) D RI'!U178</f>
        <v>17338.328227848098</v>
      </c>
      <c r="D176" s="117">
        <f>'E) Fact soc'!G182/C176</f>
        <v>17.538746675348559</v>
      </c>
      <c r="E176" s="144">
        <f>'H) Péréquation directe'!I187/C176</f>
        <v>2.6234282938034346</v>
      </c>
      <c r="F176" s="117">
        <f>+'I) Dépenses thématiques'!O176/'J) Plafonnement effort'!C176</f>
        <v>-2.7176962519262426</v>
      </c>
      <c r="G176" s="144">
        <f t="shared" si="9"/>
        <v>17.444478717225753</v>
      </c>
      <c r="H176" s="336">
        <f t="shared" si="10"/>
        <v>0</v>
      </c>
      <c r="I176" s="59">
        <f t="shared" si="11"/>
        <v>0</v>
      </c>
      <c r="J176" s="35">
        <f t="shared" si="12"/>
        <v>17.444478717225753</v>
      </c>
    </row>
    <row r="177" spans="1:10" x14ac:dyDescent="0.25">
      <c r="A177" s="51">
        <f>'A) Base RI'!A179</f>
        <v>5693</v>
      </c>
      <c r="B177" s="321" t="str">
        <f>'A) Base RI'!B179</f>
        <v>Montanaire</v>
      </c>
      <c r="C177" s="101">
        <f>'B) D RI'!U179</f>
        <v>71023.934305555566</v>
      </c>
      <c r="D177" s="117">
        <f>'E) Fact soc'!G183/C177</f>
        <v>18.231887446763341</v>
      </c>
      <c r="E177" s="144">
        <f>'H) Péréquation directe'!I188/C177</f>
        <v>-3.967744857361462</v>
      </c>
      <c r="F177" s="117">
        <f>+'I) Dépenses thématiques'!O177/'J) Plafonnement effort'!C177</f>
        <v>-5.7500957989401424</v>
      </c>
      <c r="G177" s="144">
        <f t="shared" si="9"/>
        <v>8.5140467904617374</v>
      </c>
      <c r="H177" s="336">
        <f t="shared" si="10"/>
        <v>0</v>
      </c>
      <c r="I177" s="59">
        <f t="shared" si="11"/>
        <v>0</v>
      </c>
      <c r="J177" s="35">
        <f t="shared" si="12"/>
        <v>8.5140467904617374</v>
      </c>
    </row>
    <row r="178" spans="1:10" x14ac:dyDescent="0.25">
      <c r="A178" s="51">
        <f>'A) Base RI'!A180</f>
        <v>5701</v>
      </c>
      <c r="B178" s="321" t="str">
        <f>'A) Base RI'!B180</f>
        <v>Arnex-sur-Nyon</v>
      </c>
      <c r="C178" s="101">
        <f>'B) D RI'!U180</f>
        <v>14557.077428571431</v>
      </c>
      <c r="D178" s="117">
        <f>'E) Fact soc'!G184/C178</f>
        <v>19.279079082714034</v>
      </c>
      <c r="E178" s="144">
        <f>'H) Péréquation directe'!I189/C178</f>
        <v>16.338993961455269</v>
      </c>
      <c r="F178" s="117">
        <f>+'I) Dépenses thématiques'!O178/'J) Plafonnement effort'!C178</f>
        <v>0</v>
      </c>
      <c r="G178" s="144">
        <f t="shared" si="9"/>
        <v>35.618073044169307</v>
      </c>
      <c r="H178" s="336">
        <f t="shared" si="10"/>
        <v>0</v>
      </c>
      <c r="I178" s="59">
        <f t="shared" si="11"/>
        <v>0</v>
      </c>
      <c r="J178" s="35">
        <f t="shared" si="12"/>
        <v>35.618073044169307</v>
      </c>
    </row>
    <row r="179" spans="1:10" x14ac:dyDescent="0.25">
      <c r="A179" s="51">
        <f>'A) Base RI'!A181</f>
        <v>5702</v>
      </c>
      <c r="B179" s="321" t="str">
        <f>'A) Base RI'!B181</f>
        <v>Arzier-Le Muids</v>
      </c>
      <c r="C179" s="101">
        <f>'B) D RI'!U181</f>
        <v>156245.38328125002</v>
      </c>
      <c r="D179" s="117">
        <f>'E) Fact soc'!G185/C179</f>
        <v>19.876495465045618</v>
      </c>
      <c r="E179" s="144">
        <f>'H) Péréquation directe'!I190/C179</f>
        <v>13.951293176188242</v>
      </c>
      <c r="F179" s="117">
        <f>+'I) Dépenses thématiques'!O179/'J) Plafonnement effort'!C179</f>
        <v>-1.8506264830522958</v>
      </c>
      <c r="G179" s="144">
        <f t="shared" si="9"/>
        <v>31.977162158181564</v>
      </c>
      <c r="H179" s="336">
        <f t="shared" si="10"/>
        <v>0</v>
      </c>
      <c r="I179" s="59">
        <f t="shared" si="11"/>
        <v>0</v>
      </c>
      <c r="J179" s="35">
        <f t="shared" si="12"/>
        <v>31.977162158181564</v>
      </c>
    </row>
    <row r="180" spans="1:10" x14ac:dyDescent="0.25">
      <c r="A180" s="51">
        <f>'A) Base RI'!A182</f>
        <v>5703</v>
      </c>
      <c r="B180" s="321" t="str">
        <f>'A) Base RI'!B182</f>
        <v>Bassins</v>
      </c>
      <c r="C180" s="101">
        <f>'B) D RI'!U182</f>
        <v>56627.812818532817</v>
      </c>
      <c r="D180" s="117">
        <f>'E) Fact soc'!G186/C180</f>
        <v>18.779540165190038</v>
      </c>
      <c r="E180" s="144">
        <f>'H) Péréquation directe'!I191/C180</f>
        <v>12.991115784909571</v>
      </c>
      <c r="F180" s="117">
        <f>+'I) Dépenses thématiques'!O180/'J) Plafonnement effort'!C180</f>
        <v>-3.8774530097754667</v>
      </c>
      <c r="G180" s="144">
        <f t="shared" si="9"/>
        <v>27.893202940324144</v>
      </c>
      <c r="H180" s="336">
        <f t="shared" si="10"/>
        <v>0</v>
      </c>
      <c r="I180" s="59">
        <f t="shared" si="11"/>
        <v>0</v>
      </c>
      <c r="J180" s="35">
        <f t="shared" si="12"/>
        <v>27.893202940324144</v>
      </c>
    </row>
    <row r="181" spans="1:10" x14ac:dyDescent="0.25">
      <c r="A181" s="51">
        <f>'A) Base RI'!A183</f>
        <v>5704</v>
      </c>
      <c r="B181" s="321" t="str">
        <f>'A) Base RI'!B183</f>
        <v>Begnins</v>
      </c>
      <c r="C181" s="101">
        <f>'B) D RI'!U183</f>
        <v>128280.7823880597</v>
      </c>
      <c r="D181" s="117">
        <f>'E) Fact soc'!G187/C181</f>
        <v>22.133337501456076</v>
      </c>
      <c r="E181" s="144">
        <f>'H) Péréquation directe'!I192/C181</f>
        <v>14.516420402862455</v>
      </c>
      <c r="F181" s="117">
        <f>+'I) Dépenses thématiques'!O181/'J) Plafonnement effort'!C181</f>
        <v>0</v>
      </c>
      <c r="G181" s="144">
        <f t="shared" si="9"/>
        <v>36.649757904318534</v>
      </c>
      <c r="H181" s="336">
        <f t="shared" si="10"/>
        <v>0</v>
      </c>
      <c r="I181" s="59">
        <f t="shared" si="11"/>
        <v>0</v>
      </c>
      <c r="J181" s="35">
        <f t="shared" si="12"/>
        <v>36.649757904318534</v>
      </c>
    </row>
    <row r="182" spans="1:10" x14ac:dyDescent="0.25">
      <c r="A182" s="51">
        <f>'A) Base RI'!A184</f>
        <v>5705</v>
      </c>
      <c r="B182" s="321" t="str">
        <f>'A) Base RI'!B184</f>
        <v>Bogis-Bossey</v>
      </c>
      <c r="C182" s="101">
        <f>'B) D RI'!U184</f>
        <v>55070.038857142863</v>
      </c>
      <c r="D182" s="117">
        <f>'E) Fact soc'!G188/C182</f>
        <v>19.010938329528177</v>
      </c>
      <c r="E182" s="144">
        <f>'H) Péréquation directe'!I193/C182</f>
        <v>16.456146743827677</v>
      </c>
      <c r="F182" s="117">
        <f>+'I) Dépenses thématiques'!O182/'J) Plafonnement effort'!C182</f>
        <v>0</v>
      </c>
      <c r="G182" s="144">
        <f t="shared" si="9"/>
        <v>35.467085073355854</v>
      </c>
      <c r="H182" s="336">
        <f t="shared" si="10"/>
        <v>0</v>
      </c>
      <c r="I182" s="59">
        <f t="shared" si="11"/>
        <v>0</v>
      </c>
      <c r="J182" s="35">
        <f t="shared" si="12"/>
        <v>35.467085073355854</v>
      </c>
    </row>
    <row r="183" spans="1:10" x14ac:dyDescent="0.25">
      <c r="A183" s="51">
        <f>'A) Base RI'!A185</f>
        <v>5706</v>
      </c>
      <c r="B183" s="321" t="str">
        <f>'A) Base RI'!B185</f>
        <v>Borex</v>
      </c>
      <c r="C183" s="101">
        <f>'B) D RI'!U185</f>
        <v>71838.84494252874</v>
      </c>
      <c r="D183" s="117">
        <f>'E) Fact soc'!G189/C183</f>
        <v>19.771642959620166</v>
      </c>
      <c r="E183" s="144">
        <f>'H) Péréquation directe'!I194/C183</f>
        <v>15.946309212474008</v>
      </c>
      <c r="F183" s="117">
        <f>+'I) Dépenses thématiques'!O183/'J) Plafonnement effort'!C183</f>
        <v>0</v>
      </c>
      <c r="G183" s="144">
        <f t="shared" si="9"/>
        <v>35.717952172094172</v>
      </c>
      <c r="H183" s="336">
        <f t="shared" si="10"/>
        <v>0</v>
      </c>
      <c r="I183" s="59">
        <f t="shared" si="11"/>
        <v>0</v>
      </c>
      <c r="J183" s="35">
        <f t="shared" si="12"/>
        <v>35.717952172094172</v>
      </c>
    </row>
    <row r="184" spans="1:10" x14ac:dyDescent="0.25">
      <c r="A184" s="51">
        <f>'A) Base RI'!A186</f>
        <v>5707</v>
      </c>
      <c r="B184" s="321" t="str">
        <f>'A) Base RI'!B186</f>
        <v>Chavannes-de-Bogis</v>
      </c>
      <c r="C184" s="101">
        <f>'B) D RI'!U186</f>
        <v>85072.573841807927</v>
      </c>
      <c r="D184" s="117">
        <f>'E) Fact soc'!G190/C184</f>
        <v>21.381508559173557</v>
      </c>
      <c r="E184" s="144">
        <f>'H) Péréquation directe'!I195/C184</f>
        <v>15.465350071511551</v>
      </c>
      <c r="F184" s="117">
        <f>+'I) Dépenses thématiques'!O184/'J) Plafonnement effort'!C184</f>
        <v>0</v>
      </c>
      <c r="G184" s="144">
        <f t="shared" si="9"/>
        <v>36.846858630685105</v>
      </c>
      <c r="H184" s="336">
        <f t="shared" si="10"/>
        <v>0</v>
      </c>
      <c r="I184" s="59">
        <f t="shared" si="11"/>
        <v>0</v>
      </c>
      <c r="J184" s="35">
        <f t="shared" si="12"/>
        <v>36.846858630685105</v>
      </c>
    </row>
    <row r="185" spans="1:10" x14ac:dyDescent="0.25">
      <c r="A185" s="51">
        <f>'A) Base RI'!A187</f>
        <v>5708</v>
      </c>
      <c r="B185" s="321" t="str">
        <f>'A) Base RI'!B187</f>
        <v>Chavannes-des-Bois</v>
      </c>
      <c r="C185" s="101">
        <f>'B) D RI'!U187</f>
        <v>57314.783389830503</v>
      </c>
      <c r="D185" s="117">
        <f>'E) Fact soc'!G191/C185</f>
        <v>17.397060759160659</v>
      </c>
      <c r="E185" s="144">
        <f>'H) Péréquation directe'!I196/C185</f>
        <v>16.48725074806724</v>
      </c>
      <c r="F185" s="117">
        <f>+'I) Dépenses thématiques'!O185/'J) Plafonnement effort'!C185</f>
        <v>0</v>
      </c>
      <c r="G185" s="144">
        <f t="shared" si="9"/>
        <v>33.884311507227899</v>
      </c>
      <c r="H185" s="336">
        <f t="shared" si="10"/>
        <v>0</v>
      </c>
      <c r="I185" s="59">
        <f t="shared" si="11"/>
        <v>0</v>
      </c>
      <c r="J185" s="35">
        <f t="shared" si="12"/>
        <v>33.884311507227899</v>
      </c>
    </row>
    <row r="186" spans="1:10" x14ac:dyDescent="0.25">
      <c r="A186" s="51">
        <f>'A) Base RI'!A188</f>
        <v>5709</v>
      </c>
      <c r="B186" s="321" t="str">
        <f>'A) Base RI'!B188</f>
        <v>Chéserex</v>
      </c>
      <c r="C186" s="101">
        <f>'B) D RI'!U188</f>
        <v>72047.552456140344</v>
      </c>
      <c r="D186" s="117">
        <f>'E) Fact soc'!G192/C186</f>
        <v>27.714176460308849</v>
      </c>
      <c r="E186" s="144">
        <f>'H) Péréquation directe'!I197/C186</f>
        <v>15.804965861068974</v>
      </c>
      <c r="F186" s="117">
        <f>+'I) Dépenses thématiques'!O186/'J) Plafonnement effort'!C186</f>
        <v>0</v>
      </c>
      <c r="G186" s="144">
        <f t="shared" si="9"/>
        <v>43.519142321377821</v>
      </c>
      <c r="H186" s="336">
        <f t="shared" si="10"/>
        <v>0</v>
      </c>
      <c r="I186" s="59">
        <f t="shared" si="11"/>
        <v>0</v>
      </c>
      <c r="J186" s="35">
        <f t="shared" si="12"/>
        <v>43.519142321377821</v>
      </c>
    </row>
    <row r="187" spans="1:10" x14ac:dyDescent="0.25">
      <c r="A187" s="51">
        <f>'A) Base RI'!A189</f>
        <v>5710</v>
      </c>
      <c r="B187" s="321" t="str">
        <f>'A) Base RI'!B189</f>
        <v>Coinsins</v>
      </c>
      <c r="C187" s="101">
        <f>'B) D RI'!U189</f>
        <v>82032.182941176477</v>
      </c>
      <c r="D187" s="117">
        <f>'E) Fact soc'!G193/C187</f>
        <v>31.109706660178038</v>
      </c>
      <c r="E187" s="144">
        <f>'H) Péréquation directe'!I198/C187</f>
        <v>13.524542268860689</v>
      </c>
      <c r="F187" s="117">
        <f>+'I) Dépenses thématiques'!O187/'J) Plafonnement effort'!C187</f>
        <v>0</v>
      </c>
      <c r="G187" s="144">
        <f t="shared" si="9"/>
        <v>44.634248929038726</v>
      </c>
      <c r="H187" s="336">
        <f t="shared" si="10"/>
        <v>0</v>
      </c>
      <c r="I187" s="59">
        <f t="shared" si="11"/>
        <v>0</v>
      </c>
      <c r="J187" s="35">
        <f t="shared" si="12"/>
        <v>44.634248929038726</v>
      </c>
    </row>
    <row r="188" spans="1:10" x14ac:dyDescent="0.25">
      <c r="A188" s="51">
        <f>'A) Base RI'!A190</f>
        <v>5711</v>
      </c>
      <c r="B188" s="321" t="str">
        <f>'A) Base RI'!B190</f>
        <v>Commugny</v>
      </c>
      <c r="C188" s="101">
        <f>'B) D RI'!U190</f>
        <v>253155.78673414301</v>
      </c>
      <c r="D188" s="117">
        <f>'E) Fact soc'!G194/C188</f>
        <v>24.519555314877277</v>
      </c>
      <c r="E188" s="144">
        <f>'H) Péréquation directe'!I199/C188</f>
        <v>13.68662806613152</v>
      </c>
      <c r="F188" s="117">
        <f>+'I) Dépenses thématiques'!O188/'J) Plafonnement effort'!C188</f>
        <v>0</v>
      </c>
      <c r="G188" s="144">
        <f t="shared" si="9"/>
        <v>38.206183381008799</v>
      </c>
      <c r="H188" s="336">
        <f t="shared" si="10"/>
        <v>0</v>
      </c>
      <c r="I188" s="59">
        <f t="shared" si="11"/>
        <v>0</v>
      </c>
      <c r="J188" s="35">
        <f t="shared" si="12"/>
        <v>38.206183381008799</v>
      </c>
    </row>
    <row r="189" spans="1:10" x14ac:dyDescent="0.25">
      <c r="A189" s="51">
        <f>'A) Base RI'!A191</f>
        <v>5712</v>
      </c>
      <c r="B189" s="321" t="str">
        <f>'A) Base RI'!B191</f>
        <v>Coppet</v>
      </c>
      <c r="C189" s="101">
        <f>'B) D RI'!U191</f>
        <v>325753.23345911951</v>
      </c>
      <c r="D189" s="117">
        <f>'E) Fact soc'!G195/C189</f>
        <v>27.683983034159191</v>
      </c>
      <c r="E189" s="144">
        <f>'H) Péréquation directe'!I200/C189</f>
        <v>13.315556484853939</v>
      </c>
      <c r="F189" s="117">
        <f>+'I) Dépenses thématiques'!O189/'J) Plafonnement effort'!C189</f>
        <v>0</v>
      </c>
      <c r="G189" s="144">
        <f t="shared" si="9"/>
        <v>40.999539519013126</v>
      </c>
      <c r="H189" s="336">
        <f t="shared" si="10"/>
        <v>0</v>
      </c>
      <c r="I189" s="59">
        <f t="shared" si="11"/>
        <v>0</v>
      </c>
      <c r="J189" s="35">
        <f t="shared" si="12"/>
        <v>40.999539519013126</v>
      </c>
    </row>
    <row r="190" spans="1:10" x14ac:dyDescent="0.25">
      <c r="A190" s="51">
        <f>'A) Base RI'!A192</f>
        <v>5713</v>
      </c>
      <c r="B190" s="321" t="str">
        <f>'A) Base RI'!B192</f>
        <v>Crans-près-Céligny</v>
      </c>
      <c r="C190" s="101">
        <f>'B) D RI'!U192</f>
        <v>239255.01584905662</v>
      </c>
      <c r="D190" s="117">
        <f>'E) Fact soc'!G196/C190</f>
        <v>27.067101766287006</v>
      </c>
      <c r="E190" s="144">
        <f>'H) Péréquation directe'!I201/C190</f>
        <v>13.602106944249346</v>
      </c>
      <c r="F190" s="117">
        <f>+'I) Dépenses thématiques'!O190/'J) Plafonnement effort'!C190</f>
        <v>0</v>
      </c>
      <c r="G190" s="144">
        <f t="shared" si="9"/>
        <v>40.669208710536353</v>
      </c>
      <c r="H190" s="336">
        <f t="shared" si="10"/>
        <v>0</v>
      </c>
      <c r="I190" s="59">
        <f t="shared" si="11"/>
        <v>0</v>
      </c>
      <c r="J190" s="35">
        <f t="shared" si="12"/>
        <v>40.669208710536353</v>
      </c>
    </row>
    <row r="191" spans="1:10" x14ac:dyDescent="0.25">
      <c r="A191" s="51">
        <f>'A) Base RI'!A193</f>
        <v>5714</v>
      </c>
      <c r="B191" s="321" t="str">
        <f>'A) Base RI'!B193</f>
        <v>Crassier</v>
      </c>
      <c r="C191" s="101">
        <f>'B) D RI'!U193</f>
        <v>82327.162031250002</v>
      </c>
      <c r="D191" s="117">
        <f>'E) Fact soc'!G197/C191</f>
        <v>22.330532902884848</v>
      </c>
      <c r="E191" s="144">
        <f>'H) Péréquation directe'!I202/C191</f>
        <v>15.648959014701708</v>
      </c>
      <c r="F191" s="117">
        <f>+'I) Dépenses thématiques'!O191/'J) Plafonnement effort'!C191</f>
        <v>0</v>
      </c>
      <c r="G191" s="144">
        <f t="shared" si="9"/>
        <v>37.979491917586557</v>
      </c>
      <c r="H191" s="336">
        <f t="shared" si="10"/>
        <v>0</v>
      </c>
      <c r="I191" s="59">
        <f t="shared" si="11"/>
        <v>0</v>
      </c>
      <c r="J191" s="35">
        <f t="shared" si="12"/>
        <v>37.979491917586557</v>
      </c>
    </row>
    <row r="192" spans="1:10" x14ac:dyDescent="0.25">
      <c r="A192" s="51">
        <f>'A) Base RI'!A194</f>
        <v>5715</v>
      </c>
      <c r="B192" s="321" t="str">
        <f>'A) Base RI'!B194</f>
        <v>Duillier</v>
      </c>
      <c r="C192" s="101">
        <f>'B) D RI'!U194</f>
        <v>59384.712424242425</v>
      </c>
      <c r="D192" s="117">
        <f>'E) Fact soc'!G198/C192</f>
        <v>16.255081829141552</v>
      </c>
      <c r="E192" s="144">
        <f>'H) Péréquation directe'!I203/C192</f>
        <v>16.370259963938658</v>
      </c>
      <c r="F192" s="117">
        <f>+'I) Dépenses thématiques'!O192/'J) Plafonnement effort'!C192</f>
        <v>0</v>
      </c>
      <c r="G192" s="144">
        <f t="shared" si="9"/>
        <v>32.62534179308021</v>
      </c>
      <c r="H192" s="336">
        <f t="shared" si="10"/>
        <v>0</v>
      </c>
      <c r="I192" s="59">
        <f t="shared" si="11"/>
        <v>0</v>
      </c>
      <c r="J192" s="35">
        <f t="shared" si="12"/>
        <v>32.62534179308021</v>
      </c>
    </row>
    <row r="193" spans="1:10" x14ac:dyDescent="0.25">
      <c r="A193" s="51">
        <f>'A) Base RI'!A195</f>
        <v>5716</v>
      </c>
      <c r="B193" s="321" t="str">
        <f>'A) Base RI'!B195</f>
        <v>Eysins</v>
      </c>
      <c r="C193" s="101">
        <f>'B) D RI'!U195</f>
        <v>136046.47409836066</v>
      </c>
      <c r="D193" s="117">
        <f>'E) Fact soc'!G199/C193</f>
        <v>25.86254329634432</v>
      </c>
      <c r="E193" s="144">
        <f>'H) Péréquation directe'!I204/C193</f>
        <v>14.515555651079611</v>
      </c>
      <c r="F193" s="117">
        <f>+'I) Dépenses thématiques'!O193/'J) Plafonnement effort'!C193</f>
        <v>0</v>
      </c>
      <c r="G193" s="144">
        <f t="shared" si="9"/>
        <v>40.378098947423929</v>
      </c>
      <c r="H193" s="336">
        <f t="shared" si="10"/>
        <v>0</v>
      </c>
      <c r="I193" s="59">
        <f t="shared" si="11"/>
        <v>0</v>
      </c>
      <c r="J193" s="35">
        <f t="shared" si="12"/>
        <v>40.378098947423929</v>
      </c>
    </row>
    <row r="194" spans="1:10" x14ac:dyDescent="0.25">
      <c r="A194" s="51">
        <f>'A) Base RI'!A196</f>
        <v>5717</v>
      </c>
      <c r="B194" s="321" t="str">
        <f>'A) Base RI'!B196</f>
        <v>Founex</v>
      </c>
      <c r="C194" s="101">
        <f>'B) D RI'!U196</f>
        <v>342145.93614035088</v>
      </c>
      <c r="D194" s="117">
        <f>'E) Fact soc'!G200/C194</f>
        <v>25.9589842020549</v>
      </c>
      <c r="E194" s="144">
        <f>'H) Péréquation directe'!I205/C194</f>
        <v>13.096395273879196</v>
      </c>
      <c r="F194" s="117">
        <f>+'I) Dépenses thématiques'!O194/'J) Plafonnement effort'!C194</f>
        <v>0</v>
      </c>
      <c r="G194" s="144">
        <f t="shared" si="9"/>
        <v>39.055379475934096</v>
      </c>
      <c r="H194" s="336">
        <f t="shared" si="10"/>
        <v>0</v>
      </c>
      <c r="I194" s="59">
        <f t="shared" si="11"/>
        <v>0</v>
      </c>
      <c r="J194" s="35">
        <f t="shared" si="12"/>
        <v>39.055379475934096</v>
      </c>
    </row>
    <row r="195" spans="1:10" x14ac:dyDescent="0.25">
      <c r="A195" s="51">
        <f>'A) Base RI'!A197</f>
        <v>5718</v>
      </c>
      <c r="B195" s="321" t="str">
        <f>'A) Base RI'!B197</f>
        <v>Genolier</v>
      </c>
      <c r="C195" s="101">
        <f>'B) D RI'!U197</f>
        <v>180573.80690909096</v>
      </c>
      <c r="D195" s="117">
        <f>'E) Fact soc'!G201/C195</f>
        <v>25.539776159725495</v>
      </c>
      <c r="E195" s="144">
        <f>'H) Péréquation directe'!I206/C195</f>
        <v>14.086688561932359</v>
      </c>
      <c r="F195" s="117">
        <f>+'I) Dépenses thématiques'!O195/'J) Plafonnement effort'!C195</f>
        <v>0</v>
      </c>
      <c r="G195" s="144">
        <f t="shared" si="9"/>
        <v>39.626464721657854</v>
      </c>
      <c r="H195" s="336">
        <f t="shared" si="10"/>
        <v>0</v>
      </c>
      <c r="I195" s="59">
        <f t="shared" si="11"/>
        <v>0</v>
      </c>
      <c r="J195" s="35">
        <f t="shared" si="12"/>
        <v>39.626464721657854</v>
      </c>
    </row>
    <row r="196" spans="1:10" x14ac:dyDescent="0.25">
      <c r="A196" s="51">
        <f>'A) Base RI'!A198</f>
        <v>5719</v>
      </c>
      <c r="B196" s="321" t="str">
        <f>'A) Base RI'!B198</f>
        <v>Gingins</v>
      </c>
      <c r="C196" s="101">
        <f>'B) D RI'!U198</f>
        <v>131481.24994152045</v>
      </c>
      <c r="D196" s="117">
        <f>'E) Fact soc'!G202/C196</f>
        <v>28.640045757542445</v>
      </c>
      <c r="E196" s="144">
        <f>'H) Péréquation directe'!I207/C196</f>
        <v>14.458877539970045</v>
      </c>
      <c r="F196" s="117">
        <f>+'I) Dépenses thématiques'!O196/'J) Plafonnement effort'!C196</f>
        <v>0</v>
      </c>
      <c r="G196" s="144">
        <f t="shared" si="9"/>
        <v>43.098923297512492</v>
      </c>
      <c r="H196" s="336">
        <f t="shared" si="10"/>
        <v>0</v>
      </c>
      <c r="I196" s="59">
        <f t="shared" si="11"/>
        <v>0</v>
      </c>
      <c r="J196" s="35">
        <f t="shared" si="12"/>
        <v>43.098923297512492</v>
      </c>
    </row>
    <row r="197" spans="1:10" x14ac:dyDescent="0.25">
      <c r="A197" s="51">
        <f>'A) Base RI'!A199</f>
        <v>5720</v>
      </c>
      <c r="B197" s="321" t="str">
        <f>'A) Base RI'!B199</f>
        <v>Givrins</v>
      </c>
      <c r="C197" s="101">
        <f>'B) D RI'!U199</f>
        <v>72468.135774134775</v>
      </c>
      <c r="D197" s="117">
        <f>'E) Fact soc'!G203/C197</f>
        <v>20.712326699426175</v>
      </c>
      <c r="E197" s="144">
        <f>'H) Péréquation directe'!I208/C197</f>
        <v>16.048268112586861</v>
      </c>
      <c r="F197" s="117">
        <f>+'I) Dépenses thématiques'!O197/'J) Plafonnement effort'!C197</f>
        <v>-0.61574688919774612</v>
      </c>
      <c r="G197" s="144">
        <f t="shared" si="9"/>
        <v>36.144847922815295</v>
      </c>
      <c r="H197" s="336">
        <f t="shared" si="10"/>
        <v>0</v>
      </c>
      <c r="I197" s="59">
        <f t="shared" si="11"/>
        <v>0</v>
      </c>
      <c r="J197" s="35">
        <f t="shared" si="12"/>
        <v>36.144847922815295</v>
      </c>
    </row>
    <row r="198" spans="1:10" x14ac:dyDescent="0.25">
      <c r="A198" s="51">
        <f>'A) Base RI'!A200</f>
        <v>5721</v>
      </c>
      <c r="B198" s="321" t="str">
        <f>'A) Base RI'!B200</f>
        <v>Gland</v>
      </c>
      <c r="C198" s="101">
        <f>'B) D RI'!U200</f>
        <v>601947.88112000003</v>
      </c>
      <c r="D198" s="117">
        <f>'E) Fact soc'!G204/C198</f>
        <v>21.505560577780319</v>
      </c>
      <c r="E198" s="144">
        <f>'H) Péréquation directe'!I209/C198</f>
        <v>5.6356538055827654</v>
      </c>
      <c r="F198" s="117">
        <f>+'I) Dépenses thématiques'!O198/'J) Plafonnement effort'!C198</f>
        <v>0</v>
      </c>
      <c r="G198" s="144">
        <f t="shared" ref="G198:G261" si="13">SUM(D198:F198)</f>
        <v>27.141214383363085</v>
      </c>
      <c r="H198" s="336">
        <f t="shared" ref="H198:H261" si="14">IF(G198&gt;H$4,H$4-G198,0)</f>
        <v>0</v>
      </c>
      <c r="I198" s="59">
        <f t="shared" ref="I198:I261" si="15">H198*C198</f>
        <v>0</v>
      </c>
      <c r="J198" s="35">
        <f t="shared" ref="J198:J261" si="16">G198+H198</f>
        <v>27.141214383363085</v>
      </c>
    </row>
    <row r="199" spans="1:10" x14ac:dyDescent="0.25">
      <c r="A199" s="51">
        <f>'A) Base RI'!A201</f>
        <v>5722</v>
      </c>
      <c r="B199" s="321" t="str">
        <f>'A) Base RI'!B201</f>
        <v>Grens</v>
      </c>
      <c r="C199" s="101">
        <f>'B) D RI'!U201</f>
        <v>25305.525322580648</v>
      </c>
      <c r="D199" s="117">
        <f>'E) Fact soc'!G205/C199</f>
        <v>19.05310869892843</v>
      </c>
      <c r="E199" s="144">
        <f>'H) Péréquation directe'!I210/C199</f>
        <v>16.297653302953268</v>
      </c>
      <c r="F199" s="117">
        <f>+'I) Dépenses thématiques'!O199/'J) Plafonnement effort'!C199</f>
        <v>0</v>
      </c>
      <c r="G199" s="144">
        <f t="shared" si="13"/>
        <v>35.350762001881698</v>
      </c>
      <c r="H199" s="336">
        <f t="shared" si="14"/>
        <v>0</v>
      </c>
      <c r="I199" s="59">
        <f t="shared" si="15"/>
        <v>0</v>
      </c>
      <c r="J199" s="35">
        <f t="shared" si="16"/>
        <v>35.350762001881698</v>
      </c>
    </row>
    <row r="200" spans="1:10" x14ac:dyDescent="0.25">
      <c r="A200" s="51">
        <f>'A) Base RI'!A202</f>
        <v>5723</v>
      </c>
      <c r="B200" s="321" t="str">
        <f>'A) Base RI'!B202</f>
        <v>Mies</v>
      </c>
      <c r="C200" s="101">
        <f>'B) D RI'!U202</f>
        <v>444775.70673469378</v>
      </c>
      <c r="D200" s="117">
        <f>'E) Fact soc'!G206/C200</f>
        <v>34.161787087444949</v>
      </c>
      <c r="E200" s="144">
        <f>'H) Péréquation directe'!I211/C200</f>
        <v>12.28457093178452</v>
      </c>
      <c r="F200" s="117">
        <f>+'I) Dépenses thématiques'!O200/'J) Plafonnement effort'!C200</f>
        <v>0</v>
      </c>
      <c r="G200" s="144">
        <f t="shared" si="13"/>
        <v>46.446358019229471</v>
      </c>
      <c r="H200" s="336">
        <f t="shared" si="14"/>
        <v>0</v>
      </c>
      <c r="I200" s="59">
        <f t="shared" si="15"/>
        <v>0</v>
      </c>
      <c r="J200" s="35">
        <f t="shared" si="16"/>
        <v>46.446358019229471</v>
      </c>
    </row>
    <row r="201" spans="1:10" x14ac:dyDescent="0.25">
      <c r="A201" s="51">
        <f>'A) Base RI'!A203</f>
        <v>5724</v>
      </c>
      <c r="B201" s="321" t="str">
        <f>'A) Base RI'!B203</f>
        <v>Nyon</v>
      </c>
      <c r="C201" s="101">
        <f>'B) D RI'!U203</f>
        <v>1315531.3963430012</v>
      </c>
      <c r="D201" s="117">
        <f>'E) Fact soc'!G207/C201</f>
        <v>21.864946029397466</v>
      </c>
      <c r="E201" s="144">
        <f>'H) Péréquation directe'!I212/C201</f>
        <v>6.2163833320634545</v>
      </c>
      <c r="F201" s="117">
        <f>+'I) Dépenses thématiques'!O201/'J) Plafonnement effort'!C201</f>
        <v>-0.41500269743510693</v>
      </c>
      <c r="G201" s="144">
        <f t="shared" si="13"/>
        <v>27.666326664025814</v>
      </c>
      <c r="H201" s="336">
        <f t="shared" si="14"/>
        <v>0</v>
      </c>
      <c r="I201" s="59">
        <f t="shared" si="15"/>
        <v>0</v>
      </c>
      <c r="J201" s="35">
        <f t="shared" si="16"/>
        <v>27.666326664025814</v>
      </c>
    </row>
    <row r="202" spans="1:10" x14ac:dyDescent="0.25">
      <c r="A202" s="51">
        <f>'A) Base RI'!A204</f>
        <v>5725</v>
      </c>
      <c r="B202" s="321" t="str">
        <f>'A) Base RI'!B204</f>
        <v>Prangins</v>
      </c>
      <c r="C202" s="101">
        <f>'B) D RI'!U204</f>
        <v>298233.5752040816</v>
      </c>
      <c r="D202" s="117">
        <f>'E) Fact soc'!G208/C202</f>
        <v>22.071574418712796</v>
      </c>
      <c r="E202" s="144">
        <f>'H) Péréquation directe'!I213/C202</f>
        <v>12.956047094741781</v>
      </c>
      <c r="F202" s="117">
        <f>+'I) Dépenses thématiques'!O202/'J) Plafonnement effort'!C202</f>
        <v>0</v>
      </c>
      <c r="G202" s="144">
        <f t="shared" si="13"/>
        <v>35.027621513454577</v>
      </c>
      <c r="H202" s="336">
        <f t="shared" si="14"/>
        <v>0</v>
      </c>
      <c r="I202" s="59">
        <f t="shared" si="15"/>
        <v>0</v>
      </c>
      <c r="J202" s="35">
        <f t="shared" si="16"/>
        <v>35.027621513454577</v>
      </c>
    </row>
    <row r="203" spans="1:10" x14ac:dyDescent="0.25">
      <c r="A203" s="51">
        <f>'A) Base RI'!A205</f>
        <v>5726</v>
      </c>
      <c r="B203" s="321" t="str">
        <f>'A) Base RI'!B205</f>
        <v>La Rippe</v>
      </c>
      <c r="C203" s="101">
        <f>'B) D RI'!U205</f>
        <v>56867.973846153851</v>
      </c>
      <c r="D203" s="117">
        <f>'E) Fact soc'!G209/C203</f>
        <v>18.051239858944122</v>
      </c>
      <c r="E203" s="144">
        <f>'H) Péréquation directe'!I214/C203</f>
        <v>15.753630048882055</v>
      </c>
      <c r="F203" s="117">
        <f>+'I) Dépenses thématiques'!O203/'J) Plafonnement effort'!C203</f>
        <v>0</v>
      </c>
      <c r="G203" s="144">
        <f t="shared" si="13"/>
        <v>33.804869907826173</v>
      </c>
      <c r="H203" s="336">
        <f t="shared" si="14"/>
        <v>0</v>
      </c>
      <c r="I203" s="59">
        <f t="shared" si="15"/>
        <v>0</v>
      </c>
      <c r="J203" s="35">
        <f t="shared" si="16"/>
        <v>33.804869907826173</v>
      </c>
    </row>
    <row r="204" spans="1:10" x14ac:dyDescent="0.25">
      <c r="A204" s="51">
        <f>'A) Base RI'!A206</f>
        <v>5727</v>
      </c>
      <c r="B204" s="321" t="str">
        <f>'A) Base RI'!B206</f>
        <v>Saint-Cergue</v>
      </c>
      <c r="C204" s="101">
        <f>'B) D RI'!U206</f>
        <v>100488.23186868687</v>
      </c>
      <c r="D204" s="117">
        <f>'E) Fact soc'!G210/C204</f>
        <v>18.405618300330016</v>
      </c>
      <c r="E204" s="144">
        <f>'H) Péréquation directe'!I215/C204</f>
        <v>9.7073142987421104</v>
      </c>
      <c r="F204" s="117">
        <f>+'I) Dépenses thématiques'!O204/'J) Plafonnement effort'!C204</f>
        <v>-2.6658386151481146</v>
      </c>
      <c r="G204" s="144">
        <f t="shared" si="13"/>
        <v>25.44709398392401</v>
      </c>
      <c r="H204" s="336">
        <f t="shared" si="14"/>
        <v>0</v>
      </c>
      <c r="I204" s="59">
        <f t="shared" si="15"/>
        <v>0</v>
      </c>
      <c r="J204" s="35">
        <f t="shared" si="16"/>
        <v>25.44709398392401</v>
      </c>
    </row>
    <row r="205" spans="1:10" x14ac:dyDescent="0.25">
      <c r="A205" s="51">
        <f>'A) Base RI'!A207</f>
        <v>5728</v>
      </c>
      <c r="B205" s="321" t="str">
        <f>'A) Base RI'!B207</f>
        <v>Signy-Avenex</v>
      </c>
      <c r="C205" s="101">
        <f>'B) D RI'!U207</f>
        <v>39144.261206896554</v>
      </c>
      <c r="D205" s="117">
        <f>'E) Fact soc'!G211/C205</f>
        <v>22.117830949636797</v>
      </c>
      <c r="E205" s="144">
        <f>'H) Péréquation directe'!I216/C205</f>
        <v>16.211256196131984</v>
      </c>
      <c r="F205" s="117">
        <f>+'I) Dépenses thématiques'!O205/'J) Plafonnement effort'!C205</f>
        <v>0</v>
      </c>
      <c r="G205" s="144">
        <f t="shared" si="13"/>
        <v>38.329087145768781</v>
      </c>
      <c r="H205" s="336">
        <f t="shared" si="14"/>
        <v>0</v>
      </c>
      <c r="I205" s="59">
        <f t="shared" si="15"/>
        <v>0</v>
      </c>
      <c r="J205" s="35">
        <f t="shared" si="16"/>
        <v>38.329087145768781</v>
      </c>
    </row>
    <row r="206" spans="1:10" x14ac:dyDescent="0.25">
      <c r="A206" s="51">
        <f>'A) Base RI'!A208</f>
        <v>5729</v>
      </c>
      <c r="B206" s="321" t="str">
        <f>'A) Base RI'!B208</f>
        <v>Tannay</v>
      </c>
      <c r="C206" s="101">
        <f>'B) D RI'!U208</f>
        <v>175758.22994535521</v>
      </c>
      <c r="D206" s="117">
        <f>'E) Fact soc'!G212/C206</f>
        <v>30.189508717878084</v>
      </c>
      <c r="E206" s="144">
        <f>'H) Péréquation directe'!I217/C206</f>
        <v>13.967823942682049</v>
      </c>
      <c r="F206" s="117">
        <f>+'I) Dépenses thématiques'!O206/'J) Plafonnement effort'!C206</f>
        <v>0</v>
      </c>
      <c r="G206" s="144">
        <f t="shared" si="13"/>
        <v>44.15733266056013</v>
      </c>
      <c r="H206" s="336">
        <f t="shared" si="14"/>
        <v>0</v>
      </c>
      <c r="I206" s="59">
        <f t="shared" si="15"/>
        <v>0</v>
      </c>
      <c r="J206" s="35">
        <f t="shared" si="16"/>
        <v>44.15733266056013</v>
      </c>
    </row>
    <row r="207" spans="1:10" x14ac:dyDescent="0.25">
      <c r="A207" s="51">
        <f>'A) Base RI'!A209</f>
        <v>5730</v>
      </c>
      <c r="B207" s="321" t="str">
        <f>'A) Base RI'!B209</f>
        <v>Trélex</v>
      </c>
      <c r="C207" s="101">
        <f>'B) D RI'!U209</f>
        <v>105206.62530214424</v>
      </c>
      <c r="D207" s="117">
        <f>'E) Fact soc'!G213/C207</f>
        <v>22.300106867078092</v>
      </c>
      <c r="E207" s="144">
        <f>'H) Péréquation directe'!I218/C207</f>
        <v>15.013038024580251</v>
      </c>
      <c r="F207" s="117">
        <f>+'I) Dépenses thématiques'!O207/'J) Plafonnement effort'!C207</f>
        <v>-0.1841749120592788</v>
      </c>
      <c r="G207" s="144">
        <f t="shared" si="13"/>
        <v>37.128969979599063</v>
      </c>
      <c r="H207" s="336">
        <f t="shared" si="14"/>
        <v>0</v>
      </c>
      <c r="I207" s="59">
        <f t="shared" si="15"/>
        <v>0</v>
      </c>
      <c r="J207" s="35">
        <f t="shared" si="16"/>
        <v>37.128969979599063</v>
      </c>
    </row>
    <row r="208" spans="1:10" x14ac:dyDescent="0.25">
      <c r="A208" s="51">
        <f>'A) Base RI'!A210</f>
        <v>5731</v>
      </c>
      <c r="B208" s="321" t="str">
        <f>'A) Base RI'!B210</f>
        <v>Le Vaud</v>
      </c>
      <c r="C208" s="101">
        <f>'B) D RI'!U210</f>
        <v>50893.333199999994</v>
      </c>
      <c r="D208" s="117">
        <f>'E) Fact soc'!G214/C208</f>
        <v>18.603884444994915</v>
      </c>
      <c r="E208" s="144">
        <f>'H) Péréquation directe'!I219/C208</f>
        <v>11.738330290946323</v>
      </c>
      <c r="F208" s="117">
        <f>+'I) Dépenses thématiques'!O208/'J) Plafonnement effort'!C208</f>
        <v>-2.0456014178468958</v>
      </c>
      <c r="G208" s="144">
        <f t="shared" si="13"/>
        <v>28.296613318094341</v>
      </c>
      <c r="H208" s="336">
        <f t="shared" si="14"/>
        <v>0</v>
      </c>
      <c r="I208" s="59">
        <f t="shared" si="15"/>
        <v>0</v>
      </c>
      <c r="J208" s="35">
        <f t="shared" si="16"/>
        <v>28.296613318094341</v>
      </c>
    </row>
    <row r="209" spans="1:10" x14ac:dyDescent="0.25">
      <c r="A209" s="51">
        <f>'A) Base RI'!A211</f>
        <v>5732</v>
      </c>
      <c r="B209" s="321" t="str">
        <f>'A) Base RI'!B211</f>
        <v>Vich</v>
      </c>
      <c r="C209" s="101">
        <f>'B) D RI'!U211</f>
        <v>63381.263823529407</v>
      </c>
      <c r="D209" s="117">
        <f>'E) Fact soc'!G215/C209</f>
        <v>21.881122218492486</v>
      </c>
      <c r="E209" s="144">
        <f>'H) Péréquation directe'!I220/C209</f>
        <v>16.350874186963885</v>
      </c>
      <c r="F209" s="117">
        <f>+'I) Dépenses thématiques'!O209/'J) Plafonnement effort'!C209</f>
        <v>-11.668136520751958</v>
      </c>
      <c r="G209" s="144">
        <f t="shared" si="13"/>
        <v>26.563859884704414</v>
      </c>
      <c r="H209" s="336">
        <f t="shared" si="14"/>
        <v>0</v>
      </c>
      <c r="I209" s="59">
        <f t="shared" si="15"/>
        <v>0</v>
      </c>
      <c r="J209" s="35">
        <f t="shared" si="16"/>
        <v>26.563859884704414</v>
      </c>
    </row>
    <row r="210" spans="1:10" x14ac:dyDescent="0.25">
      <c r="A210" s="51">
        <f>'A) Base RI'!A212</f>
        <v>5741</v>
      </c>
      <c r="B210" s="321" t="str">
        <f>'A) Base RI'!B212</f>
        <v>L'Abergement</v>
      </c>
      <c r="C210" s="101">
        <f>'B) D RI'!U212</f>
        <v>6650.8402880658423</v>
      </c>
      <c r="D210" s="117">
        <f>'E) Fact soc'!G216/C210</f>
        <v>19.802245342845506</v>
      </c>
      <c r="E210" s="144">
        <f>'H) Péréquation directe'!I221/C210</f>
        <v>-0.56329998266049297</v>
      </c>
      <c r="F210" s="117">
        <f>+'I) Dépenses thématiques'!O210/'J) Plafonnement effort'!C210</f>
        <v>-12.822983801560181</v>
      </c>
      <c r="G210" s="144">
        <f t="shared" si="13"/>
        <v>6.4159615586248329</v>
      </c>
      <c r="H210" s="336">
        <f t="shared" si="14"/>
        <v>0</v>
      </c>
      <c r="I210" s="59">
        <f t="shared" si="15"/>
        <v>0</v>
      </c>
      <c r="J210" s="35">
        <f t="shared" si="16"/>
        <v>6.4159615586248329</v>
      </c>
    </row>
    <row r="211" spans="1:10" x14ac:dyDescent="0.25">
      <c r="A211" s="51">
        <f>'A) Base RI'!A213</f>
        <v>5742</v>
      </c>
      <c r="B211" s="321" t="str">
        <f>'A) Base RI'!B213</f>
        <v>Agiez</v>
      </c>
      <c r="C211" s="101">
        <f>'B) D RI'!U213</f>
        <v>9444.339473684211</v>
      </c>
      <c r="D211" s="117">
        <f>'E) Fact soc'!G217/C211</f>
        <v>18.909495965826412</v>
      </c>
      <c r="E211" s="144">
        <f>'H) Péréquation directe'!I222/C211</f>
        <v>3.9830411096751819</v>
      </c>
      <c r="F211" s="117">
        <f>+'I) Dépenses thématiques'!O211/'J) Plafonnement effort'!C211</f>
        <v>-1.1681028246786431</v>
      </c>
      <c r="G211" s="144">
        <f t="shared" si="13"/>
        <v>21.724434250822949</v>
      </c>
      <c r="H211" s="336">
        <f t="shared" si="14"/>
        <v>0</v>
      </c>
      <c r="I211" s="59">
        <f t="shared" si="15"/>
        <v>0</v>
      </c>
      <c r="J211" s="35">
        <f t="shared" si="16"/>
        <v>21.724434250822949</v>
      </c>
    </row>
    <row r="212" spans="1:10" x14ac:dyDescent="0.25">
      <c r="A212" s="51">
        <f>'A) Base RI'!A214</f>
        <v>5743</v>
      </c>
      <c r="B212" s="321" t="str">
        <f>'A) Base RI'!B214</f>
        <v>Arnex-sur-Orbe</v>
      </c>
      <c r="C212" s="101">
        <f>'B) D RI'!U214</f>
        <v>17668.924178082194</v>
      </c>
      <c r="D212" s="117">
        <f>'E) Fact soc'!G218/C212</f>
        <v>19.789253076883167</v>
      </c>
      <c r="E212" s="144">
        <f>'H) Péréquation directe'!I223/C212</f>
        <v>1.6200284681012076</v>
      </c>
      <c r="F212" s="117">
        <f>+'I) Dépenses thématiques'!O212/'J) Plafonnement effort'!C212</f>
        <v>-6.0461785063708184</v>
      </c>
      <c r="G212" s="144">
        <f t="shared" si="13"/>
        <v>15.363103038613556</v>
      </c>
      <c r="H212" s="336">
        <f t="shared" si="14"/>
        <v>0</v>
      </c>
      <c r="I212" s="59">
        <f t="shared" si="15"/>
        <v>0</v>
      </c>
      <c r="J212" s="35">
        <f t="shared" si="16"/>
        <v>15.363103038613556</v>
      </c>
    </row>
    <row r="213" spans="1:10" x14ac:dyDescent="0.25">
      <c r="A213" s="51">
        <f>'A) Base RI'!A215</f>
        <v>5744</v>
      </c>
      <c r="B213" s="321" t="str">
        <f>'A) Base RI'!B215</f>
        <v>Ballaigues</v>
      </c>
      <c r="C213" s="101">
        <f>'B) D RI'!U215</f>
        <v>60772.767121212128</v>
      </c>
      <c r="D213" s="117">
        <f>'E) Fact soc'!G219/C213</f>
        <v>22.572353475520053</v>
      </c>
      <c r="E213" s="144">
        <f>'H) Péréquation directe'!I224/C213</f>
        <v>16.321906265914812</v>
      </c>
      <c r="F213" s="117">
        <f>+'I) Dépenses thématiques'!O213/'J) Plafonnement effort'!C213</f>
        <v>-4.9268915658393899</v>
      </c>
      <c r="G213" s="144">
        <f t="shared" si="13"/>
        <v>33.967368175595475</v>
      </c>
      <c r="H213" s="336">
        <f t="shared" si="14"/>
        <v>0</v>
      </c>
      <c r="I213" s="59">
        <f t="shared" si="15"/>
        <v>0</v>
      </c>
      <c r="J213" s="35">
        <f t="shared" si="16"/>
        <v>33.967368175595475</v>
      </c>
    </row>
    <row r="214" spans="1:10" x14ac:dyDescent="0.25">
      <c r="A214" s="51">
        <f>'A) Base RI'!A216</f>
        <v>5745</v>
      </c>
      <c r="B214" s="321" t="str">
        <f>'A) Base RI'!B216</f>
        <v>Baulmes</v>
      </c>
      <c r="C214" s="101">
        <f>'B) D RI'!U216</f>
        <v>25719.773333333334</v>
      </c>
      <c r="D214" s="117">
        <f>'E) Fact soc'!G220/C214</f>
        <v>18.656212949776233</v>
      </c>
      <c r="E214" s="144">
        <f>'H) Péréquation directe'!I225/C214</f>
        <v>-6.2095098198262857</v>
      </c>
      <c r="F214" s="117">
        <f>+'I) Dépenses thématiques'!O214/'J) Plafonnement effort'!C214</f>
        <v>-7.2428533689700263</v>
      </c>
      <c r="G214" s="144">
        <f t="shared" si="13"/>
        <v>5.2038497609799208</v>
      </c>
      <c r="H214" s="336">
        <f t="shared" si="14"/>
        <v>0</v>
      </c>
      <c r="I214" s="59">
        <f t="shared" si="15"/>
        <v>0</v>
      </c>
      <c r="J214" s="35">
        <f t="shared" si="16"/>
        <v>5.2038497609799208</v>
      </c>
    </row>
    <row r="215" spans="1:10" x14ac:dyDescent="0.25">
      <c r="A215" s="51">
        <f>'A) Base RI'!A217</f>
        <v>5746</v>
      </c>
      <c r="B215" s="321" t="str">
        <f>'A) Base RI'!B217</f>
        <v>Bavois</v>
      </c>
      <c r="C215" s="101">
        <f>'B) D RI'!U217</f>
        <v>26078.686575342468</v>
      </c>
      <c r="D215" s="117">
        <f>'E) Fact soc'!G221/C215</f>
        <v>18.165651524531473</v>
      </c>
      <c r="E215" s="144">
        <f>'H) Péréquation directe'!I226/C215</f>
        <v>2.4053410155182355</v>
      </c>
      <c r="F215" s="117">
        <f>+'I) Dépenses thématiques'!O215/'J) Plafonnement effort'!C215</f>
        <v>-7.2765887780200744</v>
      </c>
      <c r="G215" s="144">
        <f t="shared" si="13"/>
        <v>13.294403762029635</v>
      </c>
      <c r="H215" s="336">
        <f t="shared" si="14"/>
        <v>0</v>
      </c>
      <c r="I215" s="59">
        <f t="shared" si="15"/>
        <v>0</v>
      </c>
      <c r="J215" s="35">
        <f t="shared" si="16"/>
        <v>13.294403762029635</v>
      </c>
    </row>
    <row r="216" spans="1:10" x14ac:dyDescent="0.25">
      <c r="A216" s="51">
        <f>'A) Base RI'!A218</f>
        <v>5747</v>
      </c>
      <c r="B216" s="321" t="str">
        <f>'A) Base RI'!B218</f>
        <v>Bofflens</v>
      </c>
      <c r="C216" s="101">
        <f>'B) D RI'!U218</f>
        <v>5407.3595652173908</v>
      </c>
      <c r="D216" s="117">
        <f>'E) Fact soc'!G222/C216</f>
        <v>15.108660702669534</v>
      </c>
      <c r="E216" s="144">
        <f>'H) Péréquation directe'!I227/C216</f>
        <v>3.992932545958745</v>
      </c>
      <c r="F216" s="117">
        <f>+'I) Dépenses thématiques'!O216/'J) Plafonnement effort'!C216</f>
        <v>-1.0882461567273258</v>
      </c>
      <c r="G216" s="144">
        <f t="shared" si="13"/>
        <v>18.013347091900954</v>
      </c>
      <c r="H216" s="336">
        <f t="shared" si="14"/>
        <v>0</v>
      </c>
      <c r="I216" s="59">
        <f t="shared" si="15"/>
        <v>0</v>
      </c>
      <c r="J216" s="35">
        <f t="shared" si="16"/>
        <v>18.013347091900954</v>
      </c>
    </row>
    <row r="217" spans="1:10" x14ac:dyDescent="0.25">
      <c r="A217" s="51">
        <f>'A) Base RI'!A219</f>
        <v>5748</v>
      </c>
      <c r="B217" s="321" t="str">
        <f>'A) Base RI'!B219</f>
        <v>Bretonnières</v>
      </c>
      <c r="C217" s="101">
        <f>'B) D RI'!U219</f>
        <v>7687.1286574074074</v>
      </c>
      <c r="D217" s="117">
        <f>'E) Fact soc'!G223/C217</f>
        <v>29.183960649246856</v>
      </c>
      <c r="E217" s="144">
        <f>'H) Péréquation directe'!I228/C217</f>
        <v>4.2801679375094084</v>
      </c>
      <c r="F217" s="117">
        <f>+'I) Dépenses thématiques'!O217/'J) Plafonnement effort'!C217</f>
        <v>-5.3647020461894721</v>
      </c>
      <c r="G217" s="144">
        <f t="shared" si="13"/>
        <v>28.099426540566796</v>
      </c>
      <c r="H217" s="336">
        <f t="shared" si="14"/>
        <v>0</v>
      </c>
      <c r="I217" s="59">
        <f t="shared" si="15"/>
        <v>0</v>
      </c>
      <c r="J217" s="35">
        <f t="shared" si="16"/>
        <v>28.099426540566796</v>
      </c>
    </row>
    <row r="218" spans="1:10" x14ac:dyDescent="0.25">
      <c r="A218" s="51">
        <f>'A) Base RI'!A220</f>
        <v>5749</v>
      </c>
      <c r="B218" s="321" t="str">
        <f>'A) Base RI'!B220</f>
        <v>Chavornay</v>
      </c>
      <c r="C218" s="101">
        <f>'B) D RI'!U220</f>
        <v>136661.8213888889</v>
      </c>
      <c r="D218" s="117">
        <f>'E) Fact soc'!G224/C218</f>
        <v>18.19518322337073</v>
      </c>
      <c r="E218" s="144">
        <f>'H) Péréquation directe'!I229/C218</f>
        <v>-6.7200660291126848</v>
      </c>
      <c r="F218" s="117">
        <f>+'I) Dépenses thématiques'!O218/'J) Plafonnement effort'!C218</f>
        <v>-3.9604807880248418</v>
      </c>
      <c r="G218" s="144">
        <f t="shared" si="13"/>
        <v>7.5146364062332029</v>
      </c>
      <c r="H218" s="336">
        <f t="shared" si="14"/>
        <v>0</v>
      </c>
      <c r="I218" s="59">
        <f t="shared" si="15"/>
        <v>0</v>
      </c>
      <c r="J218" s="35">
        <f t="shared" si="16"/>
        <v>7.5146364062332029</v>
      </c>
    </row>
    <row r="219" spans="1:10" x14ac:dyDescent="0.25">
      <c r="A219" s="51">
        <f>'A) Base RI'!A221</f>
        <v>5750</v>
      </c>
      <c r="B219" s="321" t="str">
        <f>'A) Base RI'!B221</f>
        <v>Les Clées</v>
      </c>
      <c r="C219" s="101">
        <f>'B) D RI'!U221</f>
        <v>5052.5065833333338</v>
      </c>
      <c r="D219" s="117">
        <f>'E) Fact soc'!G225/C219</f>
        <v>17.067758502980098</v>
      </c>
      <c r="E219" s="144">
        <f>'H) Péréquation directe'!I230/C219</f>
        <v>-0.41624884457115452</v>
      </c>
      <c r="F219" s="117">
        <f>+'I) Dépenses thématiques'!O219/'J) Plafonnement effort'!C219</f>
        <v>-1.5892866724063963</v>
      </c>
      <c r="G219" s="144">
        <f t="shared" si="13"/>
        <v>15.062222986002547</v>
      </c>
      <c r="H219" s="336">
        <f t="shared" si="14"/>
        <v>0</v>
      </c>
      <c r="I219" s="59">
        <f t="shared" si="15"/>
        <v>0</v>
      </c>
      <c r="J219" s="35">
        <f t="shared" si="16"/>
        <v>15.062222986002547</v>
      </c>
    </row>
    <row r="220" spans="1:10" x14ac:dyDescent="0.25">
      <c r="A220" s="51">
        <f>'A) Base RI'!A222</f>
        <v>5752</v>
      </c>
      <c r="B220" s="321" t="str">
        <f>'A) Base RI'!B222</f>
        <v>Croy</v>
      </c>
      <c r="C220" s="101">
        <f>'B) D RI'!U222</f>
        <v>11188.496891891893</v>
      </c>
      <c r="D220" s="117">
        <f>'E) Fact soc'!G226/C220</f>
        <v>17.035674328037853</v>
      </c>
      <c r="E220" s="144">
        <f>'H) Péréquation directe'!I231/C220</f>
        <v>3.8936005797551054</v>
      </c>
      <c r="F220" s="117">
        <f>+'I) Dépenses thématiques'!O220/'J) Plafonnement effort'!C220</f>
        <v>-8.4697155292574102</v>
      </c>
      <c r="G220" s="144">
        <f t="shared" si="13"/>
        <v>12.459559378535548</v>
      </c>
      <c r="H220" s="336">
        <f t="shared" si="14"/>
        <v>0</v>
      </c>
      <c r="I220" s="59">
        <f t="shared" si="15"/>
        <v>0</v>
      </c>
      <c r="J220" s="35">
        <f t="shared" si="16"/>
        <v>12.459559378535548</v>
      </c>
    </row>
    <row r="221" spans="1:10" x14ac:dyDescent="0.25">
      <c r="A221" s="51">
        <f>'A) Base RI'!A223</f>
        <v>5754</v>
      </c>
      <c r="B221" s="321" t="str">
        <f>'A) Base RI'!B223</f>
        <v>Juriens</v>
      </c>
      <c r="C221" s="101">
        <f>'B) D RI'!U223</f>
        <v>8136.8400000000011</v>
      </c>
      <c r="D221" s="117">
        <f>'E) Fact soc'!G227/C221</f>
        <v>15.574816185920332</v>
      </c>
      <c r="E221" s="144">
        <f>'H) Péréquation directe'!I232/C221</f>
        <v>-2.6353559018928987</v>
      </c>
      <c r="F221" s="117">
        <f>+'I) Dépenses thématiques'!O221/'J) Plafonnement effort'!C221</f>
        <v>-6.843393353171157</v>
      </c>
      <c r="G221" s="144">
        <f t="shared" si="13"/>
        <v>6.096066930856276</v>
      </c>
      <c r="H221" s="336">
        <f t="shared" si="14"/>
        <v>0</v>
      </c>
      <c r="I221" s="59">
        <f t="shared" si="15"/>
        <v>0</v>
      </c>
      <c r="J221" s="35">
        <f t="shared" si="16"/>
        <v>6.096066930856276</v>
      </c>
    </row>
    <row r="222" spans="1:10" x14ac:dyDescent="0.25">
      <c r="A222" s="51">
        <f>'A) Base RI'!A224</f>
        <v>5755</v>
      </c>
      <c r="B222" s="321" t="str">
        <f>'A) Base RI'!B224</f>
        <v>Lignerolle</v>
      </c>
      <c r="C222" s="101">
        <f>'B) D RI'!U224</f>
        <v>9412.5036607142865</v>
      </c>
      <c r="D222" s="117">
        <f>'E) Fact soc'!G228/C222</f>
        <v>17.499507074521638</v>
      </c>
      <c r="E222" s="144">
        <f>'H) Péréquation directe'!I233/C222</f>
        <v>-10.905194499818002</v>
      </c>
      <c r="F222" s="117">
        <f>+'I) Dépenses thématiques'!O222/'J) Plafonnement effort'!C222</f>
        <v>-18.149569126901756</v>
      </c>
      <c r="G222" s="144">
        <f t="shared" si="13"/>
        <v>-11.55525655219812</v>
      </c>
      <c r="H222" s="336">
        <f t="shared" si="14"/>
        <v>0</v>
      </c>
      <c r="I222" s="59">
        <f t="shared" si="15"/>
        <v>0</v>
      </c>
      <c r="J222" s="35">
        <f t="shared" si="16"/>
        <v>-11.55525655219812</v>
      </c>
    </row>
    <row r="223" spans="1:10" x14ac:dyDescent="0.25">
      <c r="A223" s="51">
        <f>'A) Base RI'!A225</f>
        <v>5756</v>
      </c>
      <c r="B223" s="321" t="str">
        <f>'A) Base RI'!B225</f>
        <v>Montcherand</v>
      </c>
      <c r="C223" s="101">
        <f>'B) D RI'!U225</f>
        <v>18721.546388888888</v>
      </c>
      <c r="D223" s="117">
        <f>'E) Fact soc'!G229/C223</f>
        <v>16.296394013643944</v>
      </c>
      <c r="E223" s="144">
        <f>'H) Péréquation directe'!I234/C223</f>
        <v>12.790665030476523</v>
      </c>
      <c r="F223" s="117">
        <f>+'I) Dépenses thématiques'!O223/'J) Plafonnement effort'!C223</f>
        <v>-2.0194235809698089</v>
      </c>
      <c r="G223" s="144">
        <f t="shared" si="13"/>
        <v>27.067635463150658</v>
      </c>
      <c r="H223" s="336">
        <f t="shared" si="14"/>
        <v>0</v>
      </c>
      <c r="I223" s="59">
        <f t="shared" si="15"/>
        <v>0</v>
      </c>
      <c r="J223" s="35">
        <f t="shared" si="16"/>
        <v>27.067635463150658</v>
      </c>
    </row>
    <row r="224" spans="1:10" x14ac:dyDescent="0.25">
      <c r="A224" s="51">
        <f>'A) Base RI'!A226</f>
        <v>5757</v>
      </c>
      <c r="B224" s="321" t="str">
        <f>'A) Base RI'!B226</f>
        <v>Orbe</v>
      </c>
      <c r="C224" s="101">
        <f>'B) D RI'!U226</f>
        <v>205952.941948052</v>
      </c>
      <c r="D224" s="117">
        <f>'E) Fact soc'!G230/C224</f>
        <v>20.981666526146977</v>
      </c>
      <c r="E224" s="144">
        <f>'H) Péréquation directe'!I235/C224</f>
        <v>-8.0814719145821012</v>
      </c>
      <c r="F224" s="117">
        <f>+'I) Dépenses thématiques'!O224/'J) Plafonnement effort'!C224</f>
        <v>-7.4555577676284788</v>
      </c>
      <c r="G224" s="144">
        <f t="shared" si="13"/>
        <v>5.4446368439363972</v>
      </c>
      <c r="H224" s="336">
        <f t="shared" si="14"/>
        <v>0</v>
      </c>
      <c r="I224" s="59">
        <f t="shared" si="15"/>
        <v>0</v>
      </c>
      <c r="J224" s="35">
        <f t="shared" si="16"/>
        <v>5.4446368439363972</v>
      </c>
    </row>
    <row r="225" spans="1:10" x14ac:dyDescent="0.25">
      <c r="A225" s="51">
        <f>'A) Base RI'!A227</f>
        <v>5758</v>
      </c>
      <c r="B225" s="321" t="str">
        <f>'A) Base RI'!B227</f>
        <v>La Praz</v>
      </c>
      <c r="C225" s="101">
        <f>'B) D RI'!U227</f>
        <v>3230.1663052208837</v>
      </c>
      <c r="D225" s="117">
        <f>'E) Fact soc'!G231/C225</f>
        <v>23.183128048583733</v>
      </c>
      <c r="E225" s="144">
        <f>'H) Péréquation directe'!I236/C225</f>
        <v>-19.741628566190524</v>
      </c>
      <c r="F225" s="117">
        <f>+'I) Dépenses thématiques'!O225/'J) Plafonnement effort'!C225</f>
        <v>-5.9486357950951847</v>
      </c>
      <c r="G225" s="144">
        <f t="shared" si="13"/>
        <v>-2.5071363127019763</v>
      </c>
      <c r="H225" s="336">
        <f t="shared" si="14"/>
        <v>0</v>
      </c>
      <c r="I225" s="59">
        <f t="shared" si="15"/>
        <v>0</v>
      </c>
      <c r="J225" s="35">
        <f t="shared" si="16"/>
        <v>-2.5071363127019763</v>
      </c>
    </row>
    <row r="226" spans="1:10" x14ac:dyDescent="0.25">
      <c r="A226" s="51">
        <f>'A) Base RI'!A228</f>
        <v>5759</v>
      </c>
      <c r="B226" s="321" t="str">
        <f>'A) Base RI'!B228</f>
        <v>Premier</v>
      </c>
      <c r="C226" s="101">
        <f>'B) D RI'!U228</f>
        <v>4732.7107407407411</v>
      </c>
      <c r="D226" s="117">
        <f>'E) Fact soc'!G232/C226</f>
        <v>19.137625748691519</v>
      </c>
      <c r="E226" s="144">
        <f>'H) Péréquation directe'!I237/C226</f>
        <v>-11.622178230654853</v>
      </c>
      <c r="F226" s="117">
        <f>+'I) Dépenses thématiques'!O226/'J) Plafonnement effort'!C226</f>
        <v>-6.2741300405898413</v>
      </c>
      <c r="G226" s="144">
        <f t="shared" si="13"/>
        <v>1.2413174774468247</v>
      </c>
      <c r="H226" s="336">
        <f t="shared" si="14"/>
        <v>0</v>
      </c>
      <c r="I226" s="59">
        <f t="shared" si="15"/>
        <v>0</v>
      </c>
      <c r="J226" s="35">
        <f t="shared" si="16"/>
        <v>1.2413174774468247</v>
      </c>
    </row>
    <row r="227" spans="1:10" x14ac:dyDescent="0.25">
      <c r="A227" s="51">
        <f>'A) Base RI'!A229</f>
        <v>5760</v>
      </c>
      <c r="B227" s="321" t="str">
        <f>'A) Base RI'!B229</f>
        <v>Rances</v>
      </c>
      <c r="C227" s="101">
        <f>'B) D RI'!U229</f>
        <v>10468.899999999998</v>
      </c>
      <c r="D227" s="117">
        <f>'E) Fact soc'!G233/C227</f>
        <v>17.235844537504519</v>
      </c>
      <c r="E227" s="144">
        <f>'H) Péréquation directe'!I238/C227</f>
        <v>-12.061143815073098</v>
      </c>
      <c r="F227" s="117">
        <f>+'I) Dépenses thématiques'!O227/'J) Plafonnement effort'!C227</f>
        <v>-23.407229261670253</v>
      </c>
      <c r="G227" s="144">
        <f t="shared" si="13"/>
        <v>-18.232528539238832</v>
      </c>
      <c r="H227" s="336">
        <f t="shared" si="14"/>
        <v>0</v>
      </c>
      <c r="I227" s="59">
        <f t="shared" si="15"/>
        <v>0</v>
      </c>
      <c r="J227" s="35">
        <f t="shared" si="16"/>
        <v>-18.232528539238832</v>
      </c>
    </row>
    <row r="228" spans="1:10" x14ac:dyDescent="0.25">
      <c r="A228" s="51">
        <f>'A) Base RI'!A230</f>
        <v>5761</v>
      </c>
      <c r="B228" s="321" t="str">
        <f>'A) Base RI'!B230</f>
        <v>Romainmôtier-Envy</v>
      </c>
      <c r="C228" s="101">
        <f>'B) D RI'!U230</f>
        <v>12891.998383838385</v>
      </c>
      <c r="D228" s="117">
        <f>'E) Fact soc'!G234/C228</f>
        <v>19.528490982604517</v>
      </c>
      <c r="E228" s="144">
        <f>'H) Péréquation directe'!I239/C228</f>
        <v>-9.5561377949969515</v>
      </c>
      <c r="F228" s="117">
        <f>+'I) Dépenses thématiques'!O228/'J) Plafonnement effort'!C228</f>
        <v>-5.8816473689378874</v>
      </c>
      <c r="G228" s="144">
        <f t="shared" si="13"/>
        <v>4.0907058186696776</v>
      </c>
      <c r="H228" s="336">
        <f t="shared" si="14"/>
        <v>0</v>
      </c>
      <c r="I228" s="59">
        <f t="shared" si="15"/>
        <v>0</v>
      </c>
      <c r="J228" s="35">
        <f t="shared" si="16"/>
        <v>4.0907058186696776</v>
      </c>
    </row>
    <row r="229" spans="1:10" x14ac:dyDescent="0.25">
      <c r="A229" s="51">
        <f>'A) Base RI'!A231</f>
        <v>5762</v>
      </c>
      <c r="B229" s="321" t="str">
        <f>'A) Base RI'!B231</f>
        <v>Sergey</v>
      </c>
      <c r="C229" s="101">
        <f>'B) D RI'!U231</f>
        <v>4039.8601282051286</v>
      </c>
      <c r="D229" s="117">
        <f>'E) Fact soc'!G235/C229</f>
        <v>15.80715622290513</v>
      </c>
      <c r="E229" s="144">
        <f>'H) Péréquation directe'!I240/C229</f>
        <v>2.5998860088777795</v>
      </c>
      <c r="F229" s="117">
        <f>+'I) Dépenses thématiques'!O229/'J) Plafonnement effort'!C229</f>
        <v>-0.3939395737645946</v>
      </c>
      <c r="G229" s="144">
        <f t="shared" si="13"/>
        <v>18.013102658018315</v>
      </c>
      <c r="H229" s="336">
        <f t="shared" si="14"/>
        <v>0</v>
      </c>
      <c r="I229" s="59">
        <f t="shared" si="15"/>
        <v>0</v>
      </c>
      <c r="J229" s="35">
        <f t="shared" si="16"/>
        <v>18.013102658018315</v>
      </c>
    </row>
    <row r="230" spans="1:10" x14ac:dyDescent="0.25">
      <c r="A230" s="51">
        <f>'A) Base RI'!A232</f>
        <v>5763</v>
      </c>
      <c r="B230" s="321" t="str">
        <f>'A) Base RI'!B232</f>
        <v>Valeyres-sous-Rances</v>
      </c>
      <c r="C230" s="101">
        <f>'B) D RI'!U232</f>
        <v>20051.556615384616</v>
      </c>
      <c r="D230" s="117">
        <f>'E) Fact soc'!G236/C230</f>
        <v>16.929555015315785</v>
      </c>
      <c r="E230" s="144">
        <f>'H) Péréquation directe'!I241/C230</f>
        <v>8.5081584391281204</v>
      </c>
      <c r="F230" s="117">
        <f>+'I) Dépenses thématiques'!O230/'J) Plafonnement effort'!C230</f>
        <v>-5.7813402775465574</v>
      </c>
      <c r="G230" s="144">
        <f t="shared" si="13"/>
        <v>19.656373176897347</v>
      </c>
      <c r="H230" s="336">
        <f t="shared" si="14"/>
        <v>0</v>
      </c>
      <c r="I230" s="59">
        <f t="shared" si="15"/>
        <v>0</v>
      </c>
      <c r="J230" s="35">
        <f t="shared" si="16"/>
        <v>19.656373176897347</v>
      </c>
    </row>
    <row r="231" spans="1:10" x14ac:dyDescent="0.25">
      <c r="A231" s="51">
        <f>'A) Base RI'!A233</f>
        <v>5764</v>
      </c>
      <c r="B231" s="321" t="str">
        <f>'A) Base RI'!B233</f>
        <v>Vallorbe</v>
      </c>
      <c r="C231" s="101">
        <f>'B) D RI'!U233</f>
        <v>83366.268356164379</v>
      </c>
      <c r="D231" s="117">
        <f>'E) Fact soc'!G237/C231</f>
        <v>24.385644259596212</v>
      </c>
      <c r="E231" s="144">
        <f>'H) Péréquation directe'!I242/C231</f>
        <v>-18.657007589703358</v>
      </c>
      <c r="F231" s="117">
        <f>+'I) Dépenses thématiques'!O231/'J) Plafonnement effort'!C231</f>
        <v>-24.019763210097501</v>
      </c>
      <c r="G231" s="144">
        <f t="shared" si="13"/>
        <v>-18.291126540204647</v>
      </c>
      <c r="H231" s="336">
        <f t="shared" si="14"/>
        <v>0</v>
      </c>
      <c r="I231" s="59">
        <f t="shared" si="15"/>
        <v>0</v>
      </c>
      <c r="J231" s="35">
        <f t="shared" si="16"/>
        <v>-18.291126540204647</v>
      </c>
    </row>
    <row r="232" spans="1:10" x14ac:dyDescent="0.25">
      <c r="A232" s="51">
        <f>'A) Base RI'!A234</f>
        <v>5765</v>
      </c>
      <c r="B232" s="321" t="str">
        <f>'A) Base RI'!B234</f>
        <v>Vaulion</v>
      </c>
      <c r="C232" s="101">
        <f>'B) D RI'!U234</f>
        <v>9587.663333333332</v>
      </c>
      <c r="D232" s="117">
        <f>'E) Fact soc'!G238/C232</f>
        <v>17.521288431534881</v>
      </c>
      <c r="E232" s="144">
        <f>'H) Péréquation directe'!I243/C232</f>
        <v>-19.0908863108648</v>
      </c>
      <c r="F232" s="117">
        <f>+'I) Dépenses thématiques'!O232/'J) Plafonnement effort'!C232</f>
        <v>-17.3904462634708</v>
      </c>
      <c r="G232" s="144">
        <f t="shared" si="13"/>
        <v>-18.960044142800719</v>
      </c>
      <c r="H232" s="336">
        <f t="shared" si="14"/>
        <v>0</v>
      </c>
      <c r="I232" s="59">
        <f t="shared" si="15"/>
        <v>0</v>
      </c>
      <c r="J232" s="35">
        <f t="shared" si="16"/>
        <v>-18.960044142800719</v>
      </c>
    </row>
    <row r="233" spans="1:10" x14ac:dyDescent="0.25">
      <c r="A233" s="51">
        <f>'A) Base RI'!A235</f>
        <v>5766</v>
      </c>
      <c r="B233" s="321" t="str">
        <f>'A) Base RI'!B235</f>
        <v>Vuiteboeuf</v>
      </c>
      <c r="C233" s="101">
        <f>'B) D RI'!U235</f>
        <v>13049.547402597404</v>
      </c>
      <c r="D233" s="117">
        <f>'E) Fact soc'!G239/C233</f>
        <v>18.517709099052848</v>
      </c>
      <c r="E233" s="144">
        <f>'H) Péréquation directe'!I244/C233</f>
        <v>-8.6990438552662397</v>
      </c>
      <c r="F233" s="117">
        <f>+'I) Dépenses thématiques'!O233/'J) Plafonnement effort'!C233</f>
        <v>-6.5660014332078678</v>
      </c>
      <c r="G233" s="144">
        <f t="shared" si="13"/>
        <v>3.2526638105787402</v>
      </c>
      <c r="H233" s="336">
        <f t="shared" si="14"/>
        <v>0</v>
      </c>
      <c r="I233" s="59">
        <f t="shared" si="15"/>
        <v>0</v>
      </c>
      <c r="J233" s="35">
        <f t="shared" si="16"/>
        <v>3.2526638105787402</v>
      </c>
    </row>
    <row r="234" spans="1:10" x14ac:dyDescent="0.25">
      <c r="A234" s="51">
        <f>'A) Base RI'!A236</f>
        <v>5785</v>
      </c>
      <c r="B234" s="321" t="str">
        <f>'A) Base RI'!B236</f>
        <v>Corcelles-le-Jorat</v>
      </c>
      <c r="C234" s="101">
        <f>'B) D RI'!U236</f>
        <v>15263.245714285717</v>
      </c>
      <c r="D234" s="117">
        <f>'E) Fact soc'!G240/C234</f>
        <v>17.35320807036145</v>
      </c>
      <c r="E234" s="144">
        <f>'H) Péréquation directe'!I245/C234</f>
        <v>7.2721633138629223</v>
      </c>
      <c r="F234" s="117">
        <f>+'I) Dépenses thématiques'!O234/'J) Plafonnement effort'!C234</f>
        <v>-0.34791382852423225</v>
      </c>
      <c r="G234" s="144">
        <f t="shared" si="13"/>
        <v>24.277457555700142</v>
      </c>
      <c r="H234" s="336">
        <f t="shared" si="14"/>
        <v>0</v>
      </c>
      <c r="I234" s="59">
        <f t="shared" si="15"/>
        <v>0</v>
      </c>
      <c r="J234" s="35">
        <f t="shared" si="16"/>
        <v>24.277457555700142</v>
      </c>
    </row>
    <row r="235" spans="1:10" x14ac:dyDescent="0.25">
      <c r="A235" s="51">
        <f>'A) Base RI'!A237</f>
        <v>5788</v>
      </c>
      <c r="B235" s="321" t="str">
        <f>'A) Base RI'!B237</f>
        <v>Essertes</v>
      </c>
      <c r="C235" s="101">
        <f>'B) D RI'!U237</f>
        <v>11561.131666666668</v>
      </c>
      <c r="D235" s="117">
        <f>'E) Fact soc'!G241/C235</f>
        <v>20.362325355847197</v>
      </c>
      <c r="E235" s="144">
        <f>'H) Péréquation directe'!I246/C235</f>
        <v>8.5216111638877603</v>
      </c>
      <c r="F235" s="117">
        <f>+'I) Dépenses thématiques'!O235/'J) Plafonnement effort'!C235</f>
        <v>-1.305539534357395</v>
      </c>
      <c r="G235" s="144">
        <f t="shared" si="13"/>
        <v>27.578396985377566</v>
      </c>
      <c r="H235" s="336">
        <f t="shared" si="14"/>
        <v>0</v>
      </c>
      <c r="I235" s="59">
        <f t="shared" si="15"/>
        <v>0</v>
      </c>
      <c r="J235" s="35">
        <f t="shared" si="16"/>
        <v>27.578396985377566</v>
      </c>
    </row>
    <row r="236" spans="1:10" x14ac:dyDescent="0.25">
      <c r="A236" s="51">
        <f>'A) Base RI'!A238</f>
        <v>5790</v>
      </c>
      <c r="B236" s="321" t="str">
        <f>'A) Base RI'!B238</f>
        <v>Maracon</v>
      </c>
      <c r="C236" s="101">
        <f>'B) D RI'!U238</f>
        <v>12108.806973684212</v>
      </c>
      <c r="D236" s="117">
        <f>'E) Fact soc'!G242/C236</f>
        <v>19.61478835520904</v>
      </c>
      <c r="E236" s="144">
        <f>'H) Péréquation directe'!I247/C236</f>
        <v>-2.9371190539407803</v>
      </c>
      <c r="F236" s="117">
        <f>+'I) Dépenses thématiques'!O236/'J) Plafonnement effort'!C236</f>
        <v>-9.2657978580510054</v>
      </c>
      <c r="G236" s="144">
        <f t="shared" si="13"/>
        <v>7.4118714432172546</v>
      </c>
      <c r="H236" s="336">
        <f t="shared" si="14"/>
        <v>0</v>
      </c>
      <c r="I236" s="59">
        <f t="shared" si="15"/>
        <v>0</v>
      </c>
      <c r="J236" s="35">
        <f t="shared" si="16"/>
        <v>7.4118714432172546</v>
      </c>
    </row>
    <row r="237" spans="1:10" x14ac:dyDescent="0.25">
      <c r="A237" s="51">
        <f>'A) Base RI'!A239</f>
        <v>5792</v>
      </c>
      <c r="B237" s="321" t="str">
        <f>'A) Base RI'!B239</f>
        <v>Montpreveyres</v>
      </c>
      <c r="C237" s="101">
        <f>'B) D RI'!U239</f>
        <v>17523.35194805195</v>
      </c>
      <c r="D237" s="117">
        <f>'E) Fact soc'!G243/C237</f>
        <v>18.503824668342936</v>
      </c>
      <c r="E237" s="144">
        <f>'H) Péréquation directe'!I248/C237</f>
        <v>-0.61800326657162907</v>
      </c>
      <c r="F237" s="117">
        <f>+'I) Dépenses thématiques'!O237/'J) Plafonnement effort'!C237</f>
        <v>-5.1978240305726988</v>
      </c>
      <c r="G237" s="144">
        <f t="shared" si="13"/>
        <v>12.687997371198607</v>
      </c>
      <c r="H237" s="336">
        <f t="shared" si="14"/>
        <v>0</v>
      </c>
      <c r="I237" s="59">
        <f t="shared" si="15"/>
        <v>0</v>
      </c>
      <c r="J237" s="35">
        <f t="shared" si="16"/>
        <v>12.687997371198607</v>
      </c>
    </row>
    <row r="238" spans="1:10" x14ac:dyDescent="0.25">
      <c r="A238" s="51">
        <f>'A) Base RI'!A240</f>
        <v>5798</v>
      </c>
      <c r="B238" s="321" t="str">
        <f>'A) Base RI'!B240</f>
        <v>Ropraz</v>
      </c>
      <c r="C238" s="101">
        <f>'B) D RI'!U240</f>
        <v>14095.640645161293</v>
      </c>
      <c r="D238" s="117">
        <f>'E) Fact soc'!G244/C238</f>
        <v>18.782041213228187</v>
      </c>
      <c r="E238" s="144">
        <f>'H) Péréquation directe'!I249/C238</f>
        <v>5.0793423710992816</v>
      </c>
      <c r="F238" s="117">
        <f>+'I) Dépenses thématiques'!O238/'J) Plafonnement effort'!C238</f>
        <v>-5.6678658503918999</v>
      </c>
      <c r="G238" s="144">
        <f t="shared" si="13"/>
        <v>18.193517733935572</v>
      </c>
      <c r="H238" s="336">
        <f t="shared" si="14"/>
        <v>0</v>
      </c>
      <c r="I238" s="59">
        <f t="shared" si="15"/>
        <v>0</v>
      </c>
      <c r="J238" s="35">
        <f t="shared" si="16"/>
        <v>18.193517733935572</v>
      </c>
    </row>
    <row r="239" spans="1:10" x14ac:dyDescent="0.25">
      <c r="A239" s="51">
        <f>'A) Base RI'!A241</f>
        <v>5799</v>
      </c>
      <c r="B239" s="321" t="str">
        <f>'A) Base RI'!B241</f>
        <v>Servion</v>
      </c>
      <c r="C239" s="101">
        <f>'B) D RI'!U241</f>
        <v>65741.847101449268</v>
      </c>
      <c r="D239" s="117">
        <f>'E) Fact soc'!G245/C239</f>
        <v>16.895477897988044</v>
      </c>
      <c r="E239" s="144">
        <f>'H) Péréquation directe'!I250/C239</f>
        <v>6.6108993951265278</v>
      </c>
      <c r="F239" s="117">
        <f>+'I) Dépenses thématiques'!O239/'J) Plafonnement effort'!C239</f>
        <v>-2.8670527491271569</v>
      </c>
      <c r="G239" s="144">
        <f t="shared" si="13"/>
        <v>20.639324543987414</v>
      </c>
      <c r="H239" s="336">
        <f t="shared" si="14"/>
        <v>0</v>
      </c>
      <c r="I239" s="59">
        <f t="shared" si="15"/>
        <v>0</v>
      </c>
      <c r="J239" s="35">
        <f t="shared" si="16"/>
        <v>20.639324543987414</v>
      </c>
    </row>
    <row r="240" spans="1:10" x14ac:dyDescent="0.25">
      <c r="A240" s="51">
        <f>'A) Base RI'!A242</f>
        <v>5803</v>
      </c>
      <c r="B240" s="321" t="str">
        <f>'A) Base RI'!B242</f>
        <v>Vulliens</v>
      </c>
      <c r="C240" s="101">
        <f>'B) D RI'!U242</f>
        <v>15644.362692307694</v>
      </c>
      <c r="D240" s="117">
        <f>'E) Fact soc'!G246/C240</f>
        <v>17.847670821419662</v>
      </c>
      <c r="E240" s="144">
        <f>'H) Péréquation directe'!I251/C240</f>
        <v>3.7723063635414373</v>
      </c>
      <c r="F240" s="117">
        <f>+'I) Dépenses thématiques'!O240/'J) Plafonnement effort'!C240</f>
        <v>-1.0543749464325456</v>
      </c>
      <c r="G240" s="144">
        <f t="shared" si="13"/>
        <v>20.565602238528555</v>
      </c>
      <c r="H240" s="336">
        <f t="shared" si="14"/>
        <v>0</v>
      </c>
      <c r="I240" s="59">
        <f t="shared" si="15"/>
        <v>0</v>
      </c>
      <c r="J240" s="35">
        <f t="shared" si="16"/>
        <v>20.565602238528555</v>
      </c>
    </row>
    <row r="241" spans="1:10" x14ac:dyDescent="0.25">
      <c r="A241" s="51">
        <f>'A) Base RI'!A243</f>
        <v>5804</v>
      </c>
      <c r="B241" s="321" t="str">
        <f>'A) Base RI'!B243</f>
        <v>Jorat-Menthue</v>
      </c>
      <c r="C241" s="101">
        <f>'B) D RI'!U243</f>
        <v>47020.955555555549</v>
      </c>
      <c r="D241" s="117">
        <f>'E) Fact soc'!G247/C241</f>
        <v>17.606423050476579</v>
      </c>
      <c r="E241" s="144">
        <f>'H) Péréquation directe'!I252/C241</f>
        <v>3.018731278285502</v>
      </c>
      <c r="F241" s="117">
        <f>+'I) Dépenses thématiques'!O241/'J) Plafonnement effort'!C241</f>
        <v>-12.211753529860651</v>
      </c>
      <c r="G241" s="144">
        <f t="shared" si="13"/>
        <v>8.4134007989014279</v>
      </c>
      <c r="H241" s="336">
        <f t="shared" si="14"/>
        <v>0</v>
      </c>
      <c r="I241" s="59">
        <f t="shared" si="15"/>
        <v>0</v>
      </c>
      <c r="J241" s="35">
        <f t="shared" si="16"/>
        <v>8.4134007989014279</v>
      </c>
    </row>
    <row r="242" spans="1:10" x14ac:dyDescent="0.25">
      <c r="A242" s="51">
        <f>'A) Base RI'!A244</f>
        <v>5805</v>
      </c>
      <c r="B242" s="321" t="str">
        <f>'A) Base RI'!B244</f>
        <v>Oron</v>
      </c>
      <c r="C242" s="101">
        <f>'B) D RI'!U244</f>
        <v>148409.14060606057</v>
      </c>
      <c r="D242" s="117">
        <f>'E) Fact soc'!G248/C242</f>
        <v>18.031554282594929</v>
      </c>
      <c r="E242" s="144">
        <f>'H) Péréquation directe'!I253/C242</f>
        <v>-7.6090758365343589</v>
      </c>
      <c r="F242" s="117">
        <f>+'I) Dépenses thématiques'!O242/'J) Plafonnement effort'!C242</f>
        <v>-6.6159675861336344</v>
      </c>
      <c r="G242" s="144">
        <f t="shared" si="13"/>
        <v>3.8065108599269353</v>
      </c>
      <c r="H242" s="336">
        <f t="shared" si="14"/>
        <v>0</v>
      </c>
      <c r="I242" s="59">
        <f t="shared" si="15"/>
        <v>0</v>
      </c>
      <c r="J242" s="35">
        <f t="shared" si="16"/>
        <v>3.8065108599269353</v>
      </c>
    </row>
    <row r="243" spans="1:10" x14ac:dyDescent="0.25">
      <c r="A243" s="51">
        <f>'A) Base RI'!A245</f>
        <v>5806</v>
      </c>
      <c r="B243" s="321" t="str">
        <f>'A) Base RI'!B245</f>
        <v>Jorat-Mézières</v>
      </c>
      <c r="C243" s="101">
        <f>'B) D RI'!U245</f>
        <v>86246.382763157875</v>
      </c>
      <c r="D243" s="117">
        <f>'E) Fact soc'!G249/C243</f>
        <v>17.897036991769674</v>
      </c>
      <c r="E243" s="144">
        <f>'H) Péréquation directe'!I254/C243</f>
        <v>-1.0866613848270397</v>
      </c>
      <c r="F243" s="117">
        <f>+'I) Dépenses thématiques'!O243/'J) Plafonnement effort'!C243</f>
        <v>-3.9253122624737591</v>
      </c>
      <c r="G243" s="144">
        <f t="shared" si="13"/>
        <v>12.885063344468875</v>
      </c>
      <c r="H243" s="336">
        <f t="shared" si="14"/>
        <v>0</v>
      </c>
      <c r="I243" s="59">
        <f t="shared" si="15"/>
        <v>0</v>
      </c>
      <c r="J243" s="35">
        <f t="shared" si="16"/>
        <v>12.885063344468875</v>
      </c>
    </row>
    <row r="244" spans="1:10" x14ac:dyDescent="0.25">
      <c r="A244" s="51">
        <f>'A) Base RI'!A246</f>
        <v>5812</v>
      </c>
      <c r="B244" s="321" t="str">
        <f>'A) Base RI'!B246</f>
        <v>Champtauroz</v>
      </c>
      <c r="C244" s="101">
        <f>'B) D RI'!U246</f>
        <v>2413.8557792207789</v>
      </c>
      <c r="D244" s="117">
        <f>'E) Fact soc'!G250/C244</f>
        <v>20.682398494676271</v>
      </c>
      <c r="E244" s="144">
        <f>'H) Péréquation directe'!I255/C244</f>
        <v>-19.125891652017049</v>
      </c>
      <c r="F244" s="117">
        <f>+'I) Dépenses thématiques'!O244/'J) Plafonnement effort'!C244</f>
        <v>-15.335326399221149</v>
      </c>
      <c r="G244" s="144">
        <f t="shared" si="13"/>
        <v>-13.778819556561928</v>
      </c>
      <c r="H244" s="336">
        <f t="shared" si="14"/>
        <v>0</v>
      </c>
      <c r="I244" s="59">
        <f t="shared" si="15"/>
        <v>0</v>
      </c>
      <c r="J244" s="35">
        <f t="shared" si="16"/>
        <v>-13.778819556561928</v>
      </c>
    </row>
    <row r="245" spans="1:10" x14ac:dyDescent="0.25">
      <c r="A245" s="51">
        <f>'A) Base RI'!A247</f>
        <v>5813</v>
      </c>
      <c r="B245" s="321" t="str">
        <f>'A) Base RI'!B247</f>
        <v>Chevroux</v>
      </c>
      <c r="C245" s="101">
        <f>'B) D RI'!U247</f>
        <v>13303.445833333333</v>
      </c>
      <c r="D245" s="117">
        <f>'E) Fact soc'!G251/C245</f>
        <v>20.872103463726013</v>
      </c>
      <c r="E245" s="144">
        <f>'H) Péréquation directe'!I256/C245</f>
        <v>3.6648651371562977</v>
      </c>
      <c r="F245" s="117">
        <f>+'I) Dépenses thématiques'!O245/'J) Plafonnement effort'!C245</f>
        <v>-1.2211190230823521</v>
      </c>
      <c r="G245" s="144">
        <f t="shared" si="13"/>
        <v>23.315849577799959</v>
      </c>
      <c r="H245" s="336">
        <f t="shared" si="14"/>
        <v>0</v>
      </c>
      <c r="I245" s="59">
        <f t="shared" si="15"/>
        <v>0</v>
      </c>
      <c r="J245" s="35">
        <f t="shared" si="16"/>
        <v>23.315849577799959</v>
      </c>
    </row>
    <row r="246" spans="1:10" x14ac:dyDescent="0.25">
      <c r="A246" s="51">
        <f>'A) Base RI'!A248</f>
        <v>5816</v>
      </c>
      <c r="B246" s="321" t="str">
        <f>'A) Base RI'!B248</f>
        <v>Corcelles-près-Payerne</v>
      </c>
      <c r="C246" s="101">
        <f>'B) D RI'!U248</f>
        <v>57954.816904761909</v>
      </c>
      <c r="D246" s="117">
        <f>'E) Fact soc'!G252/C246</f>
        <v>17.752593001466241</v>
      </c>
      <c r="E246" s="144">
        <f>'H) Péréquation directe'!I257/C246</f>
        <v>-10.217062665980189</v>
      </c>
      <c r="F246" s="117">
        <f>+'I) Dépenses thématiques'!O246/'J) Plafonnement effort'!C246</f>
        <v>-4.9591352669178379</v>
      </c>
      <c r="G246" s="144">
        <f t="shared" si="13"/>
        <v>2.5763950685682149</v>
      </c>
      <c r="H246" s="336">
        <f t="shared" si="14"/>
        <v>0</v>
      </c>
      <c r="I246" s="59">
        <f t="shared" si="15"/>
        <v>0</v>
      </c>
      <c r="J246" s="35">
        <f t="shared" si="16"/>
        <v>2.5763950685682149</v>
      </c>
    </row>
    <row r="247" spans="1:10" x14ac:dyDescent="0.25">
      <c r="A247" s="51">
        <f>'A) Base RI'!A249</f>
        <v>5817</v>
      </c>
      <c r="B247" s="321" t="str">
        <f>'A) Base RI'!B249</f>
        <v>Grandcour</v>
      </c>
      <c r="C247" s="101">
        <f>'B) D RI'!U249</f>
        <v>22248.358742138364</v>
      </c>
      <c r="D247" s="117">
        <f>'E) Fact soc'!G253/C247</f>
        <v>17.857918761840686</v>
      </c>
      <c r="E247" s="144">
        <f>'H) Péréquation directe'!I258/C247</f>
        <v>-5.3353418196080593</v>
      </c>
      <c r="F247" s="117">
        <f>+'I) Dépenses thématiques'!O247/'J) Plafonnement effort'!C247</f>
        <v>-4.9396475038191268</v>
      </c>
      <c r="G247" s="144">
        <f t="shared" si="13"/>
        <v>7.5829294384135002</v>
      </c>
      <c r="H247" s="336">
        <f t="shared" si="14"/>
        <v>0</v>
      </c>
      <c r="I247" s="59">
        <f t="shared" si="15"/>
        <v>0</v>
      </c>
      <c r="J247" s="35">
        <f t="shared" si="16"/>
        <v>7.5829294384135002</v>
      </c>
    </row>
    <row r="248" spans="1:10" x14ac:dyDescent="0.25">
      <c r="A248" s="51">
        <f>'A) Base RI'!A250</f>
        <v>5819</v>
      </c>
      <c r="B248" s="321" t="str">
        <f>'A) Base RI'!B250</f>
        <v>Henniez</v>
      </c>
      <c r="C248" s="101">
        <f>'B) D RI'!U250</f>
        <v>14874.063333333332</v>
      </c>
      <c r="D248" s="117">
        <f>'E) Fact soc'!G254/C248</f>
        <v>17.382354288627788</v>
      </c>
      <c r="E248" s="144">
        <f>'H) Péréquation directe'!I259/C248</f>
        <v>14.5701279697434</v>
      </c>
      <c r="F248" s="117">
        <f>+'I) Dépenses thématiques'!O248/'J) Plafonnement effort'!C248</f>
        <v>-3.0968721295942228</v>
      </c>
      <c r="G248" s="144">
        <f t="shared" si="13"/>
        <v>28.855610128776966</v>
      </c>
      <c r="H248" s="336">
        <f t="shared" si="14"/>
        <v>0</v>
      </c>
      <c r="I248" s="59">
        <f t="shared" si="15"/>
        <v>0</v>
      </c>
      <c r="J248" s="35">
        <f t="shared" si="16"/>
        <v>28.855610128776966</v>
      </c>
    </row>
    <row r="249" spans="1:10" x14ac:dyDescent="0.25">
      <c r="A249" s="51">
        <f>'A) Base RI'!A251</f>
        <v>5821</v>
      </c>
      <c r="B249" s="321" t="str">
        <f>'A) Base RI'!B251</f>
        <v>Missy</v>
      </c>
      <c r="C249" s="101">
        <f>'B) D RI'!U251</f>
        <v>7639.0673611111124</v>
      </c>
      <c r="D249" s="117">
        <f>'E) Fact soc'!G255/C249</f>
        <v>15.889136268062732</v>
      </c>
      <c r="E249" s="144">
        <f>'H) Péréquation directe'!I260/C249</f>
        <v>-7.9651410476777054</v>
      </c>
      <c r="F249" s="117">
        <f>+'I) Dépenses thématiques'!O249/'J) Plafonnement effort'!C249</f>
        <v>-2.2246429119837279</v>
      </c>
      <c r="G249" s="144">
        <f t="shared" si="13"/>
        <v>5.6993523084012985</v>
      </c>
      <c r="H249" s="336">
        <f t="shared" si="14"/>
        <v>0</v>
      </c>
      <c r="I249" s="59">
        <f t="shared" si="15"/>
        <v>0</v>
      </c>
      <c r="J249" s="35">
        <f t="shared" si="16"/>
        <v>5.6993523084012985</v>
      </c>
    </row>
    <row r="250" spans="1:10" x14ac:dyDescent="0.25">
      <c r="A250" s="51">
        <f>'A) Base RI'!A252</f>
        <v>5822</v>
      </c>
      <c r="B250" s="321" t="str">
        <f>'A) Base RI'!B252</f>
        <v>Payerne</v>
      </c>
      <c r="C250" s="101">
        <f>'B) D RI'!U252</f>
        <v>246397.68826666669</v>
      </c>
      <c r="D250" s="117">
        <f>'E) Fact soc'!G256/C250</f>
        <v>17.904970074024227</v>
      </c>
      <c r="E250" s="144">
        <f>'H) Péréquation directe'!I261/C250</f>
        <v>-17.906417481215779</v>
      </c>
      <c r="F250" s="117">
        <f>+'I) Dépenses thématiques'!O250/'J) Plafonnement effort'!C250</f>
        <v>-5.0399766740352208</v>
      </c>
      <c r="G250" s="144">
        <f t="shared" si="13"/>
        <v>-5.041424081226773</v>
      </c>
      <c r="H250" s="336">
        <f t="shared" si="14"/>
        <v>0</v>
      </c>
      <c r="I250" s="59">
        <f t="shared" si="15"/>
        <v>0</v>
      </c>
      <c r="J250" s="35">
        <f t="shared" si="16"/>
        <v>-5.041424081226773</v>
      </c>
    </row>
    <row r="251" spans="1:10" x14ac:dyDescent="0.25">
      <c r="A251" s="51">
        <f>'A) Base RI'!A253</f>
        <v>5827</v>
      </c>
      <c r="B251" s="321" t="str">
        <f>'A) Base RI'!B253</f>
        <v>Trey</v>
      </c>
      <c r="C251" s="101">
        <f>'B) D RI'!U253</f>
        <v>6752.2672499999999</v>
      </c>
      <c r="D251" s="117">
        <f>'E) Fact soc'!G257/C251</f>
        <v>17.277780738097739</v>
      </c>
      <c r="E251" s="144">
        <f>'H) Péréquation directe'!I262/C251</f>
        <v>-5.1994053910121636</v>
      </c>
      <c r="F251" s="117">
        <f>+'I) Dépenses thématiques'!O251/'J) Plafonnement effort'!C251</f>
        <v>-7.6704250064148978</v>
      </c>
      <c r="G251" s="144">
        <f t="shared" si="13"/>
        <v>4.4079503406706779</v>
      </c>
      <c r="H251" s="336">
        <f t="shared" si="14"/>
        <v>0</v>
      </c>
      <c r="I251" s="59">
        <f t="shared" si="15"/>
        <v>0</v>
      </c>
      <c r="J251" s="35">
        <f t="shared" si="16"/>
        <v>4.4079503406706779</v>
      </c>
    </row>
    <row r="252" spans="1:10" x14ac:dyDescent="0.25">
      <c r="A252" s="51">
        <f>'A) Base RI'!A254</f>
        <v>5828</v>
      </c>
      <c r="B252" s="321" t="str">
        <f>'A) Base RI'!B254</f>
        <v>Treytorrens (Payerne)</v>
      </c>
      <c r="C252" s="101">
        <f>'B) D RI'!U254</f>
        <v>2280.7091269841271</v>
      </c>
      <c r="D252" s="117">
        <f>'E) Fact soc'!G258/C252</f>
        <v>22.913831241518679</v>
      </c>
      <c r="E252" s="144">
        <f>'H) Péréquation directe'!I263/C252</f>
        <v>-25.909260721654665</v>
      </c>
      <c r="F252" s="117">
        <f>+'I) Dépenses thématiques'!O252/'J) Plafonnement effort'!C252</f>
        <v>-23.196233375428275</v>
      </c>
      <c r="G252" s="144">
        <f t="shared" si="13"/>
        <v>-26.19166285556426</v>
      </c>
      <c r="H252" s="336">
        <f t="shared" si="14"/>
        <v>0</v>
      </c>
      <c r="I252" s="59">
        <f t="shared" si="15"/>
        <v>0</v>
      </c>
      <c r="J252" s="35">
        <f t="shared" si="16"/>
        <v>-26.19166285556426</v>
      </c>
    </row>
    <row r="253" spans="1:10" x14ac:dyDescent="0.25">
      <c r="A253" s="51">
        <f>'A) Base RI'!A255</f>
        <v>5830</v>
      </c>
      <c r="B253" s="321" t="str">
        <f>'A) Base RI'!B255</f>
        <v>Villarzel</v>
      </c>
      <c r="C253" s="101">
        <f>'B) D RI'!U255</f>
        <v>10522.833037974684</v>
      </c>
      <c r="D253" s="117">
        <f>'E) Fact soc'!G259/C253</f>
        <v>17.998480571635962</v>
      </c>
      <c r="E253" s="144">
        <f>'H) Péréquation directe'!I264/C253</f>
        <v>-4.6330767516284608</v>
      </c>
      <c r="F253" s="117">
        <f>+'I) Dépenses thématiques'!O253/'J) Plafonnement effort'!C253</f>
        <v>-10.679671458806505</v>
      </c>
      <c r="G253" s="144">
        <f t="shared" si="13"/>
        <v>2.685732361200996</v>
      </c>
      <c r="H253" s="336">
        <f t="shared" si="14"/>
        <v>0</v>
      </c>
      <c r="I253" s="59">
        <f t="shared" si="15"/>
        <v>0</v>
      </c>
      <c r="J253" s="35">
        <f t="shared" si="16"/>
        <v>2.685732361200996</v>
      </c>
    </row>
    <row r="254" spans="1:10" x14ac:dyDescent="0.25">
      <c r="A254" s="51">
        <f>'A) Base RI'!A256</f>
        <v>5831</v>
      </c>
      <c r="B254" s="321" t="str">
        <f>'A) Base RI'!B256</f>
        <v>Valbroye</v>
      </c>
      <c r="C254" s="101">
        <f>'B) D RI'!U256</f>
        <v>82821.588904109609</v>
      </c>
      <c r="D254" s="117">
        <f>'E) Fact soc'!G260/C254</f>
        <v>19.043483902515195</v>
      </c>
      <c r="E254" s="144">
        <f>'H) Péréquation directe'!I265/C254</f>
        <v>-4.8356553886442688</v>
      </c>
      <c r="F254" s="117">
        <f>+'I) Dépenses thématiques'!O254/'J) Plafonnement effort'!C254</f>
        <v>-8.0810037816671159</v>
      </c>
      <c r="G254" s="144">
        <f t="shared" si="13"/>
        <v>6.1268247322038096</v>
      </c>
      <c r="H254" s="336">
        <f t="shared" si="14"/>
        <v>0</v>
      </c>
      <c r="I254" s="59">
        <f t="shared" si="15"/>
        <v>0</v>
      </c>
      <c r="J254" s="35">
        <f t="shared" si="16"/>
        <v>6.1268247322038096</v>
      </c>
    </row>
    <row r="255" spans="1:10" x14ac:dyDescent="0.25">
      <c r="A255" s="51">
        <f>'A) Base RI'!A257</f>
        <v>5841</v>
      </c>
      <c r="B255" s="321" t="str">
        <f>'A) Base RI'!B257</f>
        <v>Château-d'Oex</v>
      </c>
      <c r="C255" s="101">
        <f>'B) D RI'!U257</f>
        <v>112619.72</v>
      </c>
      <c r="D255" s="117">
        <f>'E) Fact soc'!G261/C255</f>
        <v>20.056824299064957</v>
      </c>
      <c r="E255" s="144">
        <f>'H) Péréquation directe'!I266/C255</f>
        <v>-0.42451484541682932</v>
      </c>
      <c r="F255" s="117">
        <f>+'I) Dépenses thématiques'!O255/'J) Plafonnement effort'!C255</f>
        <v>-19.153687255541399</v>
      </c>
      <c r="G255" s="144">
        <f t="shared" si="13"/>
        <v>0.47862219810672713</v>
      </c>
      <c r="H255" s="336">
        <f t="shared" si="14"/>
        <v>0</v>
      </c>
      <c r="I255" s="59">
        <f t="shared" si="15"/>
        <v>0</v>
      </c>
      <c r="J255" s="35">
        <f t="shared" si="16"/>
        <v>0.47862219810672713</v>
      </c>
    </row>
    <row r="256" spans="1:10" x14ac:dyDescent="0.25">
      <c r="A256" s="51">
        <f>'A) Base RI'!A258</f>
        <v>5842</v>
      </c>
      <c r="B256" s="321" t="str">
        <f>'A) Base RI'!B258</f>
        <v>Rossinière</v>
      </c>
      <c r="C256" s="101">
        <f>'B) D RI'!U258</f>
        <v>12532.166460905351</v>
      </c>
      <c r="D256" s="117">
        <f>'E) Fact soc'!G262/C256</f>
        <v>18.447833145973409</v>
      </c>
      <c r="E256" s="144">
        <f>'H) Péréquation directe'!I267/C256</f>
        <v>-10.503382434559379</v>
      </c>
      <c r="F256" s="117">
        <f>+'I) Dépenses thématiques'!O256/'J) Plafonnement effort'!C256</f>
        <v>-24.161695717775839</v>
      </c>
      <c r="G256" s="144">
        <f t="shared" si="13"/>
        <v>-16.217245006361807</v>
      </c>
      <c r="H256" s="336">
        <f t="shared" si="14"/>
        <v>0</v>
      </c>
      <c r="I256" s="59">
        <f t="shared" si="15"/>
        <v>0</v>
      </c>
      <c r="J256" s="35">
        <f t="shared" si="16"/>
        <v>-16.217245006361807</v>
      </c>
    </row>
    <row r="257" spans="1:10" x14ac:dyDescent="0.25">
      <c r="A257" s="51">
        <f>'A) Base RI'!A259</f>
        <v>5843</v>
      </c>
      <c r="B257" s="321" t="str">
        <f>'A) Base RI'!B259</f>
        <v>Rougemont</v>
      </c>
      <c r="C257" s="101">
        <f>'B) D RI'!U259</f>
        <v>87898.663243243253</v>
      </c>
      <c r="D257" s="117">
        <f>'E) Fact soc'!G263/C257</f>
        <v>33.09987531001169</v>
      </c>
      <c r="E257" s="144">
        <f>'H) Péréquation directe'!I268/C257</f>
        <v>15.131495688307293</v>
      </c>
      <c r="F257" s="117">
        <f>+'I) Dépenses thématiques'!O257/'J) Plafonnement effort'!C257</f>
        <v>-10.102562322970909</v>
      </c>
      <c r="G257" s="144">
        <f t="shared" si="13"/>
        <v>38.128808675348068</v>
      </c>
      <c r="H257" s="336">
        <f t="shared" si="14"/>
        <v>0</v>
      </c>
      <c r="I257" s="59">
        <f t="shared" si="15"/>
        <v>0</v>
      </c>
      <c r="J257" s="35">
        <f t="shared" si="16"/>
        <v>38.128808675348068</v>
      </c>
    </row>
    <row r="258" spans="1:10" x14ac:dyDescent="0.25">
      <c r="A258" s="51">
        <f>'A) Base RI'!A260</f>
        <v>5851</v>
      </c>
      <c r="B258" s="321" t="str">
        <f>'A) Base RI'!B260</f>
        <v>Allaman</v>
      </c>
      <c r="C258" s="101">
        <f>'B) D RI'!U260</f>
        <v>28628.932741935481</v>
      </c>
      <c r="D258" s="117">
        <f>'E) Fact soc'!G264/C258</f>
        <v>19.185369068801368</v>
      </c>
      <c r="E258" s="144">
        <f>'H) Péréquation directe'!I269/C258</f>
        <v>16.346241331921139</v>
      </c>
      <c r="F258" s="117">
        <f>+'I) Dépenses thématiques'!O258/'J) Plafonnement effort'!C258</f>
        <v>0</v>
      </c>
      <c r="G258" s="144">
        <f t="shared" si="13"/>
        <v>35.531610400722506</v>
      </c>
      <c r="H258" s="336">
        <f t="shared" si="14"/>
        <v>0</v>
      </c>
      <c r="I258" s="59">
        <f t="shared" si="15"/>
        <v>0</v>
      </c>
      <c r="J258" s="35">
        <f t="shared" si="16"/>
        <v>35.531610400722506</v>
      </c>
    </row>
    <row r="259" spans="1:10" x14ac:dyDescent="0.25">
      <c r="A259" s="51">
        <f>'A) Base RI'!A261</f>
        <v>5852</v>
      </c>
      <c r="B259" s="321" t="str">
        <f>'A) Base RI'!B261</f>
        <v>Bursinel</v>
      </c>
      <c r="C259" s="101">
        <f>'B) D RI'!U261</f>
        <v>38777.824427480911</v>
      </c>
      <c r="D259" s="117">
        <f>'E) Fact soc'!G265/C259</f>
        <v>60.461869966843487</v>
      </c>
      <c r="E259" s="144">
        <f>'H) Péréquation directe'!I270/C259</f>
        <v>15.790588812612214</v>
      </c>
      <c r="F259" s="117">
        <f>+'I) Dépenses thématiques'!O259/'J) Plafonnement effort'!C259</f>
        <v>0</v>
      </c>
      <c r="G259" s="144">
        <f t="shared" si="13"/>
        <v>76.252458779455708</v>
      </c>
      <c r="H259" s="336">
        <f t="shared" si="14"/>
        <v>-19.250020363556622</v>
      </c>
      <c r="I259" s="59">
        <f t="shared" si="15"/>
        <v>-746473.90988343093</v>
      </c>
      <c r="J259" s="35">
        <f t="shared" si="16"/>
        <v>57.002438415899086</v>
      </c>
    </row>
    <row r="260" spans="1:10" x14ac:dyDescent="0.25">
      <c r="A260" s="51">
        <f>'A) Base RI'!A262</f>
        <v>5853</v>
      </c>
      <c r="B260" s="321" t="str">
        <f>'A) Base RI'!B262</f>
        <v>Bursins</v>
      </c>
      <c r="C260" s="101">
        <f>'B) D RI'!U262</f>
        <v>36130.042112676056</v>
      </c>
      <c r="D260" s="117">
        <f>'E) Fact soc'!G266/C260</f>
        <v>19.223245491045425</v>
      </c>
      <c r="E260" s="144">
        <f>'H) Péréquation directe'!I271/C260</f>
        <v>16.450927619412532</v>
      </c>
      <c r="F260" s="117">
        <f>+'I) Dépenses thématiques'!O260/'J) Plafonnement effort'!C260</f>
        <v>-0.19482456856229033</v>
      </c>
      <c r="G260" s="144">
        <f t="shared" si="13"/>
        <v>35.479348541895668</v>
      </c>
      <c r="H260" s="336">
        <f t="shared" si="14"/>
        <v>0</v>
      </c>
      <c r="I260" s="59">
        <f t="shared" si="15"/>
        <v>0</v>
      </c>
      <c r="J260" s="35">
        <f t="shared" si="16"/>
        <v>35.479348541895668</v>
      </c>
    </row>
    <row r="261" spans="1:10" x14ac:dyDescent="0.25">
      <c r="A261" s="51">
        <f>'A) Base RI'!A263</f>
        <v>5854</v>
      </c>
      <c r="B261" s="321" t="str">
        <f>'A) Base RI'!B263</f>
        <v>Burtigny</v>
      </c>
      <c r="C261" s="101">
        <f>'B) D RI'!U263</f>
        <v>10180.844041666667</v>
      </c>
      <c r="D261" s="117">
        <f>'E) Fact soc'!G267/C261</f>
        <v>21.813099296773505</v>
      </c>
      <c r="E261" s="144">
        <f>'H) Péréquation directe'!I272/C261</f>
        <v>3.5341902885125807E-2</v>
      </c>
      <c r="F261" s="117">
        <f>+'I) Dépenses thématiques'!O261/'J) Plafonnement effort'!C261</f>
        <v>-4.4375818787806898</v>
      </c>
      <c r="G261" s="144">
        <f t="shared" si="13"/>
        <v>17.41085932087794</v>
      </c>
      <c r="H261" s="336">
        <f t="shared" si="14"/>
        <v>0</v>
      </c>
      <c r="I261" s="59">
        <f t="shared" si="15"/>
        <v>0</v>
      </c>
      <c r="J261" s="35">
        <f t="shared" si="16"/>
        <v>17.41085932087794</v>
      </c>
    </row>
    <row r="262" spans="1:10" x14ac:dyDescent="0.25">
      <c r="A262" s="51">
        <f>'A) Base RI'!A264</f>
        <v>5855</v>
      </c>
      <c r="B262" s="321" t="str">
        <f>'A) Base RI'!B264</f>
        <v>Dully</v>
      </c>
      <c r="C262" s="101">
        <f>'B) D RI'!U264</f>
        <v>78426.610408163266</v>
      </c>
      <c r="D262" s="117">
        <f>'E) Fact soc'!G268/C262</f>
        <v>26.57457342623476</v>
      </c>
      <c r="E262" s="144">
        <f>'H) Péréquation directe'!I273/C262</f>
        <v>14.501606480726551</v>
      </c>
      <c r="F262" s="117">
        <f>+'I) Dépenses thématiques'!O262/'J) Plafonnement effort'!C262</f>
        <v>0</v>
      </c>
      <c r="G262" s="144">
        <f t="shared" ref="G262:G313" si="17">SUM(D262:F262)</f>
        <v>41.076179906961315</v>
      </c>
      <c r="H262" s="336">
        <f t="shared" ref="H262:H313" si="18">IF(G262&gt;H$4,H$4-G262,0)</f>
        <v>0</v>
      </c>
      <c r="I262" s="59">
        <f t="shared" ref="I262:I313" si="19">H262*C262</f>
        <v>0</v>
      </c>
      <c r="J262" s="35">
        <f t="shared" ref="J262:J313" si="20">G262+H262</f>
        <v>41.076179906961315</v>
      </c>
    </row>
    <row r="263" spans="1:10" x14ac:dyDescent="0.25">
      <c r="A263" s="51">
        <f>'A) Base RI'!A265</f>
        <v>5856</v>
      </c>
      <c r="B263" s="321" t="str">
        <f>'A) Base RI'!B265</f>
        <v>Essertines-sur-Rolle</v>
      </c>
      <c r="C263" s="101">
        <f>'B) D RI'!U265</f>
        <v>34355.55787330318</v>
      </c>
      <c r="D263" s="117">
        <f>'E) Fact soc'!G269/C263</f>
        <v>19.674016486841655</v>
      </c>
      <c r="E263" s="144">
        <f>'H) Péréquation directe'!I274/C263</f>
        <v>16.486614380001836</v>
      </c>
      <c r="F263" s="117">
        <f>+'I) Dépenses thématiques'!O263/'J) Plafonnement effort'!C263</f>
        <v>-0.28269036076288712</v>
      </c>
      <c r="G263" s="144">
        <f t="shared" si="17"/>
        <v>35.877940506080606</v>
      </c>
      <c r="H263" s="336">
        <f t="shared" si="18"/>
        <v>0</v>
      </c>
      <c r="I263" s="59">
        <f t="shared" si="19"/>
        <v>0</v>
      </c>
      <c r="J263" s="35">
        <f t="shared" si="20"/>
        <v>35.877940506080606</v>
      </c>
    </row>
    <row r="264" spans="1:10" x14ac:dyDescent="0.25">
      <c r="A264" s="51">
        <f>'A) Base RI'!A266</f>
        <v>5857</v>
      </c>
      <c r="B264" s="321" t="str">
        <f>'A) Base RI'!B266</f>
        <v>Gilly</v>
      </c>
      <c r="C264" s="101">
        <f>'B) D RI'!U266</f>
        <v>76893.262272727268</v>
      </c>
      <c r="D264" s="117">
        <f>'E) Fact soc'!G270/C264</f>
        <v>19.824041896756498</v>
      </c>
      <c r="E264" s="144">
        <f>'H) Péréquation directe'!I275/C264</f>
        <v>15.598520496210583</v>
      </c>
      <c r="F264" s="117">
        <f>+'I) Dépenses thématiques'!O264/'J) Plafonnement effort'!C264</f>
        <v>0</v>
      </c>
      <c r="G264" s="144">
        <f t="shared" si="17"/>
        <v>35.42256239296708</v>
      </c>
      <c r="H264" s="336">
        <f t="shared" si="18"/>
        <v>0</v>
      </c>
      <c r="I264" s="59">
        <f t="shared" si="19"/>
        <v>0</v>
      </c>
      <c r="J264" s="35">
        <f t="shared" si="20"/>
        <v>35.42256239296708</v>
      </c>
    </row>
    <row r="265" spans="1:10" x14ac:dyDescent="0.25">
      <c r="A265" s="51">
        <f>'A) Base RI'!A267</f>
        <v>5858</v>
      </c>
      <c r="B265" s="321" t="str">
        <f>'A) Base RI'!B267</f>
        <v>Luins</v>
      </c>
      <c r="C265" s="101">
        <f>'B) D RI'!U267</f>
        <v>34234.109777777776</v>
      </c>
      <c r="D265" s="117">
        <f>'E) Fact soc'!G271/C265</f>
        <v>16.881591799886497</v>
      </c>
      <c r="E265" s="144">
        <f>'H) Péréquation directe'!I276/C265</f>
        <v>16.674652543953268</v>
      </c>
      <c r="F265" s="117">
        <f>+'I) Dépenses thématiques'!O265/'J) Plafonnement effort'!C265</f>
        <v>0</v>
      </c>
      <c r="G265" s="144">
        <f t="shared" si="17"/>
        <v>33.556244343839765</v>
      </c>
      <c r="H265" s="336">
        <f t="shared" si="18"/>
        <v>0</v>
      </c>
      <c r="I265" s="59">
        <f t="shared" si="19"/>
        <v>0</v>
      </c>
      <c r="J265" s="35">
        <f t="shared" si="20"/>
        <v>33.556244343839765</v>
      </c>
    </row>
    <row r="266" spans="1:10" x14ac:dyDescent="0.25">
      <c r="A266" s="51">
        <f>'A) Base RI'!A268</f>
        <v>5859</v>
      </c>
      <c r="B266" s="321" t="str">
        <f>'A) Base RI'!B268</f>
        <v>Mont-sur-Rolle</v>
      </c>
      <c r="C266" s="101">
        <f>'B) D RI'!U268</f>
        <v>136889.24374999999</v>
      </c>
      <c r="D266" s="117">
        <f>'E) Fact soc'!G272/C266</f>
        <v>19.405389166014636</v>
      </c>
      <c r="E266" s="144">
        <f>'H) Péréquation directe'!I277/C266</f>
        <v>13.469699995776988</v>
      </c>
      <c r="F266" s="117">
        <f>+'I) Dépenses thématiques'!O266/'J) Plafonnement effort'!C266</f>
        <v>0</v>
      </c>
      <c r="G266" s="144">
        <f t="shared" si="17"/>
        <v>32.875089161791621</v>
      </c>
      <c r="H266" s="336">
        <f t="shared" si="18"/>
        <v>0</v>
      </c>
      <c r="I266" s="59">
        <f t="shared" si="19"/>
        <v>0</v>
      </c>
      <c r="J266" s="35">
        <f t="shared" si="20"/>
        <v>32.875089161791621</v>
      </c>
    </row>
    <row r="267" spans="1:10" x14ac:dyDescent="0.25">
      <c r="A267" s="51">
        <f>'A) Base RI'!A269</f>
        <v>5860</v>
      </c>
      <c r="B267" s="321" t="str">
        <f>'A) Base RI'!B269</f>
        <v>Perroy</v>
      </c>
      <c r="C267" s="101">
        <f>'B) D RI'!U269</f>
        <v>87860.762038461558</v>
      </c>
      <c r="D267" s="117">
        <f>'E) Fact soc'!G273/C267</f>
        <v>19.238134889212226</v>
      </c>
      <c r="E267" s="144">
        <f>'H) Péréquation directe'!I278/C267</f>
        <v>15.155026422133551</v>
      </c>
      <c r="F267" s="117">
        <f>+'I) Dépenses thématiques'!O267/'J) Plafonnement effort'!C267</f>
        <v>0</v>
      </c>
      <c r="G267" s="144">
        <f t="shared" si="17"/>
        <v>34.393161311345779</v>
      </c>
      <c r="H267" s="336">
        <f t="shared" si="18"/>
        <v>0</v>
      </c>
      <c r="I267" s="59">
        <f t="shared" si="19"/>
        <v>0</v>
      </c>
      <c r="J267" s="35">
        <f t="shared" si="20"/>
        <v>34.393161311345779</v>
      </c>
    </row>
    <row r="268" spans="1:10" x14ac:dyDescent="0.25">
      <c r="A268" s="51">
        <f>'A) Base RI'!A270</f>
        <v>5861</v>
      </c>
      <c r="B268" s="321" t="str">
        <f>'A) Base RI'!B270</f>
        <v>Rolle</v>
      </c>
      <c r="C268" s="101">
        <f>'B) D RI'!U270</f>
        <v>824107.17394957971</v>
      </c>
      <c r="D268" s="117">
        <f>'E) Fact soc'!G274/C268</f>
        <v>30.290256936555384</v>
      </c>
      <c r="E268" s="144">
        <f>'H) Péréquation directe'!I279/C268</f>
        <v>12.004926380751366</v>
      </c>
      <c r="F268" s="117">
        <f>+'I) Dépenses thématiques'!O268/'J) Plafonnement effort'!C268</f>
        <v>0</v>
      </c>
      <c r="G268" s="144">
        <f t="shared" si="17"/>
        <v>42.295183317306751</v>
      </c>
      <c r="H268" s="336">
        <f t="shared" si="18"/>
        <v>0</v>
      </c>
      <c r="I268" s="59">
        <f t="shared" si="19"/>
        <v>0</v>
      </c>
      <c r="J268" s="35">
        <f t="shared" si="20"/>
        <v>42.295183317306751</v>
      </c>
    </row>
    <row r="269" spans="1:10" x14ac:dyDescent="0.25">
      <c r="A269" s="51">
        <f>'A) Base RI'!A271</f>
        <v>5862</v>
      </c>
      <c r="B269" s="321" t="str">
        <f>'A) Base RI'!B271</f>
        <v>Tartegnin</v>
      </c>
      <c r="C269" s="101">
        <f>'B) D RI'!U271</f>
        <v>10629.942633744855</v>
      </c>
      <c r="D269" s="117">
        <f>'E) Fact soc'!G275/C269</f>
        <v>21.874346509863894</v>
      </c>
      <c r="E269" s="144">
        <f>'H) Péréquation directe'!I280/C269</f>
        <v>16.303982918024698</v>
      </c>
      <c r="F269" s="117">
        <f>+'I) Dépenses thématiques'!O269/'J) Plafonnement effort'!C269</f>
        <v>0</v>
      </c>
      <c r="G269" s="144">
        <f t="shared" si="17"/>
        <v>38.178329427888592</v>
      </c>
      <c r="H269" s="336">
        <f t="shared" si="18"/>
        <v>0</v>
      </c>
      <c r="I269" s="59">
        <f t="shared" si="19"/>
        <v>0</v>
      </c>
      <c r="J269" s="35">
        <f t="shared" si="20"/>
        <v>38.178329427888592</v>
      </c>
    </row>
    <row r="270" spans="1:10" x14ac:dyDescent="0.25">
      <c r="A270" s="51">
        <f>'A) Base RI'!A272</f>
        <v>5863</v>
      </c>
      <c r="B270" s="321" t="str">
        <f>'A) Base RI'!B272</f>
        <v>Vinzel</v>
      </c>
      <c r="C270" s="101">
        <f>'B) D RI'!U272</f>
        <v>22869.43104477612</v>
      </c>
      <c r="D270" s="117">
        <f>'E) Fact soc'!G276/C270</f>
        <v>17.401997056701401</v>
      </c>
      <c r="E270" s="144">
        <f>'H) Péréquation directe'!I281/C270</f>
        <v>16.457110927545433</v>
      </c>
      <c r="F270" s="117">
        <f>+'I) Dépenses thématiques'!O270/'J) Plafonnement effort'!C270</f>
        <v>-12.05924775876252</v>
      </c>
      <c r="G270" s="144">
        <f t="shared" si="17"/>
        <v>21.799860225484313</v>
      </c>
      <c r="H270" s="336">
        <f t="shared" si="18"/>
        <v>0</v>
      </c>
      <c r="I270" s="59">
        <f t="shared" si="19"/>
        <v>0</v>
      </c>
      <c r="J270" s="35">
        <f t="shared" si="20"/>
        <v>21.799860225484313</v>
      </c>
    </row>
    <row r="271" spans="1:10" x14ac:dyDescent="0.25">
      <c r="A271" s="51">
        <f>'A) Base RI'!A273</f>
        <v>5871</v>
      </c>
      <c r="B271" s="321" t="str">
        <f>'A) Base RI'!B273</f>
        <v>L'Abbaye</v>
      </c>
      <c r="C271" s="101">
        <f>'B) D RI'!U273</f>
        <v>47794.781759379046</v>
      </c>
      <c r="D271" s="117">
        <f>'E) Fact soc'!G277/C271</f>
        <v>22.125964277416124</v>
      </c>
      <c r="E271" s="144">
        <f>'H) Péréquation directe'!I282/C271</f>
        <v>3.4120841117689578</v>
      </c>
      <c r="F271" s="117">
        <f>+'I) Dépenses thématiques'!O271/'J) Plafonnement effort'!C271</f>
        <v>-7.5518949335520684</v>
      </c>
      <c r="G271" s="144">
        <f t="shared" si="17"/>
        <v>17.986153455633016</v>
      </c>
      <c r="H271" s="336">
        <f t="shared" si="18"/>
        <v>0</v>
      </c>
      <c r="I271" s="59">
        <f t="shared" si="19"/>
        <v>0</v>
      </c>
      <c r="J271" s="35">
        <f t="shared" si="20"/>
        <v>17.986153455633016</v>
      </c>
    </row>
    <row r="272" spans="1:10" x14ac:dyDescent="0.25">
      <c r="A272" s="51">
        <f>'A) Base RI'!A274</f>
        <v>5872</v>
      </c>
      <c r="B272" s="321" t="str">
        <f>'A) Base RI'!B274</f>
        <v>Le Chenit</v>
      </c>
      <c r="C272" s="101">
        <f>'B) D RI'!U274</f>
        <v>222566.8809866097</v>
      </c>
      <c r="D272" s="117">
        <f>'E) Fact soc'!G278/C272</f>
        <v>23.30496524507782</v>
      </c>
      <c r="E272" s="144">
        <f>'H) Péréquation directe'!I283/C272</f>
        <v>11.359334083365413</v>
      </c>
      <c r="F272" s="117">
        <f>+'I) Dépenses thématiques'!O272/'J) Plafonnement effort'!C272</f>
        <v>-7.9912988707768795</v>
      </c>
      <c r="G272" s="144">
        <f t="shared" si="17"/>
        <v>26.673000457666355</v>
      </c>
      <c r="H272" s="336">
        <f t="shared" si="18"/>
        <v>0</v>
      </c>
      <c r="I272" s="59">
        <f t="shared" si="19"/>
        <v>0</v>
      </c>
      <c r="J272" s="35">
        <f t="shared" si="20"/>
        <v>26.673000457666355</v>
      </c>
    </row>
    <row r="273" spans="1:10" x14ac:dyDescent="0.25">
      <c r="A273" s="51">
        <f>'A) Base RI'!A275</f>
        <v>5873</v>
      </c>
      <c r="B273" s="321" t="str">
        <f>'A) Base RI'!B275</f>
        <v>Le Lieu</v>
      </c>
      <c r="C273" s="101">
        <f>'B) D RI'!U275</f>
        <v>33457.98871794872</v>
      </c>
      <c r="D273" s="117">
        <f>'E) Fact soc'!G279/C273</f>
        <v>23.426684146623451</v>
      </c>
      <c r="E273" s="144">
        <f>'H) Péréquation directe'!I284/C273</f>
        <v>13.180992767038338</v>
      </c>
      <c r="F273" s="117">
        <f>+'I) Dépenses thématiques'!O273/'J) Plafonnement effort'!C273</f>
        <v>-21.893504770517392</v>
      </c>
      <c r="G273" s="144">
        <f t="shared" si="17"/>
        <v>14.714172143144399</v>
      </c>
      <c r="H273" s="336">
        <f t="shared" si="18"/>
        <v>0</v>
      </c>
      <c r="I273" s="59">
        <f t="shared" si="19"/>
        <v>0</v>
      </c>
      <c r="J273" s="35">
        <f t="shared" si="20"/>
        <v>14.714172143144399</v>
      </c>
    </row>
    <row r="274" spans="1:10" x14ac:dyDescent="0.25">
      <c r="A274" s="51">
        <f>'A) Base RI'!A276</f>
        <v>5881</v>
      </c>
      <c r="B274" s="321" t="str">
        <f>'A) Base RI'!B276</f>
        <v>Blonay</v>
      </c>
      <c r="C274" s="101">
        <f>'B) D RI'!U276</f>
        <v>339692.04942857131</v>
      </c>
      <c r="D274" s="117">
        <f>'E) Fact soc'!G280/C274</f>
        <v>16.921418193072789</v>
      </c>
      <c r="E274" s="144">
        <f>'H) Péréquation directe'!I285/C274</f>
        <v>11.188770200316831</v>
      </c>
      <c r="F274" s="117">
        <f>+'I) Dépenses thématiques'!O274/'J) Plafonnement effort'!C274</f>
        <v>-2.5846281939591509</v>
      </c>
      <c r="G274" s="144">
        <f t="shared" si="17"/>
        <v>25.525560199430469</v>
      </c>
      <c r="H274" s="336">
        <f t="shared" si="18"/>
        <v>0</v>
      </c>
      <c r="I274" s="59">
        <f t="shared" si="19"/>
        <v>0</v>
      </c>
      <c r="J274" s="35">
        <f t="shared" si="20"/>
        <v>25.525560199430469</v>
      </c>
    </row>
    <row r="275" spans="1:10" x14ac:dyDescent="0.25">
      <c r="A275" s="51">
        <f>'A) Base RI'!A277</f>
        <v>5882</v>
      </c>
      <c r="B275" s="321" t="str">
        <f>'A) Base RI'!B277</f>
        <v>Chardonne</v>
      </c>
      <c r="C275" s="101">
        <f>'B) D RI'!U277</f>
        <v>157386.77911764712</v>
      </c>
      <c r="D275" s="117">
        <f>'E) Fact soc'!G281/C275</f>
        <v>23.164658591832101</v>
      </c>
      <c r="E275" s="144">
        <f>'H) Péréquation directe'!I286/C275</f>
        <v>13.639936526245185</v>
      </c>
      <c r="F275" s="117">
        <f>+'I) Dépenses thématiques'!O275/'J) Plafonnement effort'!C275</f>
        <v>-1.7276929832741466</v>
      </c>
      <c r="G275" s="144">
        <f t="shared" si="17"/>
        <v>35.076902134803142</v>
      </c>
      <c r="H275" s="336">
        <f t="shared" si="18"/>
        <v>0</v>
      </c>
      <c r="I275" s="59">
        <f t="shared" si="19"/>
        <v>0</v>
      </c>
      <c r="J275" s="35">
        <f t="shared" si="20"/>
        <v>35.076902134803142</v>
      </c>
    </row>
    <row r="276" spans="1:10" x14ac:dyDescent="0.25">
      <c r="A276" s="51">
        <f>'A) Base RI'!A278</f>
        <v>5883</v>
      </c>
      <c r="B276" s="321" t="str">
        <f>'A) Base RI'!B278</f>
        <v>Corseaux</v>
      </c>
      <c r="C276" s="101">
        <f>'B) D RI'!U278</f>
        <v>151056.33637681158</v>
      </c>
      <c r="D276" s="117">
        <f>'E) Fact soc'!G282/C276</f>
        <v>21.249759492537031</v>
      </c>
      <c r="E276" s="144">
        <f>'H) Péréquation directe'!I287/C276</f>
        <v>14.198271130607912</v>
      </c>
      <c r="F276" s="117">
        <f>+'I) Dépenses thématiques'!O276/'J) Plafonnement effort'!C276</f>
        <v>0</v>
      </c>
      <c r="G276" s="144">
        <f t="shared" si="17"/>
        <v>35.448030623144945</v>
      </c>
      <c r="H276" s="336">
        <f t="shared" si="18"/>
        <v>0</v>
      </c>
      <c r="I276" s="59">
        <f t="shared" si="19"/>
        <v>0</v>
      </c>
      <c r="J276" s="35">
        <f t="shared" si="20"/>
        <v>35.448030623144945</v>
      </c>
    </row>
    <row r="277" spans="1:10" x14ac:dyDescent="0.25">
      <c r="A277" s="51">
        <f>'A) Base RI'!A279</f>
        <v>5884</v>
      </c>
      <c r="B277" s="321" t="str">
        <f>'A) Base RI'!B279</f>
        <v>Corsier-sur-Vevey</v>
      </c>
      <c r="C277" s="101">
        <f>'B) D RI'!U279</f>
        <v>131937.87883838385</v>
      </c>
      <c r="D277" s="117">
        <f>'E) Fact soc'!G283/C277</f>
        <v>18.214651393533977</v>
      </c>
      <c r="E277" s="144">
        <f>'H) Péréquation directe'!I288/C277</f>
        <v>8.3699727899151277</v>
      </c>
      <c r="F277" s="117">
        <f>+'I) Dépenses thématiques'!O277/'J) Plafonnement effort'!C277</f>
        <v>-7.755254386342517</v>
      </c>
      <c r="G277" s="144">
        <f t="shared" si="17"/>
        <v>18.829369797106587</v>
      </c>
      <c r="H277" s="336">
        <f t="shared" si="18"/>
        <v>0</v>
      </c>
      <c r="I277" s="59">
        <f t="shared" si="19"/>
        <v>0</v>
      </c>
      <c r="J277" s="35">
        <f t="shared" si="20"/>
        <v>18.829369797106587</v>
      </c>
    </row>
    <row r="278" spans="1:10" x14ac:dyDescent="0.25">
      <c r="A278" s="51">
        <f>'A) Base RI'!A280</f>
        <v>5885</v>
      </c>
      <c r="B278" s="321" t="str">
        <f>'A) Base RI'!B280</f>
        <v>Jongny</v>
      </c>
      <c r="C278" s="101">
        <f>'B) D RI'!U280</f>
        <v>94073.949178403767</v>
      </c>
      <c r="D278" s="117">
        <f>'E) Fact soc'!G284/C278</f>
        <v>20.417492628133907</v>
      </c>
      <c r="E278" s="144">
        <f>'H) Péréquation directe'!I289/C278</f>
        <v>15.0501809987447</v>
      </c>
      <c r="F278" s="117">
        <f>+'I) Dépenses thématiques'!O278/'J) Plafonnement effort'!C278</f>
        <v>-0.20526377549721828</v>
      </c>
      <c r="G278" s="144">
        <f t="shared" si="17"/>
        <v>35.262409851381392</v>
      </c>
      <c r="H278" s="336">
        <f t="shared" si="18"/>
        <v>0</v>
      </c>
      <c r="I278" s="59">
        <f t="shared" si="19"/>
        <v>0</v>
      </c>
      <c r="J278" s="35">
        <f t="shared" si="20"/>
        <v>35.262409851381392</v>
      </c>
    </row>
    <row r="279" spans="1:10" x14ac:dyDescent="0.25">
      <c r="A279" s="51">
        <f>'A) Base RI'!A281</f>
        <v>5886</v>
      </c>
      <c r="B279" s="321" t="str">
        <f>'A) Base RI'!B281</f>
        <v>Montreux</v>
      </c>
      <c r="C279" s="101">
        <f>'B) D RI'!U281</f>
        <v>1128562.492051282</v>
      </c>
      <c r="D279" s="117">
        <f>'E) Fact soc'!G285/C279</f>
        <v>22.221786611902782</v>
      </c>
      <c r="E279" s="144">
        <f>'H) Péréquation directe'!I290/C279</f>
        <v>-1.7285550771758791</v>
      </c>
      <c r="F279" s="117">
        <f>+'I) Dépenses thématiques'!O279/'J) Plafonnement effort'!C279</f>
        <v>-5.0211654544518094</v>
      </c>
      <c r="G279" s="144">
        <f t="shared" si="17"/>
        <v>15.472066080275093</v>
      </c>
      <c r="H279" s="336">
        <f t="shared" si="18"/>
        <v>0</v>
      </c>
      <c r="I279" s="59">
        <f t="shared" si="19"/>
        <v>0</v>
      </c>
      <c r="J279" s="35">
        <f t="shared" si="20"/>
        <v>15.472066080275093</v>
      </c>
    </row>
    <row r="280" spans="1:10" x14ac:dyDescent="0.25">
      <c r="A280" s="51">
        <f>'A) Base RI'!A282</f>
        <v>5888</v>
      </c>
      <c r="B280" s="321" t="str">
        <f>'A) Base RI'!B282</f>
        <v>Saint-Légier-La Chiésaz</v>
      </c>
      <c r="C280" s="101">
        <f>'B) D RI'!U282</f>
        <v>294301.72840796027</v>
      </c>
      <c r="D280" s="117">
        <f>'E) Fact soc'!G286/C280</f>
        <v>18.94289047629373</v>
      </c>
      <c r="E280" s="144">
        <f>'H) Péréquation directe'!I291/C280</f>
        <v>12.001689081069655</v>
      </c>
      <c r="F280" s="117">
        <f>+'I) Dépenses thématiques'!O280/'J) Plafonnement effort'!C280</f>
        <v>-1.0121744478503296</v>
      </c>
      <c r="G280" s="144">
        <f t="shared" si="17"/>
        <v>29.932405109513052</v>
      </c>
      <c r="H280" s="336">
        <f t="shared" si="18"/>
        <v>0</v>
      </c>
      <c r="I280" s="59">
        <f t="shared" si="19"/>
        <v>0</v>
      </c>
      <c r="J280" s="35">
        <f t="shared" si="20"/>
        <v>29.932405109513052</v>
      </c>
    </row>
    <row r="281" spans="1:10" x14ac:dyDescent="0.25">
      <c r="A281" s="51">
        <f>'A) Base RI'!A283</f>
        <v>5889</v>
      </c>
      <c r="B281" s="321" t="str">
        <f>'A) Base RI'!B283</f>
        <v>La Tour-de-Peilz</v>
      </c>
      <c r="C281" s="101">
        <f>'B) D RI'!U283</f>
        <v>666166.0371614584</v>
      </c>
      <c r="D281" s="117">
        <f>'E) Fact soc'!G287/C281</f>
        <v>18.062355999204758</v>
      </c>
      <c r="E281" s="144">
        <f>'H) Péréquation directe'!I292/C281</f>
        <v>8.6787063200980885</v>
      </c>
      <c r="F281" s="117">
        <f>+'I) Dépenses thématiques'!O281/'J) Plafonnement effort'!C281</f>
        <v>0</v>
      </c>
      <c r="G281" s="144">
        <f t="shared" si="17"/>
        <v>26.741062319302848</v>
      </c>
      <c r="H281" s="336">
        <f t="shared" si="18"/>
        <v>0</v>
      </c>
      <c r="I281" s="59">
        <f t="shared" si="19"/>
        <v>0</v>
      </c>
      <c r="J281" s="35">
        <f t="shared" si="20"/>
        <v>26.741062319302848</v>
      </c>
    </row>
    <row r="282" spans="1:10" x14ac:dyDescent="0.25">
      <c r="A282" s="51">
        <f>'A) Base RI'!A284</f>
        <v>5890</v>
      </c>
      <c r="B282" s="321" t="str">
        <f>'A) Base RI'!B284</f>
        <v>Vevey</v>
      </c>
      <c r="C282" s="101">
        <f>'B) D RI'!U284</f>
        <v>976058.24146118714</v>
      </c>
      <c r="D282" s="117">
        <f>'E) Fact soc'!G288/C282</f>
        <v>18.157903912218774</v>
      </c>
      <c r="E282" s="144">
        <f>'H) Péréquation directe'!I293/C282</f>
        <v>3.4873566526407718</v>
      </c>
      <c r="F282" s="117">
        <f>+'I) Dépenses thématiques'!O282/'J) Plafonnement effort'!C282</f>
        <v>-1.8107659839959833</v>
      </c>
      <c r="G282" s="144">
        <f t="shared" si="17"/>
        <v>19.834494580863563</v>
      </c>
      <c r="H282" s="336">
        <f t="shared" si="18"/>
        <v>0</v>
      </c>
      <c r="I282" s="59">
        <f t="shared" si="19"/>
        <v>0</v>
      </c>
      <c r="J282" s="35">
        <f t="shared" si="20"/>
        <v>19.834494580863563</v>
      </c>
    </row>
    <row r="283" spans="1:10" x14ac:dyDescent="0.25">
      <c r="A283" s="51">
        <f>'A) Base RI'!A285</f>
        <v>5891</v>
      </c>
      <c r="B283" s="321" t="str">
        <f>'A) Base RI'!B285</f>
        <v>Veytaux</v>
      </c>
      <c r="C283" s="101">
        <f>'B) D RI'!U285</f>
        <v>35228.276473429949</v>
      </c>
      <c r="D283" s="117">
        <f>'E) Fact soc'!G289/C283</f>
        <v>18.469021770519241</v>
      </c>
      <c r="E283" s="144">
        <f>'H) Péréquation directe'!I294/C283</f>
        <v>14.04052681196938</v>
      </c>
      <c r="F283" s="117">
        <f>+'I) Dépenses thématiques'!O283/'J) Plafonnement effort'!C283</f>
        <v>-8.6223618270393185</v>
      </c>
      <c r="G283" s="144">
        <f t="shared" si="17"/>
        <v>23.887186755449299</v>
      </c>
      <c r="H283" s="336">
        <f t="shared" si="18"/>
        <v>0</v>
      </c>
      <c r="I283" s="59">
        <f t="shared" si="19"/>
        <v>0</v>
      </c>
      <c r="J283" s="35">
        <f t="shared" si="20"/>
        <v>23.887186755449299</v>
      </c>
    </row>
    <row r="284" spans="1:10" x14ac:dyDescent="0.25">
      <c r="A284" s="51">
        <f>'A) Base RI'!A286</f>
        <v>5902</v>
      </c>
      <c r="B284" s="321" t="str">
        <f>'A) Base RI'!B286</f>
        <v>Belmont-sur-Yverdon</v>
      </c>
      <c r="C284" s="101">
        <f>'B) D RI'!U286</f>
        <v>9905.4513157894726</v>
      </c>
      <c r="D284" s="117">
        <f>'E) Fact soc'!G290/C284</f>
        <v>18.217067130286363</v>
      </c>
      <c r="E284" s="144">
        <f>'H) Péréquation directe'!I295/C284</f>
        <v>-1.5497845388243947</v>
      </c>
      <c r="F284" s="117">
        <f>+'I) Dépenses thématiques'!O284/'J) Plafonnement effort'!C284</f>
        <v>-34.797005184965634</v>
      </c>
      <c r="G284" s="144">
        <f t="shared" si="17"/>
        <v>-18.129722593503665</v>
      </c>
      <c r="H284" s="336">
        <f t="shared" si="18"/>
        <v>0</v>
      </c>
      <c r="I284" s="59">
        <f t="shared" si="19"/>
        <v>0</v>
      </c>
      <c r="J284" s="35">
        <f t="shared" si="20"/>
        <v>-18.129722593503665</v>
      </c>
    </row>
    <row r="285" spans="1:10" x14ac:dyDescent="0.25">
      <c r="A285" s="51">
        <f>'A) Base RI'!A287</f>
        <v>5903</v>
      </c>
      <c r="B285" s="321" t="str">
        <f>'A) Base RI'!B287</f>
        <v>Bioley-Magnoux</v>
      </c>
      <c r="C285" s="101">
        <f>'B) D RI'!U287</f>
        <v>5979.8765830115835</v>
      </c>
      <c r="D285" s="117">
        <f>'E) Fact soc'!G291/C285</f>
        <v>17.606526368221694</v>
      </c>
      <c r="E285" s="144">
        <f>'H) Péréquation directe'!I296/C285</f>
        <v>-0.13136358027508885</v>
      </c>
      <c r="F285" s="117">
        <f>+'I) Dépenses thématiques'!O285/'J) Plafonnement effort'!C285</f>
        <v>-46.93506494985612</v>
      </c>
      <c r="G285" s="144">
        <f t="shared" si="17"/>
        <v>-29.459902161909515</v>
      </c>
      <c r="H285" s="336">
        <f t="shared" si="18"/>
        <v>0</v>
      </c>
      <c r="I285" s="59">
        <f t="shared" si="19"/>
        <v>0</v>
      </c>
      <c r="J285" s="35">
        <f t="shared" si="20"/>
        <v>-29.459902161909515</v>
      </c>
    </row>
    <row r="286" spans="1:10" x14ac:dyDescent="0.25">
      <c r="A286" s="51">
        <f>'A) Base RI'!A288</f>
        <v>5904</v>
      </c>
      <c r="B286" s="321" t="str">
        <f>'A) Base RI'!B288</f>
        <v>Chamblon</v>
      </c>
      <c r="C286" s="101">
        <f>'B) D RI'!U288</f>
        <v>21723.445757575762</v>
      </c>
      <c r="D286" s="117">
        <f>'E) Fact soc'!G292/C286</f>
        <v>17.376210272945841</v>
      </c>
      <c r="E286" s="144">
        <f>'H) Péréquation directe'!I297/C286</f>
        <v>14.311189118162979</v>
      </c>
      <c r="F286" s="117">
        <f>+'I) Dépenses thématiques'!O286/'J) Plafonnement effort'!C286</f>
        <v>0</v>
      </c>
      <c r="G286" s="144">
        <f t="shared" si="17"/>
        <v>31.687399391108819</v>
      </c>
      <c r="H286" s="336">
        <f t="shared" si="18"/>
        <v>0</v>
      </c>
      <c r="I286" s="59">
        <f t="shared" si="19"/>
        <v>0</v>
      </c>
      <c r="J286" s="35">
        <f t="shared" si="20"/>
        <v>31.687399391108819</v>
      </c>
    </row>
    <row r="287" spans="1:10" x14ac:dyDescent="0.25">
      <c r="A287" s="51">
        <f>'A) Base RI'!A289</f>
        <v>5905</v>
      </c>
      <c r="B287" s="321" t="str">
        <f>'A) Base RI'!B289</f>
        <v>Champvent</v>
      </c>
      <c r="C287" s="101">
        <f>'B) D RI'!U289</f>
        <v>23277.051267605631</v>
      </c>
      <c r="D287" s="117">
        <f>'E) Fact soc'!G293/C287</f>
        <v>17.507541640031494</v>
      </c>
      <c r="E287" s="144">
        <f>'H) Péréquation directe'!I298/C287</f>
        <v>9.8965687493665548</v>
      </c>
      <c r="F287" s="117">
        <f>+'I) Dépenses thématiques'!O287/'J) Plafonnement effort'!C287</f>
        <v>-2.8770578967686768</v>
      </c>
      <c r="G287" s="144">
        <f t="shared" si="17"/>
        <v>24.527052492629373</v>
      </c>
      <c r="H287" s="336">
        <f t="shared" si="18"/>
        <v>0</v>
      </c>
      <c r="I287" s="59">
        <f t="shared" si="19"/>
        <v>0</v>
      </c>
      <c r="J287" s="35">
        <f t="shared" si="20"/>
        <v>24.527052492629373</v>
      </c>
    </row>
    <row r="288" spans="1:10" x14ac:dyDescent="0.25">
      <c r="A288" s="51">
        <f>'A) Base RI'!A290</f>
        <v>5907</v>
      </c>
      <c r="B288" s="321" t="str">
        <f>'A) Base RI'!B290</f>
        <v>Chavannes-le-Chêne</v>
      </c>
      <c r="C288" s="101">
        <f>'B) D RI'!U290</f>
        <v>8647.1699999999983</v>
      </c>
      <c r="D288" s="117">
        <f>'E) Fact soc'!G294/C288</f>
        <v>15.77490996179997</v>
      </c>
      <c r="E288" s="144">
        <f>'H) Péréquation directe'!I299/C288</f>
        <v>1.950326351252244</v>
      </c>
      <c r="F288" s="117">
        <f>+'I) Dépenses thématiques'!O288/'J) Plafonnement effort'!C288</f>
        <v>-9.0205340075736</v>
      </c>
      <c r="G288" s="144">
        <f t="shared" si="17"/>
        <v>8.7047023054786141</v>
      </c>
      <c r="H288" s="336">
        <f t="shared" si="18"/>
        <v>0</v>
      </c>
      <c r="I288" s="59">
        <f t="shared" si="19"/>
        <v>0</v>
      </c>
      <c r="J288" s="35">
        <f t="shared" si="20"/>
        <v>8.7047023054786141</v>
      </c>
    </row>
    <row r="289" spans="1:10" x14ac:dyDescent="0.25">
      <c r="A289" s="51">
        <f>'A) Base RI'!A291</f>
        <v>5908</v>
      </c>
      <c r="B289" s="321" t="str">
        <f>'A) Base RI'!B291</f>
        <v>Chêne-Pâquier</v>
      </c>
      <c r="C289" s="101">
        <f>'B) D RI'!U291</f>
        <v>2751.637341772152</v>
      </c>
      <c r="D289" s="117">
        <f>'E) Fact soc'!G295/C289</f>
        <v>15.531151284986123</v>
      </c>
      <c r="E289" s="144">
        <f>'H) Péréquation directe'!I300/C289</f>
        <v>-17.793340110872201</v>
      </c>
      <c r="F289" s="117">
        <f>+'I) Dépenses thématiques'!O289/'J) Plafonnement effort'!C289</f>
        <v>-12.246644126799588</v>
      </c>
      <c r="G289" s="144">
        <f t="shared" si="17"/>
        <v>-14.508832952685665</v>
      </c>
      <c r="H289" s="336">
        <f t="shared" si="18"/>
        <v>0</v>
      </c>
      <c r="I289" s="59">
        <f t="shared" si="19"/>
        <v>0</v>
      </c>
      <c r="J289" s="35">
        <f t="shared" si="20"/>
        <v>-14.508832952685665</v>
      </c>
    </row>
    <row r="290" spans="1:10" x14ac:dyDescent="0.25">
      <c r="A290" s="51">
        <f>'A) Base RI'!A292</f>
        <v>5909</v>
      </c>
      <c r="B290" s="321" t="str">
        <f>'A) Base RI'!B292</f>
        <v>Cheseaux-Noréaz</v>
      </c>
      <c r="C290" s="101">
        <f>'B) D RI'!U292</f>
        <v>27973.27357142857</v>
      </c>
      <c r="D290" s="117">
        <f>'E) Fact soc'!G296/C290</f>
        <v>19.921317402161417</v>
      </c>
      <c r="E290" s="144">
        <f>'H) Péréquation directe'!I301/C290</f>
        <v>13.490411148031457</v>
      </c>
      <c r="F290" s="117">
        <f>+'I) Dépenses thématiques'!O290/'J) Plafonnement effort'!C290</f>
        <v>-4.0990241672616294</v>
      </c>
      <c r="G290" s="144">
        <f t="shared" si="17"/>
        <v>29.312704382931248</v>
      </c>
      <c r="H290" s="336">
        <f t="shared" si="18"/>
        <v>0</v>
      </c>
      <c r="I290" s="59">
        <f t="shared" si="19"/>
        <v>0</v>
      </c>
      <c r="J290" s="35">
        <f t="shared" si="20"/>
        <v>29.312704382931248</v>
      </c>
    </row>
    <row r="291" spans="1:10" x14ac:dyDescent="0.25">
      <c r="A291" s="51">
        <f>'A) Base RI'!A293</f>
        <v>5910</v>
      </c>
      <c r="B291" s="321" t="str">
        <f>'A) Base RI'!B293</f>
        <v>Cronay</v>
      </c>
      <c r="C291" s="101">
        <f>'B) D RI'!U293</f>
        <v>10127.988607594936</v>
      </c>
      <c r="D291" s="117">
        <f>'E) Fact soc'!G297/C291</f>
        <v>15.432336601185151</v>
      </c>
      <c r="E291" s="144">
        <f>'H) Péréquation directe'!I302/C291</f>
        <v>-2.0845883324866401</v>
      </c>
      <c r="F291" s="117">
        <f>+'I) Dépenses thématiques'!O291/'J) Plafonnement effort'!C291</f>
        <v>-8.858815530567929</v>
      </c>
      <c r="G291" s="144">
        <f t="shared" si="17"/>
        <v>4.4889327381305808</v>
      </c>
      <c r="H291" s="336">
        <f t="shared" si="18"/>
        <v>0</v>
      </c>
      <c r="I291" s="59">
        <f t="shared" si="19"/>
        <v>0</v>
      </c>
      <c r="J291" s="35">
        <f t="shared" si="20"/>
        <v>4.4889327381305808</v>
      </c>
    </row>
    <row r="292" spans="1:10" x14ac:dyDescent="0.25">
      <c r="A292" s="51">
        <f>'A) Base RI'!A294</f>
        <v>5911</v>
      </c>
      <c r="B292" s="321" t="str">
        <f>'A) Base RI'!B294</f>
        <v>Cuarny</v>
      </c>
      <c r="C292" s="101">
        <f>'B) D RI'!U294</f>
        <v>7075.4874683544303</v>
      </c>
      <c r="D292" s="117">
        <f>'E) Fact soc'!G298/C292</f>
        <v>15.763421437769296</v>
      </c>
      <c r="E292" s="144">
        <f>'H) Péréquation directe'!I303/C292</f>
        <v>2.0960012183673018</v>
      </c>
      <c r="F292" s="117">
        <f>+'I) Dépenses thématiques'!O292/'J) Plafonnement effort'!C292</f>
        <v>-2.837496473594102</v>
      </c>
      <c r="G292" s="144">
        <f t="shared" si="17"/>
        <v>15.021926182542495</v>
      </c>
      <c r="H292" s="336">
        <f t="shared" si="18"/>
        <v>0</v>
      </c>
      <c r="I292" s="59">
        <f t="shared" si="19"/>
        <v>0</v>
      </c>
      <c r="J292" s="35">
        <f t="shared" si="20"/>
        <v>15.021926182542495</v>
      </c>
    </row>
    <row r="293" spans="1:10" x14ac:dyDescent="0.25">
      <c r="A293" s="51">
        <f>'A) Base RI'!A295</f>
        <v>5912</v>
      </c>
      <c r="B293" s="321" t="str">
        <f>'A) Base RI'!B295</f>
        <v>Démoret</v>
      </c>
      <c r="C293" s="101">
        <f>'B) D RI'!U295</f>
        <v>3190.0809876543208</v>
      </c>
      <c r="D293" s="117">
        <f>'E) Fact soc'!G299/C293</f>
        <v>17.250266337474073</v>
      </c>
      <c r="E293" s="144">
        <f>'H) Péréquation directe'!I304/C293</f>
        <v>-13.38759838158632</v>
      </c>
      <c r="F293" s="117">
        <f>+'I) Dépenses thématiques'!O293/'J) Plafonnement effort'!C293</f>
        <v>-4.580605441282918</v>
      </c>
      <c r="G293" s="144">
        <f t="shared" si="17"/>
        <v>-0.717937485395165</v>
      </c>
      <c r="H293" s="336">
        <f t="shared" si="18"/>
        <v>0</v>
      </c>
      <c r="I293" s="59">
        <f t="shared" si="19"/>
        <v>0</v>
      </c>
      <c r="J293" s="35">
        <f t="shared" si="20"/>
        <v>-0.717937485395165</v>
      </c>
    </row>
    <row r="294" spans="1:10" x14ac:dyDescent="0.25">
      <c r="A294" s="51">
        <f>'A) Base RI'!A296</f>
        <v>5913</v>
      </c>
      <c r="B294" s="321" t="str">
        <f>'A) Base RI'!B296</f>
        <v>Donneloye</v>
      </c>
      <c r="C294" s="101">
        <f>'B) D RI'!U296</f>
        <v>20217.518082191778</v>
      </c>
      <c r="D294" s="117">
        <f>'E) Fact soc'!G300/C294</f>
        <v>17.235264347295153</v>
      </c>
      <c r="E294" s="144">
        <f>'H) Péréquation directe'!I305/C294</f>
        <v>-2.4382394609173517</v>
      </c>
      <c r="F294" s="117">
        <f>+'I) Dépenses thématiques'!O294/'J) Plafonnement effort'!C294</f>
        <v>-6.0238880395019763</v>
      </c>
      <c r="G294" s="144">
        <f t="shared" si="17"/>
        <v>8.7731368468758255</v>
      </c>
      <c r="H294" s="336">
        <f t="shared" si="18"/>
        <v>0</v>
      </c>
      <c r="I294" s="59">
        <f t="shared" si="19"/>
        <v>0</v>
      </c>
      <c r="J294" s="35">
        <f t="shared" si="20"/>
        <v>8.7731368468758255</v>
      </c>
    </row>
    <row r="295" spans="1:10" x14ac:dyDescent="0.25">
      <c r="A295" s="51">
        <f>'A) Base RI'!A297</f>
        <v>5914</v>
      </c>
      <c r="B295" s="321" t="str">
        <f>'A) Base RI'!B297</f>
        <v>Ependes</v>
      </c>
      <c r="C295" s="101">
        <f>'B) D RI'!U297</f>
        <v>9998.8652000000002</v>
      </c>
      <c r="D295" s="117">
        <f>'E) Fact soc'!G301/C295</f>
        <v>16.901367552545839</v>
      </c>
      <c r="E295" s="144">
        <f>'H) Péréquation directe'!I306/C295</f>
        <v>1.1362699752411503</v>
      </c>
      <c r="F295" s="117">
        <f>+'I) Dépenses thématiques'!O295/'J) Plafonnement effort'!C295</f>
        <v>-6.6581056890149473</v>
      </c>
      <c r="G295" s="144">
        <f t="shared" si="17"/>
        <v>11.37953183877204</v>
      </c>
      <c r="H295" s="336">
        <f t="shared" si="18"/>
        <v>0</v>
      </c>
      <c r="I295" s="59">
        <f t="shared" si="19"/>
        <v>0</v>
      </c>
      <c r="J295" s="35">
        <f t="shared" si="20"/>
        <v>11.37953183877204</v>
      </c>
    </row>
    <row r="296" spans="1:10" x14ac:dyDescent="0.25">
      <c r="A296" s="51">
        <f>'A) Base RI'!A298</f>
        <v>5919</v>
      </c>
      <c r="B296" s="321" t="str">
        <f>'A) Base RI'!B298</f>
        <v>Mathod</v>
      </c>
      <c r="C296" s="101">
        <f>'B) D RI'!U298</f>
        <v>15974.205138888889</v>
      </c>
      <c r="D296" s="117">
        <f>'E) Fact soc'!G302/C296</f>
        <v>15.79408834222772</v>
      </c>
      <c r="E296" s="144">
        <f>'H) Péréquation directe'!I307/C296</f>
        <v>-0.35605533207030521</v>
      </c>
      <c r="F296" s="117">
        <f>+'I) Dépenses thématiques'!O296/'J) Plafonnement effort'!C296</f>
        <v>-15.331766966848857</v>
      </c>
      <c r="G296" s="144">
        <f t="shared" si="17"/>
        <v>0.10626604330855827</v>
      </c>
      <c r="H296" s="336">
        <f t="shared" si="18"/>
        <v>0</v>
      </c>
      <c r="I296" s="59">
        <f t="shared" si="19"/>
        <v>0</v>
      </c>
      <c r="J296" s="35">
        <f t="shared" si="20"/>
        <v>0.10626604330855827</v>
      </c>
    </row>
    <row r="297" spans="1:10" x14ac:dyDescent="0.25">
      <c r="A297" s="51">
        <f>'A) Base RI'!A299</f>
        <v>5921</v>
      </c>
      <c r="B297" s="321" t="str">
        <f>'A) Base RI'!B299</f>
        <v>Molondin</v>
      </c>
      <c r="C297" s="101">
        <f>'B) D RI'!U299</f>
        <v>5428.3767901234569</v>
      </c>
      <c r="D297" s="117">
        <f>'E) Fact soc'!G303/C297</f>
        <v>17.22063363427457</v>
      </c>
      <c r="E297" s="144">
        <f>'H) Péréquation directe'!I308/C297</f>
        <v>-9.5544741529125687</v>
      </c>
      <c r="F297" s="117">
        <f>+'I) Dépenses thématiques'!O297/'J) Plafonnement effort'!C297</f>
        <v>-6.7327614676285661</v>
      </c>
      <c r="G297" s="144">
        <f t="shared" si="17"/>
        <v>0.93339801373343523</v>
      </c>
      <c r="H297" s="336">
        <f t="shared" si="18"/>
        <v>0</v>
      </c>
      <c r="I297" s="59">
        <f t="shared" si="19"/>
        <v>0</v>
      </c>
      <c r="J297" s="35">
        <f t="shared" si="20"/>
        <v>0.93339801373343523</v>
      </c>
    </row>
    <row r="298" spans="1:10" x14ac:dyDescent="0.25">
      <c r="A298" s="51">
        <f>'A) Base RI'!A300</f>
        <v>5922</v>
      </c>
      <c r="B298" s="321" t="str">
        <f>'A) Base RI'!B300</f>
        <v>Montagny-près-Yverdon</v>
      </c>
      <c r="C298" s="101">
        <f>'B) D RI'!U300</f>
        <v>48081.180040983607</v>
      </c>
      <c r="D298" s="117">
        <f>'E) Fact soc'!G304/C298</f>
        <v>20.801941841091139</v>
      </c>
      <c r="E298" s="144">
        <f>'H) Péréquation directe'!I309/C298</f>
        <v>16.27172749117398</v>
      </c>
      <c r="F298" s="117">
        <f>+'I) Dépenses thématiques'!O298/'J) Plafonnement effort'!C298</f>
        <v>-3.516141058255156</v>
      </c>
      <c r="G298" s="144">
        <f t="shared" si="17"/>
        <v>33.557528274009961</v>
      </c>
      <c r="H298" s="336">
        <f t="shared" si="18"/>
        <v>0</v>
      </c>
      <c r="I298" s="59">
        <f t="shared" si="19"/>
        <v>0</v>
      </c>
      <c r="J298" s="35">
        <f t="shared" si="20"/>
        <v>33.557528274009961</v>
      </c>
    </row>
    <row r="299" spans="1:10" x14ac:dyDescent="0.25">
      <c r="A299" s="51">
        <f>'A) Base RI'!A301</f>
        <v>5923</v>
      </c>
      <c r="B299" s="321" t="str">
        <f>'A) Base RI'!B301</f>
        <v>Oppens</v>
      </c>
      <c r="C299" s="101">
        <f>'B) D RI'!U301</f>
        <v>4655.3639506172849</v>
      </c>
      <c r="D299" s="117">
        <f>'E) Fact soc'!G305/C299</f>
        <v>17.161682409152267</v>
      </c>
      <c r="E299" s="144">
        <f>'H) Péréquation directe'!I310/C299</f>
        <v>-6.3020882588860045</v>
      </c>
      <c r="F299" s="117">
        <f>+'I) Dépenses thématiques'!O299/'J) Plafonnement effort'!C299</f>
        <v>-9.1566366510607917</v>
      </c>
      <c r="G299" s="144">
        <f t="shared" si="17"/>
        <v>1.7029574992054695</v>
      </c>
      <c r="H299" s="336">
        <f t="shared" si="18"/>
        <v>0</v>
      </c>
      <c r="I299" s="59">
        <f t="shared" si="19"/>
        <v>0</v>
      </c>
      <c r="J299" s="35">
        <f t="shared" si="20"/>
        <v>1.7029574992054695</v>
      </c>
    </row>
    <row r="300" spans="1:10" x14ac:dyDescent="0.25">
      <c r="A300" s="51">
        <f>'A) Base RI'!A302</f>
        <v>5924</v>
      </c>
      <c r="B300" s="321" t="str">
        <f>'A) Base RI'!B302</f>
        <v>Orges</v>
      </c>
      <c r="C300" s="101">
        <f>'B) D RI'!U302</f>
        <v>10584.548243243244</v>
      </c>
      <c r="D300" s="117">
        <f>'E) Fact soc'!G306/C300</f>
        <v>16.013287547729195</v>
      </c>
      <c r="E300" s="144">
        <f>'H) Péréquation directe'!I311/C300</f>
        <v>6.1781561913275578</v>
      </c>
      <c r="F300" s="117">
        <f>+'I) Dépenses thématiques'!O300/'J) Plafonnement effort'!C300</f>
        <v>0</v>
      </c>
      <c r="G300" s="144">
        <f t="shared" si="17"/>
        <v>22.191443739056751</v>
      </c>
      <c r="H300" s="336">
        <f t="shared" si="18"/>
        <v>0</v>
      </c>
      <c r="I300" s="59">
        <f t="shared" si="19"/>
        <v>0</v>
      </c>
      <c r="J300" s="35">
        <f t="shared" si="20"/>
        <v>22.191443739056751</v>
      </c>
    </row>
    <row r="301" spans="1:10" x14ac:dyDescent="0.25">
      <c r="A301" s="51">
        <f>'A) Base RI'!A303</f>
        <v>5925</v>
      </c>
      <c r="B301" s="321" t="str">
        <f>'A) Base RI'!B303</f>
        <v>Orzens</v>
      </c>
      <c r="C301" s="101">
        <f>'B) D RI'!U303</f>
        <v>4781.2708860759494</v>
      </c>
      <c r="D301" s="117">
        <f>'E) Fact soc'!G307/C301</f>
        <v>15.866396617119896</v>
      </c>
      <c r="E301" s="144">
        <f>'H) Péréquation directe'!I312/C301</f>
        <v>-6.0304506863089014</v>
      </c>
      <c r="F301" s="117">
        <f>+'I) Dépenses thématiques'!O301/'J) Plafonnement effort'!C301</f>
        <v>-2.172338562556392</v>
      </c>
      <c r="G301" s="144">
        <f t="shared" si="17"/>
        <v>7.6636073682546026</v>
      </c>
      <c r="H301" s="336">
        <f t="shared" si="18"/>
        <v>0</v>
      </c>
      <c r="I301" s="59">
        <f t="shared" si="19"/>
        <v>0</v>
      </c>
      <c r="J301" s="35">
        <f t="shared" si="20"/>
        <v>7.6636073682546026</v>
      </c>
    </row>
    <row r="302" spans="1:10" x14ac:dyDescent="0.25">
      <c r="A302" s="51">
        <f>'A) Base RI'!A304</f>
        <v>5926</v>
      </c>
      <c r="B302" s="321" t="str">
        <f>'A) Base RI'!B304</f>
        <v>Pomy</v>
      </c>
      <c r="C302" s="101">
        <f>'B) D RI'!U304</f>
        <v>23350.72985915493</v>
      </c>
      <c r="D302" s="117">
        <f>'E) Fact soc'!G308/C302</f>
        <v>16.946065174069549</v>
      </c>
      <c r="E302" s="144">
        <f>'H) Péréquation directe'!I313/C302</f>
        <v>5.0421998018330676</v>
      </c>
      <c r="F302" s="117">
        <f>+'I) Dépenses thématiques'!O302/'J) Plafonnement effort'!C302</f>
        <v>-1.4729511442239855</v>
      </c>
      <c r="G302" s="144">
        <f t="shared" si="17"/>
        <v>20.515313831678633</v>
      </c>
      <c r="H302" s="336">
        <f t="shared" si="18"/>
        <v>0</v>
      </c>
      <c r="I302" s="59">
        <f t="shared" si="19"/>
        <v>0</v>
      </c>
      <c r="J302" s="35">
        <f t="shared" si="20"/>
        <v>20.515313831678633</v>
      </c>
    </row>
    <row r="303" spans="1:10" x14ac:dyDescent="0.25">
      <c r="A303" s="51">
        <f>'A) Base RI'!A305</f>
        <v>5928</v>
      </c>
      <c r="B303" s="321" t="str">
        <f>'A) Base RI'!B305</f>
        <v>Rovray</v>
      </c>
      <c r="C303" s="101">
        <f>'B) D RI'!U305</f>
        <v>4495.7758904109587</v>
      </c>
      <c r="D303" s="117">
        <f>'E) Fact soc'!G309/C303</f>
        <v>16.168764718669149</v>
      </c>
      <c r="E303" s="144">
        <f>'H) Péréquation directe'!I314/C303</f>
        <v>-3.8845505457301019</v>
      </c>
      <c r="F303" s="117">
        <f>+'I) Dépenses thématiques'!O303/'J) Plafonnement effort'!C303</f>
        <v>-2.8642372468186248</v>
      </c>
      <c r="G303" s="144">
        <f t="shared" si="17"/>
        <v>9.4199769261204214</v>
      </c>
      <c r="H303" s="336">
        <f t="shared" si="18"/>
        <v>0</v>
      </c>
      <c r="I303" s="59">
        <f t="shared" si="19"/>
        <v>0</v>
      </c>
      <c r="J303" s="35">
        <f t="shared" si="20"/>
        <v>9.4199769261204214</v>
      </c>
    </row>
    <row r="304" spans="1:10" x14ac:dyDescent="0.25">
      <c r="A304" s="51">
        <f>'A) Base RI'!A306</f>
        <v>5929</v>
      </c>
      <c r="B304" s="321" t="str">
        <f>'A) Base RI'!B306</f>
        <v>Suchy</v>
      </c>
      <c r="C304" s="101">
        <f>'B) D RI'!U306</f>
        <v>17118.434321428569</v>
      </c>
      <c r="D304" s="117">
        <f>'E) Fact soc'!G310/C304</f>
        <v>17.607358771454937</v>
      </c>
      <c r="E304" s="144">
        <f>'H) Péréquation directe'!I315/C304</f>
        <v>3.6524217631259028</v>
      </c>
      <c r="F304" s="117">
        <f>+'I) Dépenses thématiques'!O304/'J) Plafonnement effort'!C304</f>
        <v>-1.0821294473758316</v>
      </c>
      <c r="G304" s="144">
        <f t="shared" si="17"/>
        <v>20.17765108720501</v>
      </c>
      <c r="H304" s="336">
        <f t="shared" si="18"/>
        <v>0</v>
      </c>
      <c r="I304" s="59">
        <f t="shared" si="19"/>
        <v>0</v>
      </c>
      <c r="J304" s="35">
        <f t="shared" si="20"/>
        <v>20.17765108720501</v>
      </c>
    </row>
    <row r="305" spans="1:13" x14ac:dyDescent="0.25">
      <c r="A305" s="51">
        <f>'A) Base RI'!A307</f>
        <v>5930</v>
      </c>
      <c r="B305" s="321" t="str">
        <f>'A) Base RI'!B307</f>
        <v>Suscévaz</v>
      </c>
      <c r="C305" s="101">
        <f>'B) D RI'!U307</f>
        <v>5362.7113888888889</v>
      </c>
      <c r="D305" s="117">
        <f>'E) Fact soc'!G311/C305</f>
        <v>18.886488415822299</v>
      </c>
      <c r="E305" s="144">
        <f>'H) Péréquation directe'!I316/C305</f>
        <v>1.0017954184246172</v>
      </c>
      <c r="F305" s="117">
        <f>+'I) Dépenses thématiques'!O305/'J) Plafonnement effort'!C305</f>
        <v>-6.1472180457002894</v>
      </c>
      <c r="G305" s="144">
        <f t="shared" si="17"/>
        <v>13.741065788546628</v>
      </c>
      <c r="H305" s="336">
        <f t="shared" si="18"/>
        <v>0</v>
      </c>
      <c r="I305" s="59">
        <f t="shared" si="19"/>
        <v>0</v>
      </c>
      <c r="J305" s="35">
        <f t="shared" si="20"/>
        <v>13.741065788546628</v>
      </c>
    </row>
    <row r="306" spans="1:13" x14ac:dyDescent="0.25">
      <c r="A306" s="51">
        <f>'A) Base RI'!A308</f>
        <v>5931</v>
      </c>
      <c r="B306" s="321" t="str">
        <f>'A) Base RI'!B308</f>
        <v>Treycovagnes</v>
      </c>
      <c r="C306" s="101">
        <f>'B) D RI'!U308</f>
        <v>13288.6564</v>
      </c>
      <c r="D306" s="117">
        <f>'E) Fact soc'!G312/C306</f>
        <v>19.233625618591574</v>
      </c>
      <c r="E306" s="144">
        <f>'H) Péréquation directe'!I317/C306</f>
        <v>3.1028979880617249</v>
      </c>
      <c r="F306" s="117">
        <f>+'I) Dépenses thématiques'!O306/'J) Plafonnement effort'!C306</f>
        <v>-1.1185470426509507</v>
      </c>
      <c r="G306" s="144">
        <f t="shared" si="17"/>
        <v>21.217976564002349</v>
      </c>
      <c r="H306" s="336">
        <f t="shared" si="18"/>
        <v>0</v>
      </c>
      <c r="I306" s="59">
        <f t="shared" si="19"/>
        <v>0</v>
      </c>
      <c r="J306" s="35">
        <f t="shared" si="20"/>
        <v>21.217976564002349</v>
      </c>
    </row>
    <row r="307" spans="1:13" x14ac:dyDescent="0.25">
      <c r="A307" s="51">
        <f>'A) Base RI'!A309</f>
        <v>5932</v>
      </c>
      <c r="B307" s="321" t="str">
        <f>'A) Base RI'!B309</f>
        <v>Ursins</v>
      </c>
      <c r="C307" s="101">
        <f>'B) D RI'!U309</f>
        <v>6858.6807692307693</v>
      </c>
      <c r="D307" s="117">
        <f>'E) Fact soc'!G313/C307</f>
        <v>16.939726865572052</v>
      </c>
      <c r="E307" s="144">
        <f>'H) Péréquation directe'!I318/C307</f>
        <v>5.1121822395091581</v>
      </c>
      <c r="F307" s="117">
        <f>+'I) Dépenses thématiques'!O307/'J) Plafonnement effort'!C307</f>
        <v>-0.86770967898657236</v>
      </c>
      <c r="G307" s="144">
        <f t="shared" si="17"/>
        <v>21.184199426094636</v>
      </c>
      <c r="H307" s="336">
        <f t="shared" si="18"/>
        <v>0</v>
      </c>
      <c r="I307" s="59">
        <f t="shared" si="19"/>
        <v>0</v>
      </c>
      <c r="J307" s="35">
        <f t="shared" si="20"/>
        <v>21.184199426094636</v>
      </c>
    </row>
    <row r="308" spans="1:13" x14ac:dyDescent="0.25">
      <c r="A308" s="51">
        <f>'A) Base RI'!A310</f>
        <v>5933</v>
      </c>
      <c r="B308" s="321" t="str">
        <f>'A) Base RI'!B310</f>
        <v>Valeyres-sous-Montagny</v>
      </c>
      <c r="C308" s="101">
        <f>'B) D RI'!U310</f>
        <v>20763.196805555559</v>
      </c>
      <c r="D308" s="117">
        <f>'E) Fact soc'!G314/C308</f>
        <v>18.220870064477619</v>
      </c>
      <c r="E308" s="144">
        <f>'H) Péréquation directe'!I319/C308</f>
        <v>4.4114798316998511</v>
      </c>
      <c r="F308" s="117">
        <f>+'I) Dépenses thématiques'!O308/'J) Plafonnement effort'!C308</f>
        <v>-13.046815162413772</v>
      </c>
      <c r="G308" s="144">
        <f t="shared" si="17"/>
        <v>9.5855347337636978</v>
      </c>
      <c r="H308" s="336">
        <f t="shared" si="18"/>
        <v>0</v>
      </c>
      <c r="I308" s="59">
        <f t="shared" si="19"/>
        <v>0</v>
      </c>
      <c r="J308" s="35">
        <f t="shared" si="20"/>
        <v>9.5855347337636978</v>
      </c>
    </row>
    <row r="309" spans="1:13" x14ac:dyDescent="0.25">
      <c r="A309" s="51">
        <f>'A) Base RI'!A311</f>
        <v>5934</v>
      </c>
      <c r="B309" s="321" t="str">
        <f>'A) Base RI'!B311</f>
        <v>Valeyres-sous-Ursins</v>
      </c>
      <c r="C309" s="101">
        <f>'B) D RI'!U311</f>
        <v>6895.611012658228</v>
      </c>
      <c r="D309" s="117">
        <f>'E) Fact soc'!G315/C309</f>
        <v>15.015158505543184</v>
      </c>
      <c r="E309" s="144">
        <f>'H) Péréquation directe'!I320/C309</f>
        <v>1.5478812621234304</v>
      </c>
      <c r="F309" s="117">
        <f>+'I) Dépenses thématiques'!O309/'J) Plafonnement effort'!C309</f>
        <v>-0.77221367098854388</v>
      </c>
      <c r="G309" s="144">
        <f t="shared" si="17"/>
        <v>15.790826096678069</v>
      </c>
      <c r="H309" s="336">
        <f t="shared" si="18"/>
        <v>0</v>
      </c>
      <c r="I309" s="59">
        <f t="shared" si="19"/>
        <v>0</v>
      </c>
      <c r="J309" s="35">
        <f t="shared" si="20"/>
        <v>15.790826096678069</v>
      </c>
    </row>
    <row r="310" spans="1:13" x14ac:dyDescent="0.25">
      <c r="A310" s="51">
        <f>'A) Base RI'!A312</f>
        <v>5935</v>
      </c>
      <c r="B310" s="321" t="str">
        <f>'A) Base RI'!B312</f>
        <v>Villars-Epeney</v>
      </c>
      <c r="C310" s="101">
        <f>'B) D RI'!U312</f>
        <v>5507.9496666666664</v>
      </c>
      <c r="D310" s="117">
        <f>'E) Fact soc'!G316/C310</f>
        <v>15.873917260842871</v>
      </c>
      <c r="E310" s="144">
        <f>'H) Péréquation directe'!I321/C310</f>
        <v>16.586772457389415</v>
      </c>
      <c r="F310" s="117">
        <f>+'I) Dépenses thématiques'!O310/'J) Plafonnement effort'!C310</f>
        <v>-2.7684392130935338</v>
      </c>
      <c r="G310" s="144">
        <f t="shared" si="17"/>
        <v>29.692250505138755</v>
      </c>
      <c r="H310" s="336">
        <f t="shared" si="18"/>
        <v>0</v>
      </c>
      <c r="I310" s="59">
        <f t="shared" si="19"/>
        <v>0</v>
      </c>
      <c r="J310" s="35">
        <f t="shared" si="20"/>
        <v>29.692250505138755</v>
      </c>
    </row>
    <row r="311" spans="1:13" x14ac:dyDescent="0.25">
      <c r="A311" s="51">
        <f>'A) Base RI'!A313</f>
        <v>5937</v>
      </c>
      <c r="B311" s="321" t="str">
        <f>'A) Base RI'!B313</f>
        <v>Vugelles-La Mothe</v>
      </c>
      <c r="C311" s="101">
        <f>'B) D RI'!U313</f>
        <v>2890.9266938775513</v>
      </c>
      <c r="D311" s="117">
        <f>'E) Fact soc'!G317/C311</f>
        <v>17.087011455908478</v>
      </c>
      <c r="E311" s="144">
        <f>'H) Péréquation directe'!I322/C311</f>
        <v>-3.0026741046969216</v>
      </c>
      <c r="F311" s="117">
        <f>+'I) Dépenses thématiques'!O311/'J) Plafonnement effort'!C311</f>
        <v>-9.4686964799185294</v>
      </c>
      <c r="G311" s="144">
        <f t="shared" si="17"/>
        <v>4.6156408712930261</v>
      </c>
      <c r="H311" s="336">
        <f t="shared" si="18"/>
        <v>0</v>
      </c>
      <c r="I311" s="59">
        <f t="shared" si="19"/>
        <v>0</v>
      </c>
      <c r="J311" s="35">
        <f t="shared" si="20"/>
        <v>4.6156408712930261</v>
      </c>
    </row>
    <row r="312" spans="1:13" x14ac:dyDescent="0.25">
      <c r="A312" s="51">
        <f>'A) Base RI'!A314</f>
        <v>5938</v>
      </c>
      <c r="B312" s="321" t="str">
        <f>'A) Base RI'!B314</f>
        <v>Yverdon-les-Bains</v>
      </c>
      <c r="C312" s="101">
        <f>'B) D RI'!U314</f>
        <v>801914.63490196085</v>
      </c>
      <c r="D312" s="117">
        <f>'E) Fact soc'!G318/C312</f>
        <v>18.565840343826515</v>
      </c>
      <c r="E312" s="144">
        <f>'H) Péréquation directe'!I323/C312</f>
        <v>-29.167581214371836</v>
      </c>
      <c r="F312" s="117">
        <f>+'I) Dépenses thématiques'!O312/'J) Plafonnement effort'!C312</f>
        <v>-9.2363208482691785</v>
      </c>
      <c r="G312" s="144">
        <f t="shared" si="17"/>
        <v>-19.838061718814501</v>
      </c>
      <c r="H312" s="336">
        <f t="shared" si="18"/>
        <v>0</v>
      </c>
      <c r="I312" s="59">
        <f t="shared" si="19"/>
        <v>0</v>
      </c>
      <c r="J312" s="35">
        <f t="shared" si="20"/>
        <v>-19.838061718814501</v>
      </c>
    </row>
    <row r="313" spans="1:13" x14ac:dyDescent="0.25">
      <c r="A313" s="51">
        <f>'A) Base RI'!A315</f>
        <v>5939</v>
      </c>
      <c r="B313" s="321" t="str">
        <f>'A) Base RI'!B315</f>
        <v>Yvonand</v>
      </c>
      <c r="C313" s="101">
        <f>'B) D RI'!U315</f>
        <v>93413.424931506845</v>
      </c>
      <c r="D313" s="117">
        <f>'E) Fact soc'!G319/C313</f>
        <v>21.76597184380141</v>
      </c>
      <c r="E313" s="144">
        <f>'H) Péréquation directe'!I324/C313</f>
        <v>-4.6690367130033374</v>
      </c>
      <c r="F313" s="117">
        <f>+'I) Dépenses thématiques'!O313/'J) Plafonnement effort'!C313</f>
        <v>-3.6197287592176552</v>
      </c>
      <c r="G313" s="144">
        <f t="shared" si="17"/>
        <v>13.477206371580419</v>
      </c>
      <c r="H313" s="336">
        <f t="shared" si="18"/>
        <v>0</v>
      </c>
      <c r="I313" s="59">
        <f t="shared" si="19"/>
        <v>0</v>
      </c>
      <c r="J313" s="35">
        <f t="shared" si="20"/>
        <v>13.477206371580419</v>
      </c>
    </row>
    <row r="314" spans="1:13" x14ac:dyDescent="0.25">
      <c r="A314" s="32"/>
      <c r="B314" s="328">
        <f>COUNTA(B5:B313)</f>
        <v>309</v>
      </c>
      <c r="C314" s="103">
        <f>SUM(C5:C313)</f>
        <v>36767173.359367341</v>
      </c>
      <c r="D314" s="337">
        <f>'E) Fact soc'!G320/C314</f>
        <v>21.014151630537388</v>
      </c>
      <c r="E314" s="116">
        <f>'H) Péréquation directe'!I325/C314</f>
        <v>3.7452537016413592</v>
      </c>
      <c r="F314" s="337">
        <f>'I) Dépenses thématiques'!P314</f>
        <v>-3.8711355449077378</v>
      </c>
      <c r="G314" s="116">
        <f>SUM(D314:F314)</f>
        <v>20.88826978727101</v>
      </c>
      <c r="H314" s="338"/>
      <c r="I314" s="39">
        <f>SUM(I5:I313)</f>
        <v>-746473.90988343093</v>
      </c>
      <c r="J314" s="21">
        <f>G314+H314</f>
        <v>20.88826978727101</v>
      </c>
      <c r="L314" s="13"/>
      <c r="M314" s="13"/>
    </row>
    <row r="318" spans="1:13" x14ac:dyDescent="0.25">
      <c r="G318" s="30"/>
      <c r="H318" s="30"/>
      <c r="I318" s="30"/>
    </row>
    <row r="320" spans="1:13" x14ac:dyDescent="0.25">
      <c r="I320" s="30"/>
    </row>
  </sheetData>
  <mergeCells count="9">
    <mergeCell ref="C3:C4"/>
    <mergeCell ref="B3:B4"/>
    <mergeCell ref="A3:A4"/>
    <mergeCell ref="J3:J4"/>
    <mergeCell ref="I3:I4"/>
    <mergeCell ref="G3:G4"/>
    <mergeCell ref="F3:F4"/>
    <mergeCell ref="E3:E4"/>
    <mergeCell ref="D3:D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50"/>
  </sheetPr>
  <dimension ref="A1:Y316"/>
  <sheetViews>
    <sheetView workbookViewId="0">
      <pane ySplit="4" topLeftCell="A302" activePane="bottomLeft" state="frozen"/>
      <selection pane="bottomLeft" activeCell="A302" sqref="A302"/>
    </sheetView>
  </sheetViews>
  <sheetFormatPr baseColWidth="10" defaultColWidth="10.75" defaultRowHeight="15" x14ac:dyDescent="0.25"/>
  <cols>
    <col min="1" max="1" width="7.25" style="14" customWidth="1"/>
    <col min="2" max="2" width="18" style="14" customWidth="1"/>
    <col min="3" max="4" width="9.25" style="14" customWidth="1"/>
    <col min="5" max="5" width="11.625" style="14" customWidth="1"/>
    <col min="6" max="6" width="11" style="14" customWidth="1"/>
    <col min="7" max="7" width="10.375" style="14" customWidth="1"/>
    <col min="8" max="8" width="12.25" style="14" customWidth="1"/>
    <col min="9" max="9" width="10" style="14" customWidth="1"/>
    <col min="10" max="10" width="12.875" style="14" customWidth="1"/>
    <col min="11" max="14" width="12.125" style="14" customWidth="1"/>
    <col min="15" max="17" width="8.125" style="14" customWidth="1"/>
    <col min="18" max="16384" width="10.75" style="14"/>
  </cols>
  <sheetData>
    <row r="1" spans="1:25" s="45" customFormat="1" ht="20.25" customHeight="1" x14ac:dyDescent="0.25">
      <c r="A1" s="53" t="s">
        <v>4</v>
      </c>
      <c r="B1" s="44"/>
      <c r="C1" s="74"/>
      <c r="D1" s="74"/>
      <c r="E1" s="74"/>
      <c r="F1" s="74"/>
      <c r="G1" s="74"/>
      <c r="H1" s="74"/>
      <c r="I1" s="74"/>
      <c r="J1" s="74"/>
      <c r="L1" s="61"/>
      <c r="N1" s="14"/>
      <c r="O1" s="14"/>
      <c r="P1" s="14"/>
      <c r="Q1" s="14"/>
      <c r="R1" s="14"/>
      <c r="Y1" s="14"/>
    </row>
    <row r="3" spans="1:25" ht="45" customHeight="1" x14ac:dyDescent="0.25">
      <c r="A3" s="568" t="s">
        <v>50</v>
      </c>
      <c r="B3" s="568" t="s">
        <v>101</v>
      </c>
      <c r="C3" s="568" t="s">
        <v>377</v>
      </c>
      <c r="D3" s="568" t="s">
        <v>98</v>
      </c>
      <c r="E3" s="568" t="s">
        <v>334</v>
      </c>
      <c r="F3" s="568" t="s">
        <v>375</v>
      </c>
      <c r="G3" s="568" t="s">
        <v>376</v>
      </c>
      <c r="H3" s="568" t="s">
        <v>417</v>
      </c>
      <c r="I3" s="119" t="s">
        <v>151</v>
      </c>
      <c r="J3" s="568" t="s">
        <v>470</v>
      </c>
    </row>
    <row r="4" spans="1:25" x14ac:dyDescent="0.25">
      <c r="A4" s="569"/>
      <c r="B4" s="570"/>
      <c r="C4" s="569"/>
      <c r="D4" s="570"/>
      <c r="E4" s="569"/>
      <c r="F4" s="570"/>
      <c r="G4" s="569"/>
      <c r="H4" s="570"/>
      <c r="I4" s="149">
        <f>Paramètres!B48</f>
        <v>-6.5</v>
      </c>
      <c r="J4" s="569"/>
    </row>
    <row r="5" spans="1:25" x14ac:dyDescent="0.25">
      <c r="A5" s="48">
        <f>'A) Base RI'!A7</f>
        <v>5401</v>
      </c>
      <c r="B5" s="321" t="str">
        <f>'A) Base RI'!B7</f>
        <v>Aigle</v>
      </c>
      <c r="C5" s="100">
        <f>'B) D RI'!U7</f>
        <v>280807.53491358022</v>
      </c>
      <c r="D5" s="117">
        <f>'E) Fact soc'!G11/C5</f>
        <v>19.576152587821493</v>
      </c>
      <c r="E5" s="143">
        <f>'H) Péréquation directe'!I16/C5</f>
        <v>-10.944458825400933</v>
      </c>
      <c r="F5" s="117">
        <f>+'I) Dépenses thématiques'!O5/'K) Plafonnement aide'!C5</f>
        <v>-7.8867439719058474</v>
      </c>
      <c r="G5" s="143">
        <f>SUM(D5:F5)</f>
        <v>0.74494979051471333</v>
      </c>
      <c r="H5" s="117">
        <f>G5-F5</f>
        <v>8.6316937624205607</v>
      </c>
      <c r="I5" s="143">
        <f>IF(H5&lt;I$4,H5-I$4,0)</f>
        <v>0</v>
      </c>
      <c r="J5" s="106">
        <f t="shared" ref="J5:J68" si="0">-I5*C5</f>
        <v>0</v>
      </c>
      <c r="K5" s="38"/>
    </row>
    <row r="6" spans="1:25" x14ac:dyDescent="0.25">
      <c r="A6" s="51">
        <f>'A) Base RI'!A8</f>
        <v>5402</v>
      </c>
      <c r="B6" s="321" t="str">
        <f>'A) Base RI'!B8</f>
        <v>Bex</v>
      </c>
      <c r="C6" s="101">
        <f>'B) D RI'!U8</f>
        <v>178888.62591549297</v>
      </c>
      <c r="D6" s="117">
        <f>'E) Fact soc'!G12/C6</f>
        <v>19.977687903132544</v>
      </c>
      <c r="E6" s="144">
        <f>'H) Péréquation directe'!I17/C6</f>
        <v>-19.132766100565849</v>
      </c>
      <c r="F6" s="117">
        <f>+'I) Dépenses thématiques'!O6/'K) Plafonnement aide'!C6</f>
        <v>-9.89492711806116</v>
      </c>
      <c r="G6" s="144">
        <f t="shared" ref="G6:G69" si="1">SUM(D6:F6)</f>
        <v>-9.0500053154944649</v>
      </c>
      <c r="H6" s="117">
        <f t="shared" ref="H6:H69" si="2">G6-F6</f>
        <v>0.84492180256669513</v>
      </c>
      <c r="I6" s="144">
        <f t="shared" ref="I6:I69" si="3">IF(H6&lt;I$4,H6-I$4,0)</f>
        <v>0</v>
      </c>
      <c r="J6" s="59">
        <f t="shared" si="0"/>
        <v>0</v>
      </c>
      <c r="K6" s="38"/>
    </row>
    <row r="7" spans="1:25" x14ac:dyDescent="0.25">
      <c r="A7" s="51">
        <f>'A) Base RI'!A9</f>
        <v>5403</v>
      </c>
      <c r="B7" s="321" t="str">
        <f>'A) Base RI'!B9</f>
        <v>Chessel</v>
      </c>
      <c r="C7" s="101">
        <f>'B) D RI'!U9</f>
        <v>9797.3922972972978</v>
      </c>
      <c r="D7" s="117">
        <f>'E) Fact soc'!G13/C7</f>
        <v>18.650961168035984</v>
      </c>
      <c r="E7" s="144">
        <f>'H) Péréquation directe'!I18/C7</f>
        <v>-3.8935993735733061</v>
      </c>
      <c r="F7" s="117">
        <f>+'I) Dépenses thématiques'!O7/'K) Plafonnement aide'!C7</f>
        <v>-3.3309573825891468</v>
      </c>
      <c r="G7" s="144">
        <f t="shared" si="1"/>
        <v>11.426404411873531</v>
      </c>
      <c r="H7" s="117">
        <f t="shared" si="2"/>
        <v>14.757361794462678</v>
      </c>
      <c r="I7" s="144">
        <f t="shared" si="3"/>
        <v>0</v>
      </c>
      <c r="J7" s="59">
        <f t="shared" si="0"/>
        <v>0</v>
      </c>
      <c r="K7" s="38"/>
    </row>
    <row r="8" spans="1:25" x14ac:dyDescent="0.25">
      <c r="A8" s="51">
        <f>'A) Base RI'!A10</f>
        <v>5404</v>
      </c>
      <c r="B8" s="321" t="str">
        <f>'A) Base RI'!B10</f>
        <v>Corbeyrier</v>
      </c>
      <c r="C8" s="101">
        <f>'B) D RI'!U10</f>
        <v>10965.354952380952</v>
      </c>
      <c r="D8" s="117">
        <f>'E) Fact soc'!G14/C8</f>
        <v>33.01523929245311</v>
      </c>
      <c r="E8" s="144">
        <f>'H) Péréquation directe'!I19/C8</f>
        <v>-0.72426637995675003</v>
      </c>
      <c r="F8" s="117">
        <f>+'I) Dépenses thématiques'!O8/'K) Plafonnement aide'!C8</f>
        <v>-19.347796519879982</v>
      </c>
      <c r="G8" s="144">
        <f t="shared" si="1"/>
        <v>12.943176392616376</v>
      </c>
      <c r="H8" s="117">
        <f t="shared" si="2"/>
        <v>32.290972912496358</v>
      </c>
      <c r="I8" s="144">
        <f t="shared" si="3"/>
        <v>0</v>
      </c>
      <c r="J8" s="59">
        <f t="shared" si="0"/>
        <v>0</v>
      </c>
      <c r="K8" s="38"/>
    </row>
    <row r="9" spans="1:25" x14ac:dyDescent="0.25">
      <c r="A9" s="51">
        <f>'A) Base RI'!A11</f>
        <v>5405</v>
      </c>
      <c r="B9" s="321" t="str">
        <f>'A) Base RI'!B11</f>
        <v>Gryon</v>
      </c>
      <c r="C9" s="101">
        <f>'B) D RI'!U11</f>
        <v>69949.839511111102</v>
      </c>
      <c r="D9" s="117">
        <f>'E) Fact soc'!G15/C9</f>
        <v>19.648469707758579</v>
      </c>
      <c r="E9" s="144">
        <f>'H) Péréquation directe'!I20/C9</f>
        <v>15.276375579375156</v>
      </c>
      <c r="F9" s="117">
        <f>+'I) Dépenses thématiques'!O9/'K) Plafonnement aide'!C9</f>
        <v>-11.262094752678619</v>
      </c>
      <c r="G9" s="144">
        <f t="shared" si="1"/>
        <v>23.662750534455114</v>
      </c>
      <c r="H9" s="117">
        <f t="shared" si="2"/>
        <v>34.924845287133735</v>
      </c>
      <c r="I9" s="144">
        <f t="shared" si="3"/>
        <v>0</v>
      </c>
      <c r="J9" s="59">
        <f t="shared" si="0"/>
        <v>0</v>
      </c>
      <c r="K9" s="38"/>
    </row>
    <row r="10" spans="1:25" x14ac:dyDescent="0.25">
      <c r="A10" s="51">
        <f>'A) Base RI'!A12</f>
        <v>5406</v>
      </c>
      <c r="B10" s="321" t="str">
        <f>'A) Base RI'!B12</f>
        <v>Lavey-Morcles</v>
      </c>
      <c r="C10" s="101">
        <f>'B) D RI'!U12</f>
        <v>22205.009750812569</v>
      </c>
      <c r="D10" s="117">
        <f>'E) Fact soc'!G16/C10</f>
        <v>18.516661133667668</v>
      </c>
      <c r="E10" s="144">
        <f>'H) Péréquation directe'!I21/C10</f>
        <v>-3.0047287896529191</v>
      </c>
      <c r="F10" s="117">
        <f>+'I) Dépenses thématiques'!O10/'K) Plafonnement aide'!C10</f>
        <v>-6.7088427485063225</v>
      </c>
      <c r="G10" s="144">
        <f t="shared" si="1"/>
        <v>8.8030895955084265</v>
      </c>
      <c r="H10" s="117">
        <f t="shared" si="2"/>
        <v>15.511932344014749</v>
      </c>
      <c r="I10" s="144">
        <f t="shared" si="3"/>
        <v>0</v>
      </c>
      <c r="J10" s="59">
        <f t="shared" si="0"/>
        <v>0</v>
      </c>
      <c r="K10" s="38"/>
    </row>
    <row r="11" spans="1:25" x14ac:dyDescent="0.25">
      <c r="A11" s="51">
        <f>'A) Base RI'!A13</f>
        <v>5407</v>
      </c>
      <c r="B11" s="321" t="str">
        <f>'A) Base RI'!B13</f>
        <v>Leysin</v>
      </c>
      <c r="C11" s="101">
        <f>'B) D RI'!U13</f>
        <v>89269.724615384606</v>
      </c>
      <c r="D11" s="117">
        <f>'E) Fact soc'!G17/C11</f>
        <v>18.946429174429273</v>
      </c>
      <c r="E11" s="144">
        <f>'H) Péréquation directe'!I22/C11</f>
        <v>-20.632787330088366</v>
      </c>
      <c r="F11" s="117">
        <f>+'I) Dépenses thématiques'!O11/'K) Plafonnement aide'!C11</f>
        <v>-21.176839301868704</v>
      </c>
      <c r="G11" s="144">
        <f t="shared" si="1"/>
        <v>-22.863197457527797</v>
      </c>
      <c r="H11" s="117">
        <f t="shared" si="2"/>
        <v>-1.686358155659093</v>
      </c>
      <c r="I11" s="144">
        <f t="shared" si="3"/>
        <v>0</v>
      </c>
      <c r="J11" s="59">
        <f t="shared" si="0"/>
        <v>0</v>
      </c>
      <c r="K11" s="38"/>
      <c r="L11" s="30"/>
    </row>
    <row r="12" spans="1:25" x14ac:dyDescent="0.25">
      <c r="A12" s="51">
        <f>'A) Base RI'!A14</f>
        <v>5408</v>
      </c>
      <c r="B12" s="321" t="str">
        <f>'A) Base RI'!B14</f>
        <v>Noville</v>
      </c>
      <c r="C12" s="101">
        <f>'B) D RI'!U14</f>
        <v>34371.486709129509</v>
      </c>
      <c r="D12" s="117">
        <f>'E) Fact soc'!G18/C12</f>
        <v>19.152482450923419</v>
      </c>
      <c r="E12" s="144">
        <f>'H) Péréquation directe'!I23/C12</f>
        <v>5.8882092039174143</v>
      </c>
      <c r="F12" s="117">
        <f>+'I) Dépenses thématiques'!O12/'K) Plafonnement aide'!C12</f>
        <v>-4.9801431087330936</v>
      </c>
      <c r="G12" s="144">
        <f t="shared" si="1"/>
        <v>20.060548546107739</v>
      </c>
      <c r="H12" s="117">
        <f t="shared" si="2"/>
        <v>25.040691654840835</v>
      </c>
      <c r="I12" s="144">
        <f t="shared" si="3"/>
        <v>0</v>
      </c>
      <c r="J12" s="59">
        <f t="shared" si="0"/>
        <v>0</v>
      </c>
      <c r="K12" s="38"/>
    </row>
    <row r="13" spans="1:25" x14ac:dyDescent="0.25">
      <c r="A13" s="51">
        <f>'A) Base RI'!A15</f>
        <v>5409</v>
      </c>
      <c r="B13" s="321" t="str">
        <f>'A) Base RI'!B15</f>
        <v>Ollon</v>
      </c>
      <c r="C13" s="101">
        <f>'B) D RI'!U15</f>
        <v>372011.63303167425</v>
      </c>
      <c r="D13" s="117">
        <f>'E) Fact soc'!G19/C13</f>
        <v>18.960125489613397</v>
      </c>
      <c r="E13" s="144">
        <f>'H) Péréquation directe'!I24/C13</f>
        <v>9.7339910223167898</v>
      </c>
      <c r="F13" s="117">
        <f>+'I) Dépenses thématiques'!O13/'K) Plafonnement aide'!C13</f>
        <v>-5.2035466562518238</v>
      </c>
      <c r="G13" s="144">
        <f t="shared" si="1"/>
        <v>23.490569855678363</v>
      </c>
      <c r="H13" s="117">
        <f t="shared" si="2"/>
        <v>28.694116511930186</v>
      </c>
      <c r="I13" s="144">
        <f t="shared" si="3"/>
        <v>0</v>
      </c>
      <c r="J13" s="59">
        <f t="shared" si="0"/>
        <v>0</v>
      </c>
      <c r="K13" s="38"/>
    </row>
    <row r="14" spans="1:25" x14ac:dyDescent="0.25">
      <c r="A14" s="51">
        <f>'A) Base RI'!A16</f>
        <v>5410</v>
      </c>
      <c r="B14" s="321" t="str">
        <f>'A) Base RI'!B16</f>
        <v>Ormont-Dessous</v>
      </c>
      <c r="C14" s="101">
        <f>'B) D RI'!U16</f>
        <v>38315.886284501066</v>
      </c>
      <c r="D14" s="117">
        <f>'E) Fact soc'!G20/C14</f>
        <v>20.28772674264329</v>
      </c>
      <c r="E14" s="144">
        <f>'H) Péréquation directe'!I25/C14</f>
        <v>7.3711592727647774</v>
      </c>
      <c r="F14" s="117">
        <f>+'I) Dépenses thématiques'!O14/'K) Plafonnement aide'!C14</f>
        <v>-22.624334669331265</v>
      </c>
      <c r="G14" s="144">
        <f t="shared" si="1"/>
        <v>5.0345513460768032</v>
      </c>
      <c r="H14" s="117">
        <f t="shared" si="2"/>
        <v>27.658886015408068</v>
      </c>
      <c r="I14" s="144">
        <f t="shared" si="3"/>
        <v>0</v>
      </c>
      <c r="J14" s="59">
        <f t="shared" si="0"/>
        <v>0</v>
      </c>
      <c r="K14" s="38"/>
    </row>
    <row r="15" spans="1:25" x14ac:dyDescent="0.25">
      <c r="A15" s="51">
        <f>'A) Base RI'!A17</f>
        <v>5411</v>
      </c>
      <c r="B15" s="321" t="str">
        <f>'A) Base RI'!B17</f>
        <v>Ormont-Dessus</v>
      </c>
      <c r="C15" s="101">
        <f>'B) D RI'!U17</f>
        <v>79923.40364035088</v>
      </c>
      <c r="D15" s="117">
        <f>'E) Fact soc'!G21/C15</f>
        <v>18.302861331394034</v>
      </c>
      <c r="E15" s="144">
        <f>'H) Péréquation directe'!I26/C15</f>
        <v>15.231543342402011</v>
      </c>
      <c r="F15" s="117">
        <f>+'I) Dépenses thématiques'!O15/'K) Plafonnement aide'!C15</f>
        <v>-10.931369265985216</v>
      </c>
      <c r="G15" s="144">
        <f t="shared" si="1"/>
        <v>22.603035407810829</v>
      </c>
      <c r="H15" s="117">
        <f t="shared" si="2"/>
        <v>33.534404673796047</v>
      </c>
      <c r="I15" s="144">
        <f t="shared" si="3"/>
        <v>0</v>
      </c>
      <c r="J15" s="59">
        <f t="shared" si="0"/>
        <v>0</v>
      </c>
      <c r="K15" s="38"/>
    </row>
    <row r="16" spans="1:25" x14ac:dyDescent="0.25">
      <c r="A16" s="51">
        <f>'A) Base RI'!A18</f>
        <v>5412</v>
      </c>
      <c r="B16" s="321" t="str">
        <f>'A) Base RI'!B18</f>
        <v>Rennaz</v>
      </c>
      <c r="C16" s="101">
        <f>'B) D RI'!U18</f>
        <v>31498.582370370365</v>
      </c>
      <c r="D16" s="117">
        <f>'E) Fact soc'!G22/C16</f>
        <v>17.440308599658412</v>
      </c>
      <c r="E16" s="144">
        <f>'H) Péréquation directe'!I27/C16</f>
        <v>12.363099100470594</v>
      </c>
      <c r="F16" s="117">
        <f>+'I) Dépenses thématiques'!O16/'K) Plafonnement aide'!C16</f>
        <v>0</v>
      </c>
      <c r="G16" s="144">
        <f t="shared" si="1"/>
        <v>29.803407700129007</v>
      </c>
      <c r="H16" s="117">
        <f t="shared" si="2"/>
        <v>29.803407700129007</v>
      </c>
      <c r="I16" s="144">
        <f t="shared" si="3"/>
        <v>0</v>
      </c>
      <c r="J16" s="59">
        <f t="shared" si="0"/>
        <v>0</v>
      </c>
      <c r="K16" s="38"/>
    </row>
    <row r="17" spans="1:11" x14ac:dyDescent="0.25">
      <c r="A17" s="51">
        <f>'A) Base RI'!A19</f>
        <v>5413</v>
      </c>
      <c r="B17" s="321" t="str">
        <f>'A) Base RI'!B19</f>
        <v>Roche</v>
      </c>
      <c r="C17" s="101">
        <f>'B) D RI'!U19</f>
        <v>37711.950000000012</v>
      </c>
      <c r="D17" s="117">
        <f>'E) Fact soc'!G23/C17</f>
        <v>19.341011053608185</v>
      </c>
      <c r="E17" s="144">
        <f>'H) Péréquation directe'!I28/C17</f>
        <v>-7.7133839984915777</v>
      </c>
      <c r="F17" s="117">
        <f>+'I) Dépenses thématiques'!O17/'K) Plafonnement aide'!C17</f>
        <v>-0.90022687781536326</v>
      </c>
      <c r="G17" s="144">
        <f t="shared" si="1"/>
        <v>10.727400177301243</v>
      </c>
      <c r="H17" s="117">
        <f t="shared" si="2"/>
        <v>11.627627055116607</v>
      </c>
      <c r="I17" s="144">
        <f t="shared" si="3"/>
        <v>0</v>
      </c>
      <c r="J17" s="59">
        <f t="shared" si="0"/>
        <v>0</v>
      </c>
      <c r="K17" s="38"/>
    </row>
    <row r="18" spans="1:11" x14ac:dyDescent="0.25">
      <c r="A18" s="51">
        <f>'A) Base RI'!A20</f>
        <v>5414</v>
      </c>
      <c r="B18" s="321" t="str">
        <f>'A) Base RI'!B20</f>
        <v>Villeneuve</v>
      </c>
      <c r="C18" s="101">
        <f>'B) D RI'!U20</f>
        <v>168706.05608695652</v>
      </c>
      <c r="D18" s="117">
        <f>'E) Fact soc'!G24/C18</f>
        <v>20.72425809176999</v>
      </c>
      <c r="E18" s="144">
        <f>'H) Péréquation directe'!I29/C18</f>
        <v>-3.9783624215055586</v>
      </c>
      <c r="F18" s="117">
        <f>+'I) Dépenses thématiques'!O18/'K) Plafonnement aide'!C18</f>
        <v>-8.9574305752055157</v>
      </c>
      <c r="G18" s="144">
        <f t="shared" si="1"/>
        <v>7.7884650950589158</v>
      </c>
      <c r="H18" s="117">
        <f t="shared" si="2"/>
        <v>16.745895670264431</v>
      </c>
      <c r="I18" s="144">
        <f t="shared" si="3"/>
        <v>0</v>
      </c>
      <c r="J18" s="59">
        <f t="shared" si="0"/>
        <v>0</v>
      </c>
      <c r="K18" s="38"/>
    </row>
    <row r="19" spans="1:11" x14ac:dyDescent="0.25">
      <c r="A19" s="51">
        <f>'A) Base RI'!A21</f>
        <v>5415</v>
      </c>
      <c r="B19" s="321" t="str">
        <f>'A) Base RI'!B21</f>
        <v>Yvorne</v>
      </c>
      <c r="C19" s="101">
        <f>'B) D RI'!U21</f>
        <v>35013.467459207466</v>
      </c>
      <c r="D19" s="117">
        <f>'E) Fact soc'!G25/C19</f>
        <v>18.608527546943687</v>
      </c>
      <c r="E19" s="144">
        <f>'H) Péréquation directe'!I30/C19</f>
        <v>7.9539497506680092</v>
      </c>
      <c r="F19" s="117">
        <f>+'I) Dépenses thématiques'!O19/'K) Plafonnement aide'!C19</f>
        <v>-2.7733847569431109</v>
      </c>
      <c r="G19" s="144">
        <f t="shared" si="1"/>
        <v>23.789092540668584</v>
      </c>
      <c r="H19" s="117">
        <f t="shared" si="2"/>
        <v>26.562477297611693</v>
      </c>
      <c r="I19" s="144">
        <f t="shared" si="3"/>
        <v>0</v>
      </c>
      <c r="J19" s="59">
        <f t="shared" si="0"/>
        <v>0</v>
      </c>
      <c r="K19" s="38"/>
    </row>
    <row r="20" spans="1:11" x14ac:dyDescent="0.25">
      <c r="A20" s="51">
        <f>'A) Base RI'!A22</f>
        <v>5421</v>
      </c>
      <c r="B20" s="321" t="str">
        <f>'A) Base RI'!B22</f>
        <v>Apples</v>
      </c>
      <c r="C20" s="101">
        <f>'B) D RI'!U22</f>
        <v>59328.525131578965</v>
      </c>
      <c r="D20" s="117">
        <f>'E) Fact soc'!G26/C20</f>
        <v>17.203990011332277</v>
      </c>
      <c r="E20" s="144">
        <f>'H) Péréquation directe'!I31/C20</f>
        <v>12.328183826440213</v>
      </c>
      <c r="F20" s="117">
        <f>+'I) Dépenses thématiques'!O20/'K) Plafonnement aide'!C20</f>
        <v>-2.8011311224004127</v>
      </c>
      <c r="G20" s="144">
        <f t="shared" si="1"/>
        <v>26.731042715372077</v>
      </c>
      <c r="H20" s="117">
        <f t="shared" si="2"/>
        <v>29.53217383777249</v>
      </c>
      <c r="I20" s="144">
        <f t="shared" si="3"/>
        <v>0</v>
      </c>
      <c r="J20" s="59">
        <f t="shared" si="0"/>
        <v>0</v>
      </c>
      <c r="K20" s="38"/>
    </row>
    <row r="21" spans="1:11" x14ac:dyDescent="0.25">
      <c r="A21" s="51">
        <f>'A) Base RI'!A23</f>
        <v>5422</v>
      </c>
      <c r="B21" s="321" t="str">
        <f>'A) Base RI'!B23</f>
        <v>Aubonne</v>
      </c>
      <c r="C21" s="101">
        <f>'B) D RI'!U23</f>
        <v>265098.93749999994</v>
      </c>
      <c r="D21" s="117">
        <f>'E) Fact soc'!G27/C21</f>
        <v>25.105587804091858</v>
      </c>
      <c r="E21" s="144">
        <f>'H) Péréquation directe'!I32/C21</f>
        <v>13.469319835573591</v>
      </c>
      <c r="F21" s="117">
        <f>+'I) Dépenses thématiques'!O21/'K) Plafonnement aide'!C21</f>
        <v>-9.861449344035865E-2</v>
      </c>
      <c r="G21" s="144">
        <f t="shared" si="1"/>
        <v>38.476293146225089</v>
      </c>
      <c r="H21" s="117">
        <f t="shared" si="2"/>
        <v>38.574907639665447</v>
      </c>
      <c r="I21" s="144">
        <f t="shared" si="3"/>
        <v>0</v>
      </c>
      <c r="J21" s="59">
        <f t="shared" si="0"/>
        <v>0</v>
      </c>
      <c r="K21" s="38"/>
    </row>
    <row r="22" spans="1:11" x14ac:dyDescent="0.25">
      <c r="A22" s="51">
        <f>'A) Base RI'!A24</f>
        <v>5423</v>
      </c>
      <c r="B22" s="321" t="str">
        <f>'A) Base RI'!B24</f>
        <v>Ballens</v>
      </c>
      <c r="C22" s="101">
        <f>'B) D RI'!U24</f>
        <v>16703.466521739134</v>
      </c>
      <c r="D22" s="117">
        <f>'E) Fact soc'!G28/C22</f>
        <v>19.225157364670913</v>
      </c>
      <c r="E22" s="144">
        <f>'H) Péréquation directe'!I33/C22</f>
        <v>7.5594563993512356</v>
      </c>
      <c r="F22" s="117">
        <f>+'I) Dépenses thématiques'!O22/'K) Plafonnement aide'!C22</f>
        <v>-3.2247724122222716</v>
      </c>
      <c r="G22" s="144">
        <f t="shared" si="1"/>
        <v>23.559841351799875</v>
      </c>
      <c r="H22" s="117">
        <f t="shared" si="2"/>
        <v>26.784613764022147</v>
      </c>
      <c r="I22" s="144">
        <f t="shared" si="3"/>
        <v>0</v>
      </c>
      <c r="J22" s="59">
        <f t="shared" si="0"/>
        <v>0</v>
      </c>
      <c r="K22" s="38"/>
    </row>
    <row r="23" spans="1:11" x14ac:dyDescent="0.25">
      <c r="A23" s="51">
        <f>'A) Base RI'!A25</f>
        <v>5424</v>
      </c>
      <c r="B23" s="321" t="str">
        <f>'A) Base RI'!B25</f>
        <v>Berolle</v>
      </c>
      <c r="C23" s="101">
        <f>'B) D RI'!U25</f>
        <v>11342.941168831172</v>
      </c>
      <c r="D23" s="117">
        <f>'E) Fact soc'!G29/C23</f>
        <v>16.796867913993065</v>
      </c>
      <c r="E23" s="144">
        <f>'H) Péréquation directe'!I34/C23</f>
        <v>11.425640518711857</v>
      </c>
      <c r="F23" s="117">
        <f>+'I) Dépenses thématiques'!O23/'K) Plafonnement aide'!C23</f>
        <v>-1.0009919547906789</v>
      </c>
      <c r="G23" s="144">
        <f t="shared" si="1"/>
        <v>27.221516477914243</v>
      </c>
      <c r="H23" s="117">
        <f t="shared" si="2"/>
        <v>28.22250843270492</v>
      </c>
      <c r="I23" s="144">
        <f t="shared" si="3"/>
        <v>0</v>
      </c>
      <c r="J23" s="59">
        <f t="shared" si="0"/>
        <v>0</v>
      </c>
      <c r="K23" s="38"/>
    </row>
    <row r="24" spans="1:11" x14ac:dyDescent="0.25">
      <c r="A24" s="51">
        <f>'A) Base RI'!A26</f>
        <v>5425</v>
      </c>
      <c r="B24" s="321" t="str">
        <f>'A) Base RI'!B26</f>
        <v>Bière</v>
      </c>
      <c r="C24" s="101">
        <f>'B) D RI'!U26</f>
        <v>41451.382114604457</v>
      </c>
      <c r="D24" s="117">
        <f>'E) Fact soc'!G30/C24</f>
        <v>16.889693950107368</v>
      </c>
      <c r="E24" s="144">
        <f>'H) Péréquation directe'!I35/C24</f>
        <v>-1.6361303766682749</v>
      </c>
      <c r="F24" s="117">
        <f>+'I) Dépenses thématiques'!O24/'K) Plafonnement aide'!C24</f>
        <v>-12.974528936080798</v>
      </c>
      <c r="G24" s="144">
        <f t="shared" si="1"/>
        <v>2.2790346373582953</v>
      </c>
      <c r="H24" s="117">
        <f t="shared" si="2"/>
        <v>15.253563573439093</v>
      </c>
      <c r="I24" s="144">
        <f t="shared" si="3"/>
        <v>0</v>
      </c>
      <c r="J24" s="59">
        <f t="shared" si="0"/>
        <v>0</v>
      </c>
      <c r="K24" s="38"/>
    </row>
    <row r="25" spans="1:11" x14ac:dyDescent="0.25">
      <c r="A25" s="51">
        <f>'A) Base RI'!A27</f>
        <v>5426</v>
      </c>
      <c r="B25" s="321" t="str">
        <f>'A) Base RI'!B27</f>
        <v>Bougy-Villars</v>
      </c>
      <c r="C25" s="101">
        <f>'B) D RI'!U27</f>
        <v>47933.807222222218</v>
      </c>
      <c r="D25" s="117">
        <f>'E) Fact soc'!G31/C25</f>
        <v>34.729763120571299</v>
      </c>
      <c r="E25" s="144">
        <f>'H) Péréquation directe'!I36/C25</f>
        <v>15.145652402193571</v>
      </c>
      <c r="F25" s="117">
        <f>+'I) Dépenses thématiques'!O25/'K) Plafonnement aide'!C25</f>
        <v>0</v>
      </c>
      <c r="G25" s="144">
        <f t="shared" si="1"/>
        <v>49.875415522764868</v>
      </c>
      <c r="H25" s="117">
        <f t="shared" si="2"/>
        <v>49.875415522764868</v>
      </c>
      <c r="I25" s="144">
        <f t="shared" si="3"/>
        <v>0</v>
      </c>
      <c r="J25" s="59">
        <f t="shared" si="0"/>
        <v>0</v>
      </c>
      <c r="K25" s="38"/>
    </row>
    <row r="26" spans="1:11" x14ac:dyDescent="0.25">
      <c r="A26" s="51">
        <f>'A) Base RI'!A28</f>
        <v>5427</v>
      </c>
      <c r="B26" s="321" t="str">
        <f>'A) Base RI'!B28</f>
        <v>Féchy</v>
      </c>
      <c r="C26" s="101">
        <f>'B) D RI'!U28</f>
        <v>79760.38769230769</v>
      </c>
      <c r="D26" s="117">
        <f>'E) Fact soc'!G32/C26</f>
        <v>26.639800423571096</v>
      </c>
      <c r="E26" s="144">
        <f>'H) Péréquation directe'!I37/C26</f>
        <v>15.483935304913899</v>
      </c>
      <c r="F26" s="117">
        <f>+'I) Dépenses thématiques'!O26/'K) Plafonnement aide'!C26</f>
        <v>0</v>
      </c>
      <c r="G26" s="144">
        <f t="shared" si="1"/>
        <v>42.123735728484995</v>
      </c>
      <c r="H26" s="117">
        <f t="shared" si="2"/>
        <v>42.123735728484995</v>
      </c>
      <c r="I26" s="144">
        <f t="shared" si="3"/>
        <v>0</v>
      </c>
      <c r="J26" s="59">
        <f t="shared" si="0"/>
        <v>0</v>
      </c>
      <c r="K26" s="38"/>
    </row>
    <row r="27" spans="1:11" x14ac:dyDescent="0.25">
      <c r="A27" s="51">
        <f>'A) Base RI'!A29</f>
        <v>5428</v>
      </c>
      <c r="B27" s="321" t="str">
        <f>'A) Base RI'!B29</f>
        <v>Gimel</v>
      </c>
      <c r="C27" s="101">
        <f>'B) D RI'!U29</f>
        <v>62694.643076923086</v>
      </c>
      <c r="D27" s="117">
        <f>'E) Fact soc'!G33/C27</f>
        <v>21.744805637951842</v>
      </c>
      <c r="E27" s="144">
        <f>'H) Péréquation directe'!I38/C27</f>
        <v>2.3702900895316814</v>
      </c>
      <c r="F27" s="117">
        <f>+'I) Dépenses thématiques'!O27/'K) Plafonnement aide'!C27</f>
        <v>-8.2806571797860933</v>
      </c>
      <c r="G27" s="144">
        <f t="shared" si="1"/>
        <v>15.834438547697431</v>
      </c>
      <c r="H27" s="117">
        <f t="shared" si="2"/>
        <v>24.115095727483524</v>
      </c>
      <c r="I27" s="144">
        <f t="shared" si="3"/>
        <v>0</v>
      </c>
      <c r="J27" s="59">
        <f t="shared" si="0"/>
        <v>0</v>
      </c>
      <c r="K27" s="38"/>
    </row>
    <row r="28" spans="1:11" x14ac:dyDescent="0.25">
      <c r="A28" s="51">
        <f>'A) Base RI'!A30</f>
        <v>5429</v>
      </c>
      <c r="B28" s="321" t="str">
        <f>'A) Base RI'!B30</f>
        <v>Longirod</v>
      </c>
      <c r="C28" s="101">
        <f>'B) D RI'!U30</f>
        <v>14895.063209876542</v>
      </c>
      <c r="D28" s="117">
        <f>'E) Fact soc'!G34/C28</f>
        <v>17.80391135705554</v>
      </c>
      <c r="E28" s="144">
        <f>'H) Péréquation directe'!I39/C28</f>
        <v>4.6863372466231317</v>
      </c>
      <c r="F28" s="117">
        <f>+'I) Dépenses thématiques'!O28/'K) Plafonnement aide'!C28</f>
        <v>-6.3724332011121705</v>
      </c>
      <c r="G28" s="144">
        <f t="shared" si="1"/>
        <v>16.117815402566503</v>
      </c>
      <c r="H28" s="117">
        <f t="shared" si="2"/>
        <v>22.490248603678673</v>
      </c>
      <c r="I28" s="144">
        <f t="shared" si="3"/>
        <v>0</v>
      </c>
      <c r="J28" s="59">
        <f t="shared" si="0"/>
        <v>0</v>
      </c>
      <c r="K28" s="38"/>
    </row>
    <row r="29" spans="1:11" x14ac:dyDescent="0.25">
      <c r="A29" s="51">
        <f>'A) Base RI'!A31</f>
        <v>5430</v>
      </c>
      <c r="B29" s="321" t="str">
        <f>'A) Base RI'!B31</f>
        <v>Marchissy</v>
      </c>
      <c r="C29" s="101">
        <f>'B) D RI'!U31</f>
        <v>13624.129113924049</v>
      </c>
      <c r="D29" s="117">
        <f>'E) Fact soc'!G35/C29</f>
        <v>18.837700450391221</v>
      </c>
      <c r="E29" s="144">
        <f>'H) Péréquation directe'!I40/C29</f>
        <v>2.8993866230105718</v>
      </c>
      <c r="F29" s="117">
        <f>+'I) Dépenses thématiques'!O29/'K) Plafonnement aide'!C29</f>
        <v>-14.734045868368158</v>
      </c>
      <c r="G29" s="144">
        <f t="shared" si="1"/>
        <v>7.0030412050336341</v>
      </c>
      <c r="H29" s="117">
        <f t="shared" si="2"/>
        <v>21.737087073401792</v>
      </c>
      <c r="I29" s="144">
        <f t="shared" si="3"/>
        <v>0</v>
      </c>
      <c r="J29" s="59">
        <f t="shared" si="0"/>
        <v>0</v>
      </c>
      <c r="K29" s="38"/>
    </row>
    <row r="30" spans="1:11" x14ac:dyDescent="0.25">
      <c r="A30" s="51">
        <f>'A) Base RI'!A32</f>
        <v>5431</v>
      </c>
      <c r="B30" s="321" t="str">
        <f>'A) Base RI'!B32</f>
        <v>Mollens</v>
      </c>
      <c r="C30" s="101">
        <f>'B) D RI'!U32</f>
        <v>8975.9641891891897</v>
      </c>
      <c r="D30" s="117">
        <f>'E) Fact soc'!G36/C30</f>
        <v>16.629893111710238</v>
      </c>
      <c r="E30" s="144">
        <f>'H) Péréquation directe'!I41/C30</f>
        <v>4.258404741340672</v>
      </c>
      <c r="F30" s="117">
        <f>+'I) Dépenses thématiques'!O30/'K) Plafonnement aide'!C30</f>
        <v>-2.3684391614438214</v>
      </c>
      <c r="G30" s="144">
        <f t="shared" si="1"/>
        <v>18.519858691607091</v>
      </c>
      <c r="H30" s="117">
        <f t="shared" si="2"/>
        <v>20.888297853050911</v>
      </c>
      <c r="I30" s="144">
        <f t="shared" si="3"/>
        <v>0</v>
      </c>
      <c r="J30" s="59">
        <f t="shared" si="0"/>
        <v>0</v>
      </c>
      <c r="K30" s="38"/>
    </row>
    <row r="31" spans="1:11" x14ac:dyDescent="0.25">
      <c r="A31" s="51">
        <f>'A) Base RI'!A33</f>
        <v>5432</v>
      </c>
      <c r="B31" s="321" t="str">
        <f>'A) Base RI'!B33</f>
        <v>Montherod</v>
      </c>
      <c r="C31" s="101">
        <f>'B) D RI'!U33</f>
        <v>18019.761538461538</v>
      </c>
      <c r="D31" s="117">
        <f>'E) Fact soc'!G37/C31</f>
        <v>18.352457940479788</v>
      </c>
      <c r="E31" s="144">
        <f>'H) Péréquation directe'!I42/C31</f>
        <v>7.6514946202303795</v>
      </c>
      <c r="F31" s="117">
        <f>+'I) Dépenses thématiques'!O31/'K) Plafonnement aide'!C31</f>
        <v>0</v>
      </c>
      <c r="G31" s="144">
        <f t="shared" si="1"/>
        <v>26.003952560710168</v>
      </c>
      <c r="H31" s="117">
        <f t="shared" si="2"/>
        <v>26.003952560710168</v>
      </c>
      <c r="I31" s="144">
        <f t="shared" si="3"/>
        <v>0</v>
      </c>
      <c r="J31" s="59">
        <f t="shared" si="0"/>
        <v>0</v>
      </c>
      <c r="K31" s="38"/>
    </row>
    <row r="32" spans="1:11" x14ac:dyDescent="0.25">
      <c r="A32" s="51">
        <f>'A) Base RI'!A34</f>
        <v>5434</v>
      </c>
      <c r="B32" s="321" t="str">
        <f>'A) Base RI'!B34</f>
        <v>Saint-George</v>
      </c>
      <c r="C32" s="101">
        <f>'B) D RI'!U34</f>
        <v>37243.682394366202</v>
      </c>
      <c r="D32" s="117">
        <f>'E) Fact soc'!G38/C32</f>
        <v>21.053297876907216</v>
      </c>
      <c r="E32" s="144">
        <f>'H) Péréquation directe'!I43/C32</f>
        <v>10.744279507871145</v>
      </c>
      <c r="F32" s="117">
        <f>+'I) Dépenses thématiques'!O32/'K) Plafonnement aide'!C32</f>
        <v>-1.6821271111515179</v>
      </c>
      <c r="G32" s="144">
        <f t="shared" si="1"/>
        <v>30.115450273626841</v>
      </c>
      <c r="H32" s="117">
        <f t="shared" si="2"/>
        <v>31.797577384778361</v>
      </c>
      <c r="I32" s="144">
        <f t="shared" si="3"/>
        <v>0</v>
      </c>
      <c r="J32" s="59">
        <f t="shared" si="0"/>
        <v>0</v>
      </c>
      <c r="K32" s="38"/>
    </row>
    <row r="33" spans="1:11" x14ac:dyDescent="0.25">
      <c r="A33" s="51">
        <f>'A) Base RI'!A35</f>
        <v>5435</v>
      </c>
      <c r="B33" s="321" t="str">
        <f>'A) Base RI'!B35</f>
        <v>Saint-Livres</v>
      </c>
      <c r="C33" s="101">
        <f>'B) D RI'!U35</f>
        <v>25784.308260869562</v>
      </c>
      <c r="D33" s="117">
        <f>'E) Fact soc'!G39/C33</f>
        <v>15.185996518936195</v>
      </c>
      <c r="E33" s="144">
        <f>'H) Péréquation directe'!I44/C33</f>
        <v>12.345237328476884</v>
      </c>
      <c r="F33" s="117">
        <f>+'I) Dépenses thématiques'!O33/'K) Plafonnement aide'!C33</f>
        <v>-1.4374923583980568</v>
      </c>
      <c r="G33" s="144">
        <f t="shared" si="1"/>
        <v>26.09374148901502</v>
      </c>
      <c r="H33" s="117">
        <f t="shared" si="2"/>
        <v>27.531233847413077</v>
      </c>
      <c r="I33" s="144">
        <f t="shared" si="3"/>
        <v>0</v>
      </c>
      <c r="J33" s="59">
        <f t="shared" si="0"/>
        <v>0</v>
      </c>
      <c r="K33" s="38"/>
    </row>
    <row r="34" spans="1:11" x14ac:dyDescent="0.25">
      <c r="A34" s="51">
        <f>'A) Base RI'!A36</f>
        <v>5436</v>
      </c>
      <c r="B34" s="321" t="str">
        <f>'A) Base RI'!B36</f>
        <v>Saint-Oyens</v>
      </c>
      <c r="C34" s="101">
        <f>'B) D RI'!U36</f>
        <v>11330.196234567902</v>
      </c>
      <c r="D34" s="117">
        <f>'E) Fact soc'!G40/C34</f>
        <v>22.630580446493408</v>
      </c>
      <c r="E34" s="144">
        <f>'H) Péréquation directe'!I45/C34</f>
        <v>3.6533875423498388</v>
      </c>
      <c r="F34" s="117">
        <f>+'I) Dépenses thématiques'!O34/'K) Plafonnement aide'!C34</f>
        <v>-10.913089525144741</v>
      </c>
      <c r="G34" s="144">
        <f t="shared" si="1"/>
        <v>15.370878463698507</v>
      </c>
      <c r="H34" s="117">
        <f t="shared" si="2"/>
        <v>26.283967988843248</v>
      </c>
      <c r="I34" s="144">
        <f t="shared" si="3"/>
        <v>0</v>
      </c>
      <c r="J34" s="59">
        <f t="shared" si="0"/>
        <v>0</v>
      </c>
      <c r="K34" s="38"/>
    </row>
    <row r="35" spans="1:11" x14ac:dyDescent="0.25">
      <c r="A35" s="51">
        <f>'A) Base RI'!A37</f>
        <v>5437</v>
      </c>
      <c r="B35" s="321" t="str">
        <f>'A) Base RI'!B37</f>
        <v>Saubraz</v>
      </c>
      <c r="C35" s="101">
        <f>'B) D RI'!U37</f>
        <v>9948.7022499999985</v>
      </c>
      <c r="D35" s="117">
        <f>'E) Fact soc'!G41/C35</f>
        <v>17.256717197281095</v>
      </c>
      <c r="E35" s="144">
        <f>'H) Péréquation directe'!I46/C35</f>
        <v>-8.3244390259898093</v>
      </c>
      <c r="F35" s="117">
        <f>+'I) Dépenses thématiques'!O35/'K) Plafonnement aide'!C35</f>
        <v>-6.5953042695964337</v>
      </c>
      <c r="G35" s="144">
        <f t="shared" si="1"/>
        <v>2.3369739016948516</v>
      </c>
      <c r="H35" s="117">
        <f t="shared" si="2"/>
        <v>8.9322781712912853</v>
      </c>
      <c r="I35" s="144">
        <f t="shared" si="3"/>
        <v>0</v>
      </c>
      <c r="J35" s="59">
        <f t="shared" si="0"/>
        <v>0</v>
      </c>
      <c r="K35" s="38"/>
    </row>
    <row r="36" spans="1:11" x14ac:dyDescent="0.25">
      <c r="A36" s="51">
        <f>'A) Base RI'!A38</f>
        <v>5451</v>
      </c>
      <c r="B36" s="321" t="str">
        <f>'A) Base RI'!B38</f>
        <v>Avenches</v>
      </c>
      <c r="C36" s="101">
        <f>'B) D RI'!U38</f>
        <v>97584.0206372549</v>
      </c>
      <c r="D36" s="117">
        <f>'E) Fact soc'!G42/C36</f>
        <v>19.660458135951522</v>
      </c>
      <c r="E36" s="144">
        <f>'H) Péréquation directe'!I47/C36</f>
        <v>-12.85601640504783</v>
      </c>
      <c r="F36" s="117">
        <f>+'I) Dépenses thématiques'!O36/'K) Plafonnement aide'!C36</f>
        <v>-15.711696233582126</v>
      </c>
      <c r="G36" s="144">
        <f t="shared" si="1"/>
        <v>-8.907254502678434</v>
      </c>
      <c r="H36" s="117">
        <f t="shared" si="2"/>
        <v>6.804441730903692</v>
      </c>
      <c r="I36" s="144">
        <f t="shared" si="3"/>
        <v>0</v>
      </c>
      <c r="J36" s="59">
        <f t="shared" si="0"/>
        <v>0</v>
      </c>
      <c r="K36" s="38"/>
    </row>
    <row r="37" spans="1:11" x14ac:dyDescent="0.25">
      <c r="A37" s="51">
        <f>'A) Base RI'!A39</f>
        <v>5456</v>
      </c>
      <c r="B37" s="321" t="str">
        <f>'A) Base RI'!B39</f>
        <v>Cudrefin</v>
      </c>
      <c r="C37" s="101">
        <f>'B) D RI'!U39</f>
        <v>55901.49875706216</v>
      </c>
      <c r="D37" s="117">
        <f>'E) Fact soc'!G43/C37</f>
        <v>18.388983790973004</v>
      </c>
      <c r="E37" s="144">
        <f>'H) Péréquation directe'!I48/C37</f>
        <v>9.3010058025058253</v>
      </c>
      <c r="F37" s="117">
        <f>+'I) Dépenses thématiques'!O37/'K) Plafonnement aide'!C37</f>
        <v>-5.1843818016878247</v>
      </c>
      <c r="G37" s="144">
        <f t="shared" si="1"/>
        <v>22.505607791791004</v>
      </c>
      <c r="H37" s="117">
        <f t="shared" si="2"/>
        <v>27.689989593478828</v>
      </c>
      <c r="I37" s="144">
        <f t="shared" si="3"/>
        <v>0</v>
      </c>
      <c r="J37" s="59">
        <f t="shared" si="0"/>
        <v>0</v>
      </c>
      <c r="K37" s="38"/>
    </row>
    <row r="38" spans="1:11" x14ac:dyDescent="0.25">
      <c r="A38" s="51">
        <f>'A) Base RI'!A40</f>
        <v>5458</v>
      </c>
      <c r="B38" s="321" t="str">
        <f>'A) Base RI'!B40</f>
        <v>Faoug</v>
      </c>
      <c r="C38" s="101">
        <f>'B) D RI'!U40</f>
        <v>34800.236562500002</v>
      </c>
      <c r="D38" s="117">
        <f>'E) Fact soc'!G44/C38</f>
        <v>18.741913344323596</v>
      </c>
      <c r="E38" s="144">
        <f>'H) Péréquation directe'!I49/C38</f>
        <v>13.522900671491026</v>
      </c>
      <c r="F38" s="117">
        <f>+'I) Dépenses thématiques'!O38/'K) Plafonnement aide'!C38</f>
        <v>-2.4104471335414197</v>
      </c>
      <c r="G38" s="144">
        <f t="shared" si="1"/>
        <v>29.854366882273201</v>
      </c>
      <c r="H38" s="117">
        <f t="shared" si="2"/>
        <v>32.264814015814622</v>
      </c>
      <c r="I38" s="144">
        <f t="shared" si="3"/>
        <v>0</v>
      </c>
      <c r="J38" s="59">
        <f t="shared" si="0"/>
        <v>0</v>
      </c>
      <c r="K38" s="38"/>
    </row>
    <row r="39" spans="1:11" x14ac:dyDescent="0.25">
      <c r="A39" s="51">
        <f>'A) Base RI'!A41</f>
        <v>5464</v>
      </c>
      <c r="B39" s="321" t="str">
        <f>'A) Base RI'!B41</f>
        <v>Vully-les-Lacs</v>
      </c>
      <c r="C39" s="101">
        <f>'B) D RI'!U41</f>
        <v>98954.06119402984</v>
      </c>
      <c r="D39" s="117">
        <f>'E) Fact soc'!G45/C39</f>
        <v>18.055807331567852</v>
      </c>
      <c r="E39" s="144">
        <f>'H) Péréquation directe'!I50/C39</f>
        <v>3.0755188163912108</v>
      </c>
      <c r="F39" s="117">
        <f>+'I) Dépenses thématiques'!O39/'K) Plafonnement aide'!C39</f>
        <v>-4.6427718337579797</v>
      </c>
      <c r="G39" s="144">
        <f t="shared" si="1"/>
        <v>16.488554314201082</v>
      </c>
      <c r="H39" s="117">
        <f t="shared" si="2"/>
        <v>21.131326147959062</v>
      </c>
      <c r="I39" s="144">
        <f t="shared" si="3"/>
        <v>0</v>
      </c>
      <c r="J39" s="59">
        <f t="shared" si="0"/>
        <v>0</v>
      </c>
      <c r="K39" s="38"/>
    </row>
    <row r="40" spans="1:11" x14ac:dyDescent="0.25">
      <c r="A40" s="51">
        <f>'A) Base RI'!A42</f>
        <v>5471</v>
      </c>
      <c r="B40" s="321" t="str">
        <f>'A) Base RI'!B42</f>
        <v>Bettens</v>
      </c>
      <c r="C40" s="101">
        <f>'B) D RI'!U42</f>
        <v>19215.411857142855</v>
      </c>
      <c r="D40" s="117">
        <f>'E) Fact soc'!G46/C40</f>
        <v>20.602209451843482</v>
      </c>
      <c r="E40" s="144">
        <f>'H) Péréquation directe'!I51/C40</f>
        <v>8.959979585935212</v>
      </c>
      <c r="F40" s="117">
        <f>+'I) Dépenses thématiques'!O40/'K) Plafonnement aide'!C40</f>
        <v>0</v>
      </c>
      <c r="G40" s="144">
        <f t="shared" si="1"/>
        <v>29.562189037778694</v>
      </c>
      <c r="H40" s="117">
        <f t="shared" si="2"/>
        <v>29.562189037778694</v>
      </c>
      <c r="I40" s="144">
        <f t="shared" si="3"/>
        <v>0</v>
      </c>
      <c r="J40" s="59">
        <f t="shared" si="0"/>
        <v>0</v>
      </c>
      <c r="K40" s="38"/>
    </row>
    <row r="41" spans="1:11" x14ac:dyDescent="0.25">
      <c r="A41" s="51">
        <f>'A) Base RI'!A43</f>
        <v>5472</v>
      </c>
      <c r="B41" s="321" t="str">
        <f>'A) Base RI'!B43</f>
        <v>Bournens</v>
      </c>
      <c r="C41" s="101">
        <f>'B) D RI'!U43</f>
        <v>15134.969000000003</v>
      </c>
      <c r="D41" s="117">
        <f>'E) Fact soc'!G47/C41</f>
        <v>16.689826620159078</v>
      </c>
      <c r="E41" s="144">
        <f>'H) Péréquation directe'!I52/C41</f>
        <v>9.6528426875264088</v>
      </c>
      <c r="F41" s="117">
        <f>+'I) Dépenses thématiques'!O41/'K) Plafonnement aide'!C41</f>
        <v>-2.3213767356109605</v>
      </c>
      <c r="G41" s="144">
        <f t="shared" si="1"/>
        <v>24.021292572074525</v>
      </c>
      <c r="H41" s="117">
        <f t="shared" si="2"/>
        <v>26.342669307685487</v>
      </c>
      <c r="I41" s="144">
        <f t="shared" si="3"/>
        <v>0</v>
      </c>
      <c r="J41" s="59">
        <f t="shared" si="0"/>
        <v>0</v>
      </c>
      <c r="K41" s="38"/>
    </row>
    <row r="42" spans="1:11" x14ac:dyDescent="0.25">
      <c r="A42" s="51">
        <f>'A) Base RI'!A44</f>
        <v>5473</v>
      </c>
      <c r="B42" s="321" t="str">
        <f>'A) Base RI'!B44</f>
        <v>Boussens</v>
      </c>
      <c r="C42" s="101">
        <f>'B) D RI'!U44</f>
        <v>33278.780724637691</v>
      </c>
      <c r="D42" s="117">
        <f>'E) Fact soc'!G48/C42</f>
        <v>16.423601031963607</v>
      </c>
      <c r="E42" s="144">
        <f>'H) Péréquation directe'!I53/C42</f>
        <v>9.4903171225860969</v>
      </c>
      <c r="F42" s="117">
        <f>+'I) Dépenses thématiques'!O42/'K) Plafonnement aide'!C42</f>
        <v>0</v>
      </c>
      <c r="G42" s="144">
        <f t="shared" si="1"/>
        <v>25.913918154549705</v>
      </c>
      <c r="H42" s="117">
        <f t="shared" si="2"/>
        <v>25.913918154549705</v>
      </c>
      <c r="I42" s="144">
        <f t="shared" si="3"/>
        <v>0</v>
      </c>
      <c r="J42" s="59">
        <f t="shared" si="0"/>
        <v>0</v>
      </c>
      <c r="K42" s="38"/>
    </row>
    <row r="43" spans="1:11" x14ac:dyDescent="0.25">
      <c r="A43" s="51">
        <f>'A) Base RI'!A45</f>
        <v>5474</v>
      </c>
      <c r="B43" s="321" t="str">
        <f>'A) Base RI'!B45</f>
        <v>La Chaux (Cossonay)</v>
      </c>
      <c r="C43" s="101">
        <f>'B) D RI'!U45</f>
        <v>13413.30380952381</v>
      </c>
      <c r="D43" s="117">
        <f>'E) Fact soc'!G49/C43</f>
        <v>23.05862837188555</v>
      </c>
      <c r="E43" s="144">
        <f>'H) Péréquation directe'!I54/C43</f>
        <v>5.9177004282439052</v>
      </c>
      <c r="F43" s="117">
        <f>+'I) Dépenses thématiques'!O43/'K) Plafonnement aide'!C43</f>
        <v>-7.4052095878566755</v>
      </c>
      <c r="G43" s="144">
        <f t="shared" si="1"/>
        <v>21.57111921227278</v>
      </c>
      <c r="H43" s="117">
        <f t="shared" si="2"/>
        <v>28.976328800129455</v>
      </c>
      <c r="I43" s="144">
        <f t="shared" si="3"/>
        <v>0</v>
      </c>
      <c r="J43" s="59">
        <f t="shared" si="0"/>
        <v>0</v>
      </c>
      <c r="K43" s="38"/>
    </row>
    <row r="44" spans="1:11" x14ac:dyDescent="0.25">
      <c r="A44" s="51">
        <f>'A) Base RI'!A46</f>
        <v>5475</v>
      </c>
      <c r="B44" s="321" t="str">
        <f>'A) Base RI'!B46</f>
        <v>Chavannes-le-Veyron</v>
      </c>
      <c r="C44" s="101">
        <f>'B) D RI'!U46</f>
        <v>3783.0914285714284</v>
      </c>
      <c r="D44" s="117">
        <f>'E) Fact soc'!G50/C44</f>
        <v>15.742077231120602</v>
      </c>
      <c r="E44" s="144">
        <f>'H) Péréquation directe'!I55/C44</f>
        <v>-0.95462319964376252</v>
      </c>
      <c r="F44" s="117">
        <f>+'I) Dépenses thématiques'!O44/'K) Plafonnement aide'!C44</f>
        <v>-10.79939070679902</v>
      </c>
      <c r="G44" s="144">
        <f t="shared" si="1"/>
        <v>3.9880633246778192</v>
      </c>
      <c r="H44" s="117">
        <f t="shared" si="2"/>
        <v>14.787454031476839</v>
      </c>
      <c r="I44" s="144">
        <f t="shared" si="3"/>
        <v>0</v>
      </c>
      <c r="J44" s="59">
        <f t="shared" si="0"/>
        <v>0</v>
      </c>
      <c r="K44" s="38"/>
    </row>
    <row r="45" spans="1:11" x14ac:dyDescent="0.25">
      <c r="A45" s="51">
        <f>'A) Base RI'!A47</f>
        <v>5476</v>
      </c>
      <c r="B45" s="321" t="str">
        <f>'A) Base RI'!B47</f>
        <v>Chevilly</v>
      </c>
      <c r="C45" s="101">
        <f>'B) D RI'!U47</f>
        <v>10089.483198198201</v>
      </c>
      <c r="D45" s="117">
        <f>'E) Fact soc'!G51/C45</f>
        <v>15.233663255161451</v>
      </c>
      <c r="E45" s="144">
        <f>'H) Péréquation directe'!I56/C45</f>
        <v>8.5474492468425396</v>
      </c>
      <c r="F45" s="117">
        <f>+'I) Dépenses thématiques'!O45/'K) Plafonnement aide'!C45</f>
        <v>-3.1976998269269186</v>
      </c>
      <c r="G45" s="144">
        <f t="shared" si="1"/>
        <v>20.583412675077074</v>
      </c>
      <c r="H45" s="117">
        <f t="shared" si="2"/>
        <v>23.781112502003992</v>
      </c>
      <c r="I45" s="144">
        <f t="shared" si="3"/>
        <v>0</v>
      </c>
      <c r="J45" s="59">
        <f t="shared" si="0"/>
        <v>0</v>
      </c>
      <c r="K45" s="38"/>
    </row>
    <row r="46" spans="1:11" x14ac:dyDescent="0.25">
      <c r="A46" s="51">
        <f>'A) Base RI'!A48</f>
        <v>5477</v>
      </c>
      <c r="B46" s="321" t="str">
        <f>'A) Base RI'!B48</f>
        <v>Cossonay</v>
      </c>
      <c r="C46" s="101">
        <f>'B) D RI'!U48</f>
        <v>126013.2271830986</v>
      </c>
      <c r="D46" s="117">
        <f>'E) Fact soc'!G52/C46</f>
        <v>19.682990233599213</v>
      </c>
      <c r="E46" s="144">
        <f>'H) Péréquation directe'!I57/C46</f>
        <v>1.9713616923911743</v>
      </c>
      <c r="F46" s="117">
        <f>+'I) Dépenses thématiques'!O46/'K) Plafonnement aide'!C46</f>
        <v>-4.2118853832002188</v>
      </c>
      <c r="G46" s="144">
        <f t="shared" si="1"/>
        <v>17.442466542790168</v>
      </c>
      <c r="H46" s="117">
        <f t="shared" si="2"/>
        <v>21.654351925990387</v>
      </c>
      <c r="I46" s="144">
        <f t="shared" si="3"/>
        <v>0</v>
      </c>
      <c r="J46" s="59">
        <f t="shared" si="0"/>
        <v>0</v>
      </c>
      <c r="K46" s="38"/>
    </row>
    <row r="47" spans="1:11" x14ac:dyDescent="0.25">
      <c r="A47" s="51">
        <f>'A) Base RI'!A49</f>
        <v>5478</v>
      </c>
      <c r="B47" s="321" t="str">
        <f>'A) Base RI'!B49</f>
        <v>Cottens</v>
      </c>
      <c r="C47" s="101">
        <f>'B) D RI'!U49</f>
        <v>17030.362972972973</v>
      </c>
      <c r="D47" s="117">
        <f>'E) Fact soc'!G53/C47</f>
        <v>17.384717514006017</v>
      </c>
      <c r="E47" s="144">
        <f>'H) Péréquation directe'!I58/C47</f>
        <v>10.185389536670936</v>
      </c>
      <c r="F47" s="117">
        <f>+'I) Dépenses thématiques'!O47/'K) Plafonnement aide'!C47</f>
        <v>-1.6509907661797085</v>
      </c>
      <c r="G47" s="144">
        <f t="shared" si="1"/>
        <v>25.919116284497242</v>
      </c>
      <c r="H47" s="117">
        <f t="shared" si="2"/>
        <v>27.570107050676953</v>
      </c>
      <c r="I47" s="144">
        <f t="shared" si="3"/>
        <v>0</v>
      </c>
      <c r="J47" s="59">
        <f t="shared" si="0"/>
        <v>0</v>
      </c>
      <c r="K47" s="38"/>
    </row>
    <row r="48" spans="1:11" x14ac:dyDescent="0.25">
      <c r="A48" s="51">
        <f>'A) Base RI'!A50</f>
        <v>5479</v>
      </c>
      <c r="B48" s="321" t="str">
        <f>'A) Base RI'!B50</f>
        <v>Cuarnens</v>
      </c>
      <c r="C48" s="101">
        <f>'B) D RI'!U50</f>
        <v>19628.392987012987</v>
      </c>
      <c r="D48" s="117">
        <f>'E) Fact soc'!G54/C48</f>
        <v>18.20706983732941</v>
      </c>
      <c r="E48" s="144">
        <f>'H) Péréquation directe'!I59/C48</f>
        <v>13.885486755159027</v>
      </c>
      <c r="F48" s="117">
        <f>+'I) Dépenses thématiques'!O48/'K) Plafonnement aide'!C48</f>
        <v>-5.3809843835399898</v>
      </c>
      <c r="G48" s="144">
        <f t="shared" si="1"/>
        <v>26.711572208948446</v>
      </c>
      <c r="H48" s="117">
        <f t="shared" si="2"/>
        <v>32.092556592488435</v>
      </c>
      <c r="I48" s="144">
        <f t="shared" si="3"/>
        <v>0</v>
      </c>
      <c r="J48" s="59">
        <f t="shared" si="0"/>
        <v>0</v>
      </c>
      <c r="K48" s="38"/>
    </row>
    <row r="49" spans="1:11" x14ac:dyDescent="0.25">
      <c r="A49" s="51">
        <f>'A) Base RI'!A51</f>
        <v>5480</v>
      </c>
      <c r="B49" s="321" t="str">
        <f>'A) Base RI'!B51</f>
        <v>Daillens</v>
      </c>
      <c r="C49" s="101">
        <f>'B) D RI'!U51</f>
        <v>41809.315211267603</v>
      </c>
      <c r="D49" s="117">
        <f>'E) Fact soc'!G55/C49</f>
        <v>16.846515216675467</v>
      </c>
      <c r="E49" s="144">
        <f>'H) Péréquation directe'!I60/C49</f>
        <v>14.744404407752665</v>
      </c>
      <c r="F49" s="117">
        <f>+'I) Dépenses thématiques'!O49/'K) Plafonnement aide'!C49</f>
        <v>-2.9203329253297587</v>
      </c>
      <c r="G49" s="144">
        <f t="shared" si="1"/>
        <v>28.670586699098372</v>
      </c>
      <c r="H49" s="117">
        <f t="shared" si="2"/>
        <v>31.590919624428132</v>
      </c>
      <c r="I49" s="144">
        <f t="shared" si="3"/>
        <v>0</v>
      </c>
      <c r="J49" s="59">
        <f t="shared" si="0"/>
        <v>0</v>
      </c>
      <c r="K49" s="38"/>
    </row>
    <row r="50" spans="1:11" x14ac:dyDescent="0.25">
      <c r="A50" s="51">
        <f>'A) Base RI'!A52</f>
        <v>5481</v>
      </c>
      <c r="B50" s="321" t="str">
        <f>'A) Base RI'!B52</f>
        <v>Dizy</v>
      </c>
      <c r="C50" s="101">
        <f>'B) D RI'!U52</f>
        <v>8477.634430379745</v>
      </c>
      <c r="D50" s="117">
        <f>'E) Fact soc'!G56/C50</f>
        <v>16.05456697170953</v>
      </c>
      <c r="E50" s="144">
        <f>'H) Péréquation directe'!I61/C50</f>
        <v>10.616667500255073</v>
      </c>
      <c r="F50" s="117">
        <f>+'I) Dépenses thématiques'!O50/'K) Plafonnement aide'!C50</f>
        <v>-0.79303793145683066</v>
      </c>
      <c r="G50" s="144">
        <f t="shared" si="1"/>
        <v>25.878196540507773</v>
      </c>
      <c r="H50" s="117">
        <f t="shared" si="2"/>
        <v>26.671234471964603</v>
      </c>
      <c r="I50" s="144">
        <f t="shared" si="3"/>
        <v>0</v>
      </c>
      <c r="J50" s="59">
        <f t="shared" si="0"/>
        <v>0</v>
      </c>
      <c r="K50" s="38"/>
    </row>
    <row r="51" spans="1:11" x14ac:dyDescent="0.25">
      <c r="A51" s="51">
        <f>'A) Base RI'!A53</f>
        <v>5482</v>
      </c>
      <c r="B51" s="321" t="str">
        <f>'A) Base RI'!B53</f>
        <v>Eclépens</v>
      </c>
      <c r="C51" s="101">
        <f>'B) D RI'!U53</f>
        <v>50368.719782608692</v>
      </c>
      <c r="D51" s="117">
        <f>'E) Fact soc'!G57/C51</f>
        <v>20.287145785467793</v>
      </c>
      <c r="E51" s="144">
        <f>'H) Péréquation directe'!I62/C51</f>
        <v>15.901936135421071</v>
      </c>
      <c r="F51" s="117">
        <f>+'I) Dépenses thématiques'!O51/'K) Plafonnement aide'!C51</f>
        <v>-1.669833217197745</v>
      </c>
      <c r="G51" s="144">
        <f t="shared" si="1"/>
        <v>34.519248703691119</v>
      </c>
      <c r="H51" s="117">
        <f t="shared" si="2"/>
        <v>36.189081920888867</v>
      </c>
      <c r="I51" s="144">
        <f t="shared" si="3"/>
        <v>0</v>
      </c>
      <c r="J51" s="59">
        <f t="shared" si="0"/>
        <v>0</v>
      </c>
      <c r="K51" s="38"/>
    </row>
    <row r="52" spans="1:11" x14ac:dyDescent="0.25">
      <c r="A52" s="51">
        <f>'A) Base RI'!A54</f>
        <v>5483</v>
      </c>
      <c r="B52" s="321" t="str">
        <f>'A) Base RI'!B54</f>
        <v>Ferreyres</v>
      </c>
      <c r="C52" s="101">
        <f>'B) D RI'!U54</f>
        <v>12305.209605263159</v>
      </c>
      <c r="D52" s="117">
        <f>'E) Fact soc'!G58/C52</f>
        <v>16.079787668332632</v>
      </c>
      <c r="E52" s="144">
        <f>'H) Péréquation directe'!I63/C52</f>
        <v>11.955249975410494</v>
      </c>
      <c r="F52" s="117">
        <f>+'I) Dépenses thématiques'!O52/'K) Plafonnement aide'!C52</f>
        <v>-0.56083116251280141</v>
      </c>
      <c r="G52" s="144">
        <f t="shared" si="1"/>
        <v>27.474206481230322</v>
      </c>
      <c r="H52" s="117">
        <f t="shared" si="2"/>
        <v>28.035037643743124</v>
      </c>
      <c r="I52" s="144">
        <f t="shared" si="3"/>
        <v>0</v>
      </c>
      <c r="J52" s="59">
        <f t="shared" si="0"/>
        <v>0</v>
      </c>
      <c r="K52" s="38"/>
    </row>
    <row r="53" spans="1:11" x14ac:dyDescent="0.25">
      <c r="A53" s="51">
        <f>'A) Base RI'!A55</f>
        <v>5484</v>
      </c>
      <c r="B53" s="321" t="str">
        <f>'A) Base RI'!B55</f>
        <v>Gollion</v>
      </c>
      <c r="C53" s="101">
        <f>'B) D RI'!U55</f>
        <v>34769.525540540541</v>
      </c>
      <c r="D53" s="117">
        <f>'E) Fact soc'!G59/C53</f>
        <v>20.059618050885408</v>
      </c>
      <c r="E53" s="144">
        <f>'H) Péréquation directe'!I64/C53</f>
        <v>11.908568345177358</v>
      </c>
      <c r="F53" s="117">
        <f>+'I) Dépenses thématiques'!O53/'K) Plafonnement aide'!C53</f>
        <v>-3.6593884815517321</v>
      </c>
      <c r="G53" s="144">
        <f t="shared" si="1"/>
        <v>28.308797914511032</v>
      </c>
      <c r="H53" s="117">
        <f t="shared" si="2"/>
        <v>31.968186396062766</v>
      </c>
      <c r="I53" s="144">
        <f t="shared" si="3"/>
        <v>0</v>
      </c>
      <c r="J53" s="59">
        <f t="shared" si="0"/>
        <v>0</v>
      </c>
      <c r="K53" s="38"/>
    </row>
    <row r="54" spans="1:11" x14ac:dyDescent="0.25">
      <c r="A54" s="51">
        <f>'A) Base RI'!A56</f>
        <v>5485</v>
      </c>
      <c r="B54" s="321" t="str">
        <f>'A) Base RI'!B56</f>
        <v>Grancy</v>
      </c>
      <c r="C54" s="101">
        <f>'B) D RI'!U56</f>
        <v>17864.595714285719</v>
      </c>
      <c r="D54" s="117">
        <f>'E) Fact soc'!G60/C54</f>
        <v>17.500986940187701</v>
      </c>
      <c r="E54" s="144">
        <f>'H) Péréquation directe'!I65/C54</f>
        <v>16.055857995728879</v>
      </c>
      <c r="F54" s="117">
        <f>+'I) Dépenses thématiques'!O54/'K) Plafonnement aide'!C54</f>
        <v>-1.8875683584546488</v>
      </c>
      <c r="G54" s="144">
        <f t="shared" si="1"/>
        <v>31.669276577461932</v>
      </c>
      <c r="H54" s="117">
        <f t="shared" si="2"/>
        <v>33.55684493591658</v>
      </c>
      <c r="I54" s="144">
        <f t="shared" si="3"/>
        <v>0</v>
      </c>
      <c r="J54" s="59">
        <f t="shared" si="0"/>
        <v>0</v>
      </c>
      <c r="K54" s="38"/>
    </row>
    <row r="55" spans="1:11" x14ac:dyDescent="0.25">
      <c r="A55" s="51">
        <f>'A) Base RI'!A57</f>
        <v>5486</v>
      </c>
      <c r="B55" s="321" t="str">
        <f>'A) Base RI'!B57</f>
        <v>L'Isle</v>
      </c>
      <c r="C55" s="101">
        <f>'B) D RI'!U57</f>
        <v>26187.199605263158</v>
      </c>
      <c r="D55" s="117">
        <f>'E) Fact soc'!G61/C55</f>
        <v>19.118428485522404</v>
      </c>
      <c r="E55" s="144">
        <f>'H) Péréquation directe'!I66/C55</f>
        <v>-1.8409877952869134</v>
      </c>
      <c r="F55" s="117">
        <f>+'I) Dépenses thématiques'!O55/'K) Plafonnement aide'!C55</f>
        <v>-12.005096818970991</v>
      </c>
      <c r="G55" s="144">
        <f t="shared" si="1"/>
        <v>5.2723438712644999</v>
      </c>
      <c r="H55" s="117">
        <f t="shared" si="2"/>
        <v>17.27744069023549</v>
      </c>
      <c r="I55" s="144">
        <f t="shared" si="3"/>
        <v>0</v>
      </c>
      <c r="J55" s="59">
        <f t="shared" si="0"/>
        <v>0</v>
      </c>
      <c r="K55" s="38"/>
    </row>
    <row r="56" spans="1:11" x14ac:dyDescent="0.25">
      <c r="A56" s="51">
        <f>'A) Base RI'!A58</f>
        <v>5487</v>
      </c>
      <c r="B56" s="321" t="str">
        <f>'A) Base RI'!B58</f>
        <v>Lussery-Villars</v>
      </c>
      <c r="C56" s="101">
        <f>'B) D RI'!U58</f>
        <v>14370.481805555557</v>
      </c>
      <c r="D56" s="117">
        <f>'E) Fact soc'!G62/C56</f>
        <v>18.158024946008641</v>
      </c>
      <c r="E56" s="144">
        <f>'H) Péréquation directe'!I67/C56</f>
        <v>6.4671718087754311</v>
      </c>
      <c r="F56" s="117">
        <f>+'I) Dépenses thématiques'!O56/'K) Plafonnement aide'!C56</f>
        <v>-0.83248875574992176</v>
      </c>
      <c r="G56" s="144">
        <f t="shared" si="1"/>
        <v>23.79270799903415</v>
      </c>
      <c r="H56" s="117">
        <f t="shared" si="2"/>
        <v>24.625196754784071</v>
      </c>
      <c r="I56" s="144">
        <f t="shared" si="3"/>
        <v>0</v>
      </c>
      <c r="J56" s="59">
        <f t="shared" si="0"/>
        <v>0</v>
      </c>
      <c r="K56" s="38"/>
    </row>
    <row r="57" spans="1:11" x14ac:dyDescent="0.25">
      <c r="A57" s="51">
        <f>'A) Base RI'!A59</f>
        <v>5488</v>
      </c>
      <c r="B57" s="321" t="str">
        <f>'A) Base RI'!B59</f>
        <v>Mauraz</v>
      </c>
      <c r="C57" s="101">
        <f>'B) D RI'!U59</f>
        <v>1634.9372972972974</v>
      </c>
      <c r="D57" s="117">
        <f>'E) Fact soc'!G63/C57</f>
        <v>15.015158505543184</v>
      </c>
      <c r="E57" s="144">
        <f>'H) Péréquation directe'!I68/C57</f>
        <v>0.86362462077476987</v>
      </c>
      <c r="F57" s="117">
        <f>+'I) Dépenses thématiques'!O57/'K) Plafonnement aide'!C57</f>
        <v>-1.1419290830419844</v>
      </c>
      <c r="G57" s="144">
        <f t="shared" si="1"/>
        <v>14.736854043275969</v>
      </c>
      <c r="H57" s="117">
        <f t="shared" si="2"/>
        <v>15.878783126317954</v>
      </c>
      <c r="I57" s="144">
        <f t="shared" si="3"/>
        <v>0</v>
      </c>
      <c r="J57" s="59">
        <f t="shared" si="0"/>
        <v>0</v>
      </c>
      <c r="K57" s="38"/>
    </row>
    <row r="58" spans="1:11" x14ac:dyDescent="0.25">
      <c r="A58" s="51">
        <f>'A) Base RI'!A60</f>
        <v>5489</v>
      </c>
      <c r="B58" s="321" t="str">
        <f>'A) Base RI'!B60</f>
        <v>Mex</v>
      </c>
      <c r="C58" s="101">
        <f>'B) D RI'!U60</f>
        <v>57398.642786885255</v>
      </c>
      <c r="D58" s="117">
        <f>'E) Fact soc'!G64/C58</f>
        <v>24.052473966473752</v>
      </c>
      <c r="E58" s="144">
        <f>'H) Péréquation directe'!I69/C58</f>
        <v>15.773606287105912</v>
      </c>
      <c r="F58" s="117">
        <f>+'I) Dépenses thématiques'!O58/'K) Plafonnement aide'!C58</f>
        <v>0</v>
      </c>
      <c r="G58" s="144">
        <f t="shared" si="1"/>
        <v>39.826080253579661</v>
      </c>
      <c r="H58" s="117">
        <f t="shared" si="2"/>
        <v>39.826080253579661</v>
      </c>
      <c r="I58" s="144">
        <f t="shared" si="3"/>
        <v>0</v>
      </c>
      <c r="J58" s="59">
        <f t="shared" si="0"/>
        <v>0</v>
      </c>
      <c r="K58" s="38"/>
    </row>
    <row r="59" spans="1:11" x14ac:dyDescent="0.25">
      <c r="A59" s="51">
        <f>'A) Base RI'!A61</f>
        <v>5490</v>
      </c>
      <c r="B59" s="321" t="str">
        <f>'A) Base RI'!B61</f>
        <v>Moiry</v>
      </c>
      <c r="C59" s="101">
        <f>'B) D RI'!U61</f>
        <v>8164.7235802469131</v>
      </c>
      <c r="D59" s="117">
        <f>'E) Fact soc'!G65/C59</f>
        <v>15.823682509463028</v>
      </c>
      <c r="E59" s="144">
        <f>'H) Péréquation directe'!I70/C59</f>
        <v>-4.4470548809045791</v>
      </c>
      <c r="F59" s="117">
        <f>+'I) Dépenses thématiques'!O59/'K) Plafonnement aide'!C59</f>
        <v>-5.2579379840977376</v>
      </c>
      <c r="G59" s="144">
        <f t="shared" si="1"/>
        <v>6.1186896444607113</v>
      </c>
      <c r="H59" s="117">
        <f t="shared" si="2"/>
        <v>11.376627628558449</v>
      </c>
      <c r="I59" s="144">
        <f t="shared" si="3"/>
        <v>0</v>
      </c>
      <c r="J59" s="59">
        <f t="shared" si="0"/>
        <v>0</v>
      </c>
      <c r="K59" s="38"/>
    </row>
    <row r="60" spans="1:11" x14ac:dyDescent="0.25">
      <c r="A60" s="51">
        <f>'A) Base RI'!A62</f>
        <v>5491</v>
      </c>
      <c r="B60" s="321" t="str">
        <f>'A) Base RI'!B62</f>
        <v>Mont-la-Ville</v>
      </c>
      <c r="C60" s="101">
        <f>'B) D RI'!U62</f>
        <v>10538.480394736844</v>
      </c>
      <c r="D60" s="117">
        <f>'E) Fact soc'!G66/C60</f>
        <v>17.266095463384566</v>
      </c>
      <c r="E60" s="144">
        <f>'H) Péréquation directe'!I71/C60</f>
        <v>-3.1358223223980244</v>
      </c>
      <c r="F60" s="117">
        <f>+'I) Dépenses thématiques'!O60/'K) Plafonnement aide'!C60</f>
        <v>-8.6715953501487579</v>
      </c>
      <c r="G60" s="144">
        <f t="shared" si="1"/>
        <v>5.4586777908377844</v>
      </c>
      <c r="H60" s="117">
        <f t="shared" si="2"/>
        <v>14.130273140986542</v>
      </c>
      <c r="I60" s="144">
        <f t="shared" si="3"/>
        <v>0</v>
      </c>
      <c r="J60" s="59">
        <f t="shared" si="0"/>
        <v>0</v>
      </c>
      <c r="K60" s="38"/>
    </row>
    <row r="61" spans="1:11" x14ac:dyDescent="0.25">
      <c r="A61" s="51">
        <f>'A) Base RI'!A63</f>
        <v>5492</v>
      </c>
      <c r="B61" s="321" t="str">
        <f>'A) Base RI'!B63</f>
        <v>Montricher</v>
      </c>
      <c r="C61" s="101">
        <f>'B) D RI'!U63</f>
        <v>223685.74057291666</v>
      </c>
      <c r="D61" s="117">
        <f>'E) Fact soc'!G67/C61</f>
        <v>39.205206695508309</v>
      </c>
      <c r="E61" s="144">
        <f>'H) Péréquation directe'!I72/C61</f>
        <v>12.773959976382695</v>
      </c>
      <c r="F61" s="117">
        <f>+'I) Dépenses thématiques'!O61/'K) Plafonnement aide'!C61</f>
        <v>-0.60377938307455159</v>
      </c>
      <c r="G61" s="144">
        <f t="shared" si="1"/>
        <v>51.375387288816455</v>
      </c>
      <c r="H61" s="117">
        <f t="shared" si="2"/>
        <v>51.979166671891008</v>
      </c>
      <c r="I61" s="144">
        <f t="shared" si="3"/>
        <v>0</v>
      </c>
      <c r="J61" s="59">
        <f t="shared" si="0"/>
        <v>0</v>
      </c>
      <c r="K61" s="38"/>
    </row>
    <row r="62" spans="1:11" x14ac:dyDescent="0.25">
      <c r="A62" s="51">
        <f>'A) Base RI'!A64</f>
        <v>5493</v>
      </c>
      <c r="B62" s="321" t="str">
        <f>'A) Base RI'!B64</f>
        <v>Orny</v>
      </c>
      <c r="C62" s="101">
        <f>'B) D RI'!U64</f>
        <v>9903.4061011591148</v>
      </c>
      <c r="D62" s="117">
        <f>'E) Fact soc'!G68/C62</f>
        <v>20.613243087120743</v>
      </c>
      <c r="E62" s="144">
        <f>'H) Péréquation directe'!I73/C62</f>
        <v>2.0258387120253585</v>
      </c>
      <c r="F62" s="117">
        <f>+'I) Dépenses thématiques'!O62/'K) Plafonnement aide'!C62</f>
        <v>-31.704458526823551</v>
      </c>
      <c r="G62" s="144">
        <f t="shared" si="1"/>
        <v>-9.0653767276774495</v>
      </c>
      <c r="H62" s="117">
        <f t="shared" si="2"/>
        <v>22.639081799146101</v>
      </c>
      <c r="I62" s="144">
        <f t="shared" si="3"/>
        <v>0</v>
      </c>
      <c r="J62" s="59">
        <f t="shared" si="0"/>
        <v>0</v>
      </c>
      <c r="K62" s="38"/>
    </row>
    <row r="63" spans="1:11" x14ac:dyDescent="0.25">
      <c r="A63" s="51">
        <f>'A) Base RI'!A65</f>
        <v>5494</v>
      </c>
      <c r="B63" s="321" t="str">
        <f>'A) Base RI'!B65</f>
        <v>Pampigny</v>
      </c>
      <c r="C63" s="101">
        <f>'B) D RI'!U65</f>
        <v>37200.871473015875</v>
      </c>
      <c r="D63" s="117">
        <f>'E) Fact soc'!G69/C63</f>
        <v>15.812303540747809</v>
      </c>
      <c r="E63" s="144">
        <f>'H) Péréquation directe'!I74/C63</f>
        <v>6.7871370051711803</v>
      </c>
      <c r="F63" s="117">
        <f>+'I) Dépenses thématiques'!O63/'K) Plafonnement aide'!C63</f>
        <v>-5.8154893832647145</v>
      </c>
      <c r="G63" s="144">
        <f t="shared" si="1"/>
        <v>16.783951162654272</v>
      </c>
      <c r="H63" s="117">
        <f t="shared" si="2"/>
        <v>22.599440545918988</v>
      </c>
      <c r="I63" s="144">
        <f t="shared" si="3"/>
        <v>0</v>
      </c>
      <c r="J63" s="59">
        <f t="shared" si="0"/>
        <v>0</v>
      </c>
      <c r="K63" s="38"/>
    </row>
    <row r="64" spans="1:11" x14ac:dyDescent="0.25">
      <c r="A64" s="51">
        <f>'A) Base RI'!A66</f>
        <v>5495</v>
      </c>
      <c r="B64" s="321" t="str">
        <f>'A) Base RI'!B66</f>
        <v>Penthalaz</v>
      </c>
      <c r="C64" s="101">
        <f>'B) D RI'!U66</f>
        <v>93529.013513513521</v>
      </c>
      <c r="D64" s="117">
        <f>'E) Fact soc'!G70/C64</f>
        <v>19.071952229184653</v>
      </c>
      <c r="E64" s="144">
        <f>'H) Péréquation directe'!I75/C64</f>
        <v>-3.8843890157832552</v>
      </c>
      <c r="F64" s="117">
        <f>+'I) Dépenses thématiques'!O64/'K) Plafonnement aide'!C64</f>
        <v>-4.9689881998173622</v>
      </c>
      <c r="G64" s="144">
        <f t="shared" si="1"/>
        <v>10.218575013584035</v>
      </c>
      <c r="H64" s="117">
        <f t="shared" si="2"/>
        <v>15.187563213401397</v>
      </c>
      <c r="I64" s="144">
        <f t="shared" si="3"/>
        <v>0</v>
      </c>
      <c r="J64" s="59">
        <f t="shared" si="0"/>
        <v>0</v>
      </c>
      <c r="K64" s="38"/>
    </row>
    <row r="65" spans="1:11" x14ac:dyDescent="0.25">
      <c r="A65" s="51">
        <f>'A) Base RI'!A67</f>
        <v>5496</v>
      </c>
      <c r="B65" s="321" t="str">
        <f>'A) Base RI'!B67</f>
        <v>Penthaz</v>
      </c>
      <c r="C65" s="101">
        <f>'B) D RI'!U67</f>
        <v>55364.179859154945</v>
      </c>
      <c r="D65" s="117">
        <f>'E) Fact soc'!G71/C65</f>
        <v>17.638868553620053</v>
      </c>
      <c r="E65" s="144">
        <f>'H) Péréquation directe'!I76/C65</f>
        <v>4.2345317946461893</v>
      </c>
      <c r="F65" s="117">
        <f>+'I) Dépenses thématiques'!O65/'K) Plafonnement aide'!C65</f>
        <v>-4.1741337044639613</v>
      </c>
      <c r="G65" s="144">
        <f t="shared" si="1"/>
        <v>17.699266643802282</v>
      </c>
      <c r="H65" s="117">
        <f t="shared" si="2"/>
        <v>21.873400348266244</v>
      </c>
      <c r="I65" s="144">
        <f t="shared" si="3"/>
        <v>0</v>
      </c>
      <c r="J65" s="59">
        <f t="shared" si="0"/>
        <v>0</v>
      </c>
      <c r="K65" s="38"/>
    </row>
    <row r="66" spans="1:11" x14ac:dyDescent="0.25">
      <c r="A66" s="51">
        <f>'A) Base RI'!A68</f>
        <v>5497</v>
      </c>
      <c r="B66" s="321" t="str">
        <f>'A) Base RI'!B68</f>
        <v>Pompaples</v>
      </c>
      <c r="C66" s="101">
        <f>'B) D RI'!U68</f>
        <v>21756.171818181818</v>
      </c>
      <c r="D66" s="117">
        <f>'E) Fact soc'!G72/C66</f>
        <v>26.583189963617631</v>
      </c>
      <c r="E66" s="144">
        <f>'H) Péréquation directe'!I77/C66</f>
        <v>1.4953152388213411</v>
      </c>
      <c r="F66" s="117">
        <f>+'I) Dépenses thématiques'!O66/'K) Plafonnement aide'!C66</f>
        <v>-7.9629348462910432</v>
      </c>
      <c r="G66" s="144">
        <f t="shared" si="1"/>
        <v>20.115570356147927</v>
      </c>
      <c r="H66" s="117">
        <f t="shared" si="2"/>
        <v>28.078505202438969</v>
      </c>
      <c r="I66" s="144">
        <f t="shared" si="3"/>
        <v>0</v>
      </c>
      <c r="J66" s="59">
        <f t="shared" si="0"/>
        <v>0</v>
      </c>
      <c r="K66" s="38"/>
    </row>
    <row r="67" spans="1:11" x14ac:dyDescent="0.25">
      <c r="A67" s="51">
        <f>'A) Base RI'!A69</f>
        <v>5498</v>
      </c>
      <c r="B67" s="321" t="str">
        <f>'A) Base RI'!B69</f>
        <v>La Sarraz</v>
      </c>
      <c r="C67" s="101">
        <f>'B) D RI'!U69</f>
        <v>71866.729696969705</v>
      </c>
      <c r="D67" s="117">
        <f>'E) Fact soc'!G73/C67</f>
        <v>21.019350804531214</v>
      </c>
      <c r="E67" s="144">
        <f>'H) Péréquation directe'!I78/C67</f>
        <v>-1.4574574461401846</v>
      </c>
      <c r="F67" s="117">
        <f>+'I) Dépenses thématiques'!O67/'K) Plafonnement aide'!C67</f>
        <v>-8.0538483276594466</v>
      </c>
      <c r="G67" s="144">
        <f t="shared" si="1"/>
        <v>11.508045030731582</v>
      </c>
      <c r="H67" s="117">
        <f t="shared" si="2"/>
        <v>19.561893358391028</v>
      </c>
      <c r="I67" s="144">
        <f t="shared" si="3"/>
        <v>0</v>
      </c>
      <c r="J67" s="59">
        <f t="shared" si="0"/>
        <v>0</v>
      </c>
      <c r="K67" s="38"/>
    </row>
    <row r="68" spans="1:11" x14ac:dyDescent="0.25">
      <c r="A68" s="51">
        <f>'A) Base RI'!A70</f>
        <v>5499</v>
      </c>
      <c r="B68" s="321" t="str">
        <f>'A) Base RI'!B70</f>
        <v>Senarclens</v>
      </c>
      <c r="C68" s="101">
        <f>'B) D RI'!U70</f>
        <v>20247.622335766424</v>
      </c>
      <c r="D68" s="117">
        <f>'E) Fact soc'!G74/C68</f>
        <v>23.778812926662813</v>
      </c>
      <c r="E68" s="144">
        <f>'H) Péréquation directe'!I79/C68</f>
        <v>13.840733011788213</v>
      </c>
      <c r="F68" s="117">
        <f>+'I) Dépenses thématiques'!O68/'K) Plafonnement aide'!C68</f>
        <v>-1.1144556569835122</v>
      </c>
      <c r="G68" s="144">
        <f t="shared" si="1"/>
        <v>36.505090281467517</v>
      </c>
      <c r="H68" s="117">
        <f t="shared" si="2"/>
        <v>37.619545938451026</v>
      </c>
      <c r="I68" s="144">
        <f t="shared" si="3"/>
        <v>0</v>
      </c>
      <c r="J68" s="59">
        <f t="shared" si="0"/>
        <v>0</v>
      </c>
      <c r="K68" s="38"/>
    </row>
    <row r="69" spans="1:11" x14ac:dyDescent="0.25">
      <c r="A69" s="51">
        <f>'A) Base RI'!A71</f>
        <v>5500</v>
      </c>
      <c r="B69" s="321" t="str">
        <f>'A) Base RI'!B71</f>
        <v>Sévery</v>
      </c>
      <c r="C69" s="101">
        <f>'B) D RI'!U71</f>
        <v>8952.9604888888862</v>
      </c>
      <c r="D69" s="117">
        <f>'E) Fact soc'!G75/C69</f>
        <v>16.848188487119334</v>
      </c>
      <c r="E69" s="144">
        <f>'H) Péréquation directe'!I80/C69</f>
        <v>12.215493142423234</v>
      </c>
      <c r="F69" s="117">
        <f>+'I) Dépenses thématiques'!O69/'K) Plafonnement aide'!C69</f>
        <v>-0.74880392440952037</v>
      </c>
      <c r="G69" s="144">
        <f t="shared" si="1"/>
        <v>28.314877705133046</v>
      </c>
      <c r="H69" s="117">
        <f t="shared" si="2"/>
        <v>29.063681629542568</v>
      </c>
      <c r="I69" s="144">
        <f t="shared" si="3"/>
        <v>0</v>
      </c>
      <c r="J69" s="59">
        <f t="shared" ref="J69:J132" si="4">-I69*C69</f>
        <v>0</v>
      </c>
      <c r="K69" s="38"/>
    </row>
    <row r="70" spans="1:11" x14ac:dyDescent="0.25">
      <c r="A70" s="51">
        <f>'A) Base RI'!A72</f>
        <v>5501</v>
      </c>
      <c r="B70" s="321" t="str">
        <f>'A) Base RI'!B72</f>
        <v>Sullens</v>
      </c>
      <c r="C70" s="101">
        <f>'B) D RI'!U72</f>
        <v>34510.891142857145</v>
      </c>
      <c r="D70" s="117">
        <f>'E) Fact soc'!G76/C70</f>
        <v>17.637250025156963</v>
      </c>
      <c r="E70" s="144">
        <f>'H) Péréquation directe'!I81/C70</f>
        <v>9.652497453633897</v>
      </c>
      <c r="F70" s="117">
        <f>+'I) Dépenses thématiques'!O70/'K) Plafonnement aide'!C70</f>
        <v>-1.6819183691439159</v>
      </c>
      <c r="G70" s="144">
        <f t="shared" ref="G70:G133" si="5">SUM(D70:F70)</f>
        <v>25.607829109646943</v>
      </c>
      <c r="H70" s="117">
        <f t="shared" ref="H70:H133" si="6">G70-F70</f>
        <v>27.289747478790858</v>
      </c>
      <c r="I70" s="144">
        <f t="shared" ref="I70:I133" si="7">IF(H70&lt;I$4,H70-I$4,0)</f>
        <v>0</v>
      </c>
      <c r="J70" s="59">
        <f t="shared" si="4"/>
        <v>0</v>
      </c>
      <c r="K70" s="38"/>
    </row>
    <row r="71" spans="1:11" x14ac:dyDescent="0.25">
      <c r="A71" s="51">
        <f>'A) Base RI'!A73</f>
        <v>5503</v>
      </c>
      <c r="B71" s="321" t="str">
        <f>'A) Base RI'!B73</f>
        <v>Vufflens-la-Ville</v>
      </c>
      <c r="C71" s="101">
        <f>'B) D RI'!U73</f>
        <v>69488.630199004954</v>
      </c>
      <c r="D71" s="117">
        <f>'E) Fact soc'!G77/C71</f>
        <v>17.066959708008703</v>
      </c>
      <c r="E71" s="144">
        <f>'H) Péréquation directe'!I82/C71</f>
        <v>15.6531383205217</v>
      </c>
      <c r="F71" s="117">
        <f>+'I) Dépenses thématiques'!O71/'K) Plafonnement aide'!C71</f>
        <v>0</v>
      </c>
      <c r="G71" s="144">
        <f t="shared" si="5"/>
        <v>32.720098028530401</v>
      </c>
      <c r="H71" s="117">
        <f t="shared" si="6"/>
        <v>32.720098028530401</v>
      </c>
      <c r="I71" s="144">
        <f t="shared" si="7"/>
        <v>0</v>
      </c>
      <c r="J71" s="59">
        <f t="shared" si="4"/>
        <v>0</v>
      </c>
      <c r="K71" s="38"/>
    </row>
    <row r="72" spans="1:11" x14ac:dyDescent="0.25">
      <c r="A72" s="51">
        <f>'A) Base RI'!A74</f>
        <v>5511</v>
      </c>
      <c r="B72" s="321" t="str">
        <f>'A) Base RI'!B74</f>
        <v>Assens</v>
      </c>
      <c r="C72" s="101">
        <f>'B) D RI'!U74</f>
        <v>49567.304285714286</v>
      </c>
      <c r="D72" s="117">
        <f>'E) Fact soc'!G78/C72</f>
        <v>15.910847622386997</v>
      </c>
      <c r="E72" s="144">
        <f>'H) Péréquation directe'!I83/C72</f>
        <v>16.006616665968288</v>
      </c>
      <c r="F72" s="117">
        <f>+'I) Dépenses thématiques'!O72/'K) Plafonnement aide'!C72</f>
        <v>-2.4604983034292593</v>
      </c>
      <c r="G72" s="144">
        <f t="shared" si="5"/>
        <v>29.456965984926025</v>
      </c>
      <c r="H72" s="117">
        <f t="shared" si="6"/>
        <v>31.917464288355283</v>
      </c>
      <c r="I72" s="144">
        <f t="shared" si="7"/>
        <v>0</v>
      </c>
      <c r="J72" s="59">
        <f t="shared" si="4"/>
        <v>0</v>
      </c>
      <c r="K72" s="38"/>
    </row>
    <row r="73" spans="1:11" x14ac:dyDescent="0.25">
      <c r="A73" s="51">
        <f>'A) Base RI'!A75</f>
        <v>5512</v>
      </c>
      <c r="B73" s="321" t="str">
        <f>'A) Base RI'!B75</f>
        <v>Bercher</v>
      </c>
      <c r="C73" s="101">
        <f>'B) D RI'!U75</f>
        <v>38296.029873417712</v>
      </c>
      <c r="D73" s="117">
        <f>'E) Fact soc'!G79/C73</f>
        <v>18.145322530279515</v>
      </c>
      <c r="E73" s="144">
        <f>'H) Péréquation directe'!I84/C73</f>
        <v>3.3034922113032281</v>
      </c>
      <c r="F73" s="117">
        <f>+'I) Dépenses thématiques'!O73/'K) Plafonnement aide'!C73</f>
        <v>-4.2977470166617504</v>
      </c>
      <c r="G73" s="144">
        <f t="shared" si="5"/>
        <v>17.151067724920992</v>
      </c>
      <c r="H73" s="117">
        <f t="shared" si="6"/>
        <v>21.448814741582744</v>
      </c>
      <c r="I73" s="144">
        <f t="shared" si="7"/>
        <v>0</v>
      </c>
      <c r="J73" s="59">
        <f t="shared" si="4"/>
        <v>0</v>
      </c>
      <c r="K73" s="38"/>
    </row>
    <row r="74" spans="1:11" x14ac:dyDescent="0.25">
      <c r="A74" s="51">
        <f>'A) Base RI'!A76</f>
        <v>5513</v>
      </c>
      <c r="B74" s="321" t="str">
        <f>'A) Base RI'!B76</f>
        <v>Bioley-Orjulaz</v>
      </c>
      <c r="C74" s="101">
        <f>'B) D RI'!U76</f>
        <v>23261.0975</v>
      </c>
      <c r="D74" s="117">
        <f>'E) Fact soc'!G80/C74</f>
        <v>24.203123088899577</v>
      </c>
      <c r="E74" s="144">
        <f>'H) Péréquation directe'!I85/C74</f>
        <v>16.368715559547869</v>
      </c>
      <c r="F74" s="117">
        <f>+'I) Dépenses thématiques'!O74/'K) Plafonnement aide'!C74</f>
        <v>-0.54453695443480588</v>
      </c>
      <c r="G74" s="144">
        <f t="shared" si="5"/>
        <v>40.027301694012642</v>
      </c>
      <c r="H74" s="117">
        <f t="shared" si="6"/>
        <v>40.571838648447446</v>
      </c>
      <c r="I74" s="144">
        <f t="shared" si="7"/>
        <v>0</v>
      </c>
      <c r="J74" s="59">
        <f t="shared" si="4"/>
        <v>0</v>
      </c>
      <c r="K74" s="38"/>
    </row>
    <row r="75" spans="1:11" x14ac:dyDescent="0.25">
      <c r="A75" s="51">
        <f>'A) Base RI'!A77</f>
        <v>5514</v>
      </c>
      <c r="B75" s="321" t="str">
        <f>'A) Base RI'!B77</f>
        <v>Bottens</v>
      </c>
      <c r="C75" s="101">
        <f>'B) D RI'!U77</f>
        <v>41051.716376811593</v>
      </c>
      <c r="D75" s="117">
        <f>'E) Fact soc'!G81/C75</f>
        <v>16.532536108667852</v>
      </c>
      <c r="E75" s="144">
        <f>'H) Péréquation directe'!I86/C75</f>
        <v>6.7187192492375525</v>
      </c>
      <c r="F75" s="117">
        <f>+'I) Dépenses thématiques'!O75/'K) Plafonnement aide'!C75</f>
        <v>0</v>
      </c>
      <c r="G75" s="144">
        <f t="shared" si="5"/>
        <v>23.251255357905404</v>
      </c>
      <c r="H75" s="117">
        <f t="shared" si="6"/>
        <v>23.251255357905404</v>
      </c>
      <c r="I75" s="144">
        <f t="shared" si="7"/>
        <v>0</v>
      </c>
      <c r="J75" s="59">
        <f t="shared" si="4"/>
        <v>0</v>
      </c>
      <c r="K75" s="38"/>
    </row>
    <row r="76" spans="1:11" x14ac:dyDescent="0.25">
      <c r="A76" s="51">
        <f>'A) Base RI'!A78</f>
        <v>5515</v>
      </c>
      <c r="B76" s="321" t="str">
        <f>'A) Base RI'!B78</f>
        <v>Bretigny-sur-Morrens</v>
      </c>
      <c r="C76" s="101">
        <f>'B) D RI'!U78</f>
        <v>27741.095753424659</v>
      </c>
      <c r="D76" s="117">
        <f>'E) Fact soc'!G82/C76</f>
        <v>17.023519151972302</v>
      </c>
      <c r="E76" s="144">
        <f>'H) Péréquation directe'!I87/C76</f>
        <v>8.5229205786953752</v>
      </c>
      <c r="F76" s="117">
        <f>+'I) Dépenses thématiques'!O76/'K) Plafonnement aide'!C76</f>
        <v>-1.5622647436640638</v>
      </c>
      <c r="G76" s="144">
        <f t="shared" si="5"/>
        <v>23.984174987003616</v>
      </c>
      <c r="H76" s="117">
        <f t="shared" si="6"/>
        <v>25.546439730667679</v>
      </c>
      <c r="I76" s="144">
        <f t="shared" si="7"/>
        <v>0</v>
      </c>
      <c r="J76" s="59">
        <f t="shared" si="4"/>
        <v>0</v>
      </c>
      <c r="K76" s="38"/>
    </row>
    <row r="77" spans="1:11" x14ac:dyDescent="0.25">
      <c r="A77" s="51">
        <f>'A) Base RI'!A79</f>
        <v>5516</v>
      </c>
      <c r="B77" s="321" t="str">
        <f>'A) Base RI'!B79</f>
        <v>Cugy</v>
      </c>
      <c r="C77" s="101">
        <f>'B) D RI'!U79</f>
        <v>111403.80442857141</v>
      </c>
      <c r="D77" s="117">
        <f>'E) Fact soc'!G83/C77</f>
        <v>17.762998326366127</v>
      </c>
      <c r="E77" s="144">
        <f>'H) Péréquation directe'!I88/C77</f>
        <v>10.178491934900782</v>
      </c>
      <c r="F77" s="117">
        <f>+'I) Dépenses thématiques'!O77/'K) Plafonnement aide'!C77</f>
        <v>-2.2274256068250211</v>
      </c>
      <c r="G77" s="144">
        <f t="shared" si="5"/>
        <v>25.714064654441884</v>
      </c>
      <c r="H77" s="117">
        <f t="shared" si="6"/>
        <v>27.941490261266907</v>
      </c>
      <c r="I77" s="144">
        <f t="shared" si="7"/>
        <v>0</v>
      </c>
      <c r="J77" s="59">
        <f t="shared" si="4"/>
        <v>0</v>
      </c>
      <c r="K77" s="38"/>
    </row>
    <row r="78" spans="1:11" x14ac:dyDescent="0.25">
      <c r="A78" s="51">
        <f>'A) Base RI'!A80</f>
        <v>5518</v>
      </c>
      <c r="B78" s="321" t="str">
        <f>'A) Base RI'!B80</f>
        <v>Echallens</v>
      </c>
      <c r="C78" s="101">
        <f>'B) D RI'!U80</f>
        <v>193638.72135135136</v>
      </c>
      <c r="D78" s="117">
        <f>'E) Fact soc'!G84/C78</f>
        <v>16.661534694020197</v>
      </c>
      <c r="E78" s="144">
        <f>'H) Péréquation directe'!I89/C78</f>
        <v>9.4299518337354078E-3</v>
      </c>
      <c r="F78" s="117">
        <f>+'I) Dépenses thématiques'!O78/'K) Plafonnement aide'!C78</f>
        <v>-5.0642627915204406</v>
      </c>
      <c r="G78" s="144">
        <f t="shared" si="5"/>
        <v>11.60670185433349</v>
      </c>
      <c r="H78" s="117">
        <f t="shared" si="6"/>
        <v>16.670964645853932</v>
      </c>
      <c r="I78" s="144">
        <f t="shared" si="7"/>
        <v>0</v>
      </c>
      <c r="J78" s="59">
        <f t="shared" si="4"/>
        <v>0</v>
      </c>
      <c r="K78" s="38"/>
    </row>
    <row r="79" spans="1:11" x14ac:dyDescent="0.25">
      <c r="A79" s="51">
        <f>'A) Base RI'!A81</f>
        <v>5520</v>
      </c>
      <c r="B79" s="321" t="str">
        <f>'A) Base RI'!B81</f>
        <v>Essertines-sur-Yverdon</v>
      </c>
      <c r="C79" s="101">
        <f>'B) D RI'!U81</f>
        <v>32024.354520547942</v>
      </c>
      <c r="D79" s="117">
        <f>'E) Fact soc'!G85/C79</f>
        <v>18.185770107873854</v>
      </c>
      <c r="E79" s="144">
        <f>'H) Péréquation directe'!I90/C79</f>
        <v>7.5876359491030412</v>
      </c>
      <c r="F79" s="117">
        <f>+'I) Dépenses thématiques'!O79/'K) Plafonnement aide'!C79</f>
        <v>-6.9650509501781599</v>
      </c>
      <c r="G79" s="144">
        <f t="shared" si="5"/>
        <v>18.808355106798736</v>
      </c>
      <c r="H79" s="117">
        <f t="shared" si="6"/>
        <v>25.773406056976896</v>
      </c>
      <c r="I79" s="144">
        <f t="shared" si="7"/>
        <v>0</v>
      </c>
      <c r="J79" s="59">
        <f t="shared" si="4"/>
        <v>0</v>
      </c>
      <c r="K79" s="38"/>
    </row>
    <row r="80" spans="1:11" x14ac:dyDescent="0.25">
      <c r="A80" s="51">
        <f>'A) Base RI'!A82</f>
        <v>5521</v>
      </c>
      <c r="B80" s="321" t="str">
        <f>'A) Base RI'!B82</f>
        <v>Etagnières</v>
      </c>
      <c r="C80" s="101">
        <f>'B) D RI'!U82</f>
        <v>41782.284931506838</v>
      </c>
      <c r="D80" s="117">
        <f>'E) Fact soc'!G86/C80</f>
        <v>17.143563405987983</v>
      </c>
      <c r="E80" s="144">
        <f>'H) Péréquation directe'!I91/C80</f>
        <v>10.914824326823894</v>
      </c>
      <c r="F80" s="117">
        <f>+'I) Dépenses thématiques'!O80/'K) Plafonnement aide'!C80</f>
        <v>0</v>
      </c>
      <c r="G80" s="144">
        <f t="shared" si="5"/>
        <v>28.058387732811877</v>
      </c>
      <c r="H80" s="117">
        <f t="shared" si="6"/>
        <v>28.058387732811877</v>
      </c>
      <c r="I80" s="144">
        <f t="shared" si="7"/>
        <v>0</v>
      </c>
      <c r="J80" s="59">
        <f t="shared" si="4"/>
        <v>0</v>
      </c>
      <c r="K80" s="38"/>
    </row>
    <row r="81" spans="1:11" x14ac:dyDescent="0.25">
      <c r="A81" s="51">
        <f>'A) Base RI'!A83</f>
        <v>5522</v>
      </c>
      <c r="B81" s="321" t="str">
        <f>'A) Base RI'!B83</f>
        <v>Fey</v>
      </c>
      <c r="C81" s="101">
        <f>'B) D RI'!U83</f>
        <v>20521.084933333332</v>
      </c>
      <c r="D81" s="117">
        <f>'E) Fact soc'!G87/C81</f>
        <v>18.374791303905234</v>
      </c>
      <c r="E81" s="144">
        <f>'H) Péréquation directe'!I92/C81</f>
        <v>3.1661399714726959</v>
      </c>
      <c r="F81" s="117">
        <f>+'I) Dépenses thématiques'!O81/'K) Plafonnement aide'!C81</f>
        <v>-0.80101885982749665</v>
      </c>
      <c r="G81" s="144">
        <f t="shared" si="5"/>
        <v>20.739912415550432</v>
      </c>
      <c r="H81" s="117">
        <f t="shared" si="6"/>
        <v>21.540931275377929</v>
      </c>
      <c r="I81" s="144">
        <f t="shared" si="7"/>
        <v>0</v>
      </c>
      <c r="J81" s="59">
        <f t="shared" si="4"/>
        <v>0</v>
      </c>
      <c r="K81" s="38"/>
    </row>
    <row r="82" spans="1:11" x14ac:dyDescent="0.25">
      <c r="A82" s="51">
        <f>'A) Base RI'!A84</f>
        <v>5523</v>
      </c>
      <c r="B82" s="321" t="str">
        <f>'A) Base RI'!B84</f>
        <v>Froideville</v>
      </c>
      <c r="C82" s="101">
        <f>'B) D RI'!U84</f>
        <v>83854.770526315799</v>
      </c>
      <c r="D82" s="117">
        <f>'E) Fact soc'!G88/C82</f>
        <v>16.737453720156839</v>
      </c>
      <c r="E82" s="144">
        <f>'H) Péréquation directe'!I93/C82</f>
        <v>2.4330983411400653</v>
      </c>
      <c r="F82" s="117">
        <f>+'I) Dépenses thématiques'!O82/'K) Plafonnement aide'!C82</f>
        <v>-1.6936962106189601</v>
      </c>
      <c r="G82" s="144">
        <f t="shared" si="5"/>
        <v>17.476855850677946</v>
      </c>
      <c r="H82" s="117">
        <f t="shared" si="6"/>
        <v>19.170552061296906</v>
      </c>
      <c r="I82" s="144">
        <f t="shared" si="7"/>
        <v>0</v>
      </c>
      <c r="J82" s="59">
        <f t="shared" si="4"/>
        <v>0</v>
      </c>
      <c r="K82" s="38"/>
    </row>
    <row r="83" spans="1:11" x14ac:dyDescent="0.25">
      <c r="A83" s="51">
        <f>'A) Base RI'!A85</f>
        <v>5527</v>
      </c>
      <c r="B83" s="321" t="str">
        <f>'A) Base RI'!B85</f>
        <v>Morrens</v>
      </c>
      <c r="C83" s="101">
        <f>'B) D RI'!U85</f>
        <v>39746.766619718313</v>
      </c>
      <c r="D83" s="117">
        <f>'E) Fact soc'!G89/C83</f>
        <v>17.071960528765956</v>
      </c>
      <c r="E83" s="144">
        <f>'H) Péréquation directe'!I94/C83</f>
        <v>10.585823485135753</v>
      </c>
      <c r="F83" s="117">
        <f>+'I) Dépenses thématiques'!O83/'K) Plafonnement aide'!C83</f>
        <v>-0.7049278352975572</v>
      </c>
      <c r="G83" s="144">
        <f t="shared" si="5"/>
        <v>26.952856178604154</v>
      </c>
      <c r="H83" s="117">
        <f t="shared" si="6"/>
        <v>27.657784013901711</v>
      </c>
      <c r="I83" s="144">
        <f t="shared" si="7"/>
        <v>0</v>
      </c>
      <c r="J83" s="59">
        <f t="shared" si="4"/>
        <v>0</v>
      </c>
      <c r="K83" s="38"/>
    </row>
    <row r="84" spans="1:11" x14ac:dyDescent="0.25">
      <c r="A84" s="51">
        <f>'A) Base RI'!A86</f>
        <v>5529</v>
      </c>
      <c r="B84" s="321" t="str">
        <f>'A) Base RI'!B86</f>
        <v>Oulens-sous-Echallens</v>
      </c>
      <c r="C84" s="101">
        <f>'B) D RI'!U86</f>
        <v>20201.042816901412</v>
      </c>
      <c r="D84" s="117">
        <f>'E) Fact soc'!G90/C84</f>
        <v>17.630931883132867</v>
      </c>
      <c r="E84" s="144">
        <f>'H) Péréquation directe'!I95/C84</f>
        <v>10.073613866579889</v>
      </c>
      <c r="F84" s="117">
        <f>+'I) Dépenses thématiques'!O84/'K) Plafonnement aide'!C84</f>
        <v>-5.812140839864016</v>
      </c>
      <c r="G84" s="144">
        <f t="shared" si="5"/>
        <v>21.892404909848743</v>
      </c>
      <c r="H84" s="117">
        <f t="shared" si="6"/>
        <v>27.704545749712757</v>
      </c>
      <c r="I84" s="144">
        <f t="shared" si="7"/>
        <v>0</v>
      </c>
      <c r="J84" s="59">
        <f t="shared" si="4"/>
        <v>0</v>
      </c>
      <c r="K84" s="38"/>
    </row>
    <row r="85" spans="1:11" x14ac:dyDescent="0.25">
      <c r="A85" s="51">
        <f>'A) Base RI'!A87</f>
        <v>5530</v>
      </c>
      <c r="B85" s="321" t="str">
        <f>'A) Base RI'!B87</f>
        <v>Pailly</v>
      </c>
      <c r="C85" s="101">
        <f>'B) D RI'!U87</f>
        <v>17056.622387096773</v>
      </c>
      <c r="D85" s="117">
        <f>'E) Fact soc'!G91/C85</f>
        <v>18.010216603249908</v>
      </c>
      <c r="E85" s="144">
        <f>'H) Péréquation directe'!I96/C85</f>
        <v>5.1839330767583762</v>
      </c>
      <c r="F85" s="117">
        <f>+'I) Dépenses thématiques'!O85/'K) Plafonnement aide'!C85</f>
        <v>-30.193952169349362</v>
      </c>
      <c r="G85" s="144">
        <f t="shared" si="5"/>
        <v>-6.9998024893410786</v>
      </c>
      <c r="H85" s="117">
        <f t="shared" si="6"/>
        <v>23.194149680008284</v>
      </c>
      <c r="I85" s="144">
        <f t="shared" si="7"/>
        <v>0</v>
      </c>
      <c r="J85" s="59">
        <f t="shared" si="4"/>
        <v>0</v>
      </c>
      <c r="K85" s="38"/>
    </row>
    <row r="86" spans="1:11" x14ac:dyDescent="0.25">
      <c r="A86" s="51">
        <f>'A) Base RI'!A88</f>
        <v>5531</v>
      </c>
      <c r="B86" s="321" t="str">
        <f>'A) Base RI'!B88</f>
        <v>Penthéréaz</v>
      </c>
      <c r="C86" s="101">
        <f>'B) D RI'!U88</f>
        <v>13134.769871794872</v>
      </c>
      <c r="D86" s="117">
        <f>'E) Fact soc'!G92/C86</f>
        <v>17.208100618815546</v>
      </c>
      <c r="E86" s="144">
        <f>'H) Péréquation directe'!I97/C86</f>
        <v>5.0656658947982569</v>
      </c>
      <c r="F86" s="117">
        <f>+'I) Dépenses thématiques'!O86/'K) Plafonnement aide'!C86</f>
        <v>-4.3953590651877814</v>
      </c>
      <c r="G86" s="144">
        <f t="shared" si="5"/>
        <v>17.878407448426024</v>
      </c>
      <c r="H86" s="117">
        <f t="shared" si="6"/>
        <v>22.273766513613808</v>
      </c>
      <c r="I86" s="144">
        <f t="shared" si="7"/>
        <v>0</v>
      </c>
      <c r="J86" s="59">
        <f t="shared" si="4"/>
        <v>0</v>
      </c>
      <c r="K86" s="38"/>
    </row>
    <row r="87" spans="1:11" x14ac:dyDescent="0.25">
      <c r="A87" s="51">
        <f>'A) Base RI'!A89</f>
        <v>5533</v>
      </c>
      <c r="B87" s="321" t="str">
        <f>'A) Base RI'!B89</f>
        <v>Poliez-Pittet</v>
      </c>
      <c r="C87" s="101">
        <f>'B) D RI'!U89</f>
        <v>28042.897605633803</v>
      </c>
      <c r="D87" s="117">
        <f>'E) Fact soc'!G93/C87</f>
        <v>15.683709960662197</v>
      </c>
      <c r="E87" s="144">
        <f>'H) Péréquation directe'!I98/C87</f>
        <v>8.369409001527389</v>
      </c>
      <c r="F87" s="117">
        <f>+'I) Dépenses thématiques'!O87/'K) Plafonnement aide'!C87</f>
        <v>-1.4440139086970414</v>
      </c>
      <c r="G87" s="144">
        <f t="shared" si="5"/>
        <v>22.609105053492545</v>
      </c>
      <c r="H87" s="117">
        <f t="shared" si="6"/>
        <v>24.053118962189586</v>
      </c>
      <c r="I87" s="144">
        <f t="shared" si="7"/>
        <v>0</v>
      </c>
      <c r="J87" s="59">
        <f t="shared" si="4"/>
        <v>0</v>
      </c>
      <c r="K87" s="38"/>
    </row>
    <row r="88" spans="1:11" x14ac:dyDescent="0.25">
      <c r="A88" s="51">
        <f>'A) Base RI'!A90</f>
        <v>5534</v>
      </c>
      <c r="B88" s="321" t="str">
        <f>'A) Base RI'!B90</f>
        <v>Rueyres</v>
      </c>
      <c r="C88" s="101">
        <f>'B) D RI'!U90</f>
        <v>9722.0657534246584</v>
      </c>
      <c r="D88" s="117">
        <f>'E) Fact soc'!G94/C88</f>
        <v>16.204188213136757</v>
      </c>
      <c r="E88" s="144">
        <f>'H) Péréquation directe'!I99/C88</f>
        <v>11.981386480591397</v>
      </c>
      <c r="F88" s="117">
        <f>+'I) Dépenses thématiques'!O88/'K) Plafonnement aide'!C88</f>
        <v>-1.8118508511618512</v>
      </c>
      <c r="G88" s="144">
        <f t="shared" si="5"/>
        <v>26.373723842566303</v>
      </c>
      <c r="H88" s="117">
        <f t="shared" si="6"/>
        <v>28.185574693728153</v>
      </c>
      <c r="I88" s="144">
        <f t="shared" si="7"/>
        <v>0</v>
      </c>
      <c r="J88" s="59">
        <f t="shared" si="4"/>
        <v>0</v>
      </c>
      <c r="K88" s="38"/>
    </row>
    <row r="89" spans="1:11" x14ac:dyDescent="0.25">
      <c r="A89" s="51">
        <f>'A) Base RI'!A91</f>
        <v>5535</v>
      </c>
      <c r="B89" s="321" t="str">
        <f>'A) Base RI'!B91</f>
        <v>Saint-Barthélemy</v>
      </c>
      <c r="C89" s="101">
        <f>'B) D RI'!U91</f>
        <v>23314.139350649355</v>
      </c>
      <c r="D89" s="117">
        <f>'E) Fact soc'!G95/C89</f>
        <v>16.14161527089955</v>
      </c>
      <c r="E89" s="144">
        <f>'H) Péréquation directe'!I100/C89</f>
        <v>3.9893153922161897</v>
      </c>
      <c r="F89" s="117">
        <f>+'I) Dépenses thématiques'!O89/'K) Plafonnement aide'!C89</f>
        <v>0</v>
      </c>
      <c r="G89" s="144">
        <f t="shared" si="5"/>
        <v>20.130930663115741</v>
      </c>
      <c r="H89" s="117">
        <f t="shared" si="6"/>
        <v>20.130930663115741</v>
      </c>
      <c r="I89" s="144">
        <f t="shared" si="7"/>
        <v>0</v>
      </c>
      <c r="J89" s="59">
        <f t="shared" si="4"/>
        <v>0</v>
      </c>
      <c r="K89" s="38"/>
    </row>
    <row r="90" spans="1:11" x14ac:dyDescent="0.25">
      <c r="A90" s="51">
        <f>'A) Base RI'!A92</f>
        <v>5537</v>
      </c>
      <c r="B90" s="321" t="str">
        <f>'A) Base RI'!B92</f>
        <v>Villars-le-Terroir</v>
      </c>
      <c r="C90" s="101">
        <f>'B) D RI'!U92</f>
        <v>33778.811643835616</v>
      </c>
      <c r="D90" s="117">
        <f>'E) Fact soc'!G96/C90</f>
        <v>17.16446635466194</v>
      </c>
      <c r="E90" s="144">
        <f>'H) Péréquation directe'!I101/C90</f>
        <v>2.9198882241035911</v>
      </c>
      <c r="F90" s="117">
        <f>+'I) Dépenses thématiques'!O90/'K) Plafonnement aide'!C90</f>
        <v>-1.3021687005418547</v>
      </c>
      <c r="G90" s="144">
        <f t="shared" si="5"/>
        <v>18.782185878223675</v>
      </c>
      <c r="H90" s="117">
        <f t="shared" si="6"/>
        <v>20.084354578765531</v>
      </c>
      <c r="I90" s="144">
        <f t="shared" si="7"/>
        <v>0</v>
      </c>
      <c r="J90" s="59">
        <f t="shared" si="4"/>
        <v>0</v>
      </c>
      <c r="K90" s="38"/>
    </row>
    <row r="91" spans="1:11" x14ac:dyDescent="0.25">
      <c r="A91" s="51">
        <f>'A) Base RI'!A93</f>
        <v>5539</v>
      </c>
      <c r="B91" s="321" t="str">
        <f>'A) Base RI'!B93</f>
        <v>Vuarrens</v>
      </c>
      <c r="C91" s="101">
        <f>'B) D RI'!U93</f>
        <v>26961.993700000003</v>
      </c>
      <c r="D91" s="117">
        <f>'E) Fact soc'!G97/C91</f>
        <v>16.786565157863556</v>
      </c>
      <c r="E91" s="144">
        <f>'H) Péréquation directe'!I102/C91</f>
        <v>-9.6411401147333958E-2</v>
      </c>
      <c r="F91" s="117">
        <f>+'I) Dépenses thématiques'!O91/'K) Plafonnement aide'!C91</f>
        <v>-12.856959283271019</v>
      </c>
      <c r="G91" s="144">
        <f t="shared" si="5"/>
        <v>3.8331944734452019</v>
      </c>
      <c r="H91" s="117">
        <f t="shared" si="6"/>
        <v>16.690153756716221</v>
      </c>
      <c r="I91" s="144">
        <f t="shared" si="7"/>
        <v>0</v>
      </c>
      <c r="J91" s="59">
        <f t="shared" si="4"/>
        <v>0</v>
      </c>
      <c r="K91" s="38"/>
    </row>
    <row r="92" spans="1:11" x14ac:dyDescent="0.25">
      <c r="A92" s="51">
        <f>'A) Base RI'!A94</f>
        <v>5540</v>
      </c>
      <c r="B92" s="321" t="str">
        <f>'A) Base RI'!B94</f>
        <v>Montilliez</v>
      </c>
      <c r="C92" s="101">
        <f>'B) D RI'!U94</f>
        <v>57534.065472972972</v>
      </c>
      <c r="D92" s="117">
        <f>'E) Fact soc'!G98/C92</f>
        <v>16.850102101691331</v>
      </c>
      <c r="E92" s="144">
        <f>'H) Péréquation directe'!I103/C92</f>
        <v>4.818544282833801</v>
      </c>
      <c r="F92" s="117">
        <f>+'I) Dépenses thématiques'!O92/'K) Plafonnement aide'!C92</f>
        <v>-4.8970481533611849</v>
      </c>
      <c r="G92" s="144">
        <f t="shared" si="5"/>
        <v>16.771598231163949</v>
      </c>
      <c r="H92" s="117">
        <f t="shared" si="6"/>
        <v>21.668646384525132</v>
      </c>
      <c r="I92" s="144">
        <f t="shared" si="7"/>
        <v>0</v>
      </c>
      <c r="J92" s="59">
        <f t="shared" si="4"/>
        <v>0</v>
      </c>
      <c r="K92" s="38"/>
    </row>
    <row r="93" spans="1:11" x14ac:dyDescent="0.25">
      <c r="A93" s="51">
        <f>'A) Base RI'!A95</f>
        <v>5541</v>
      </c>
      <c r="B93" s="321" t="str">
        <f>'A) Base RI'!B95</f>
        <v>Goumoëns</v>
      </c>
      <c r="C93" s="101">
        <f>'B) D RI'!U95</f>
        <v>38967.18311688312</v>
      </c>
      <c r="D93" s="117">
        <f>'E) Fact soc'!G99/C93</f>
        <v>16.865419910986212</v>
      </c>
      <c r="E93" s="144">
        <f>'H) Péréquation directe'!I104/C93</f>
        <v>8.4804767353280734</v>
      </c>
      <c r="F93" s="117">
        <f>+'I) Dépenses thématiques'!O93/'K) Plafonnement aide'!C93</f>
        <v>-0.43889472862449447</v>
      </c>
      <c r="G93" s="144">
        <f t="shared" si="5"/>
        <v>24.907001917689794</v>
      </c>
      <c r="H93" s="117">
        <f t="shared" si="6"/>
        <v>25.345896646314287</v>
      </c>
      <c r="I93" s="144">
        <f t="shared" si="7"/>
        <v>0</v>
      </c>
      <c r="J93" s="59">
        <f t="shared" si="4"/>
        <v>0</v>
      </c>
      <c r="K93" s="38"/>
    </row>
    <row r="94" spans="1:11" x14ac:dyDescent="0.25">
      <c r="A94" s="51">
        <f>'A) Base RI'!A96</f>
        <v>5551</v>
      </c>
      <c r="B94" s="321" t="str">
        <f>'A) Base RI'!B96</f>
        <v>Bonvillars</v>
      </c>
      <c r="C94" s="101">
        <f>'B) D RI'!U96</f>
        <v>18919.686363636367</v>
      </c>
      <c r="D94" s="117">
        <f>'E) Fact soc'!G100/C94</f>
        <v>18.244638837597506</v>
      </c>
      <c r="E94" s="144">
        <f>'H) Péréquation directe'!I105/C94</f>
        <v>13.838314379976453</v>
      </c>
      <c r="F94" s="117">
        <f>+'I) Dépenses thématiques'!O94/'K) Plafonnement aide'!C94</f>
        <v>-3.9067385341716627</v>
      </c>
      <c r="G94" s="144">
        <f t="shared" si="5"/>
        <v>28.176214683402296</v>
      </c>
      <c r="H94" s="117">
        <f t="shared" si="6"/>
        <v>32.082953217573959</v>
      </c>
      <c r="I94" s="144">
        <f t="shared" si="7"/>
        <v>0</v>
      </c>
      <c r="J94" s="59">
        <f t="shared" si="4"/>
        <v>0</v>
      </c>
      <c r="K94" s="38"/>
    </row>
    <row r="95" spans="1:11" x14ac:dyDescent="0.25">
      <c r="A95" s="51">
        <f>'A) Base RI'!A97</f>
        <v>5552</v>
      </c>
      <c r="B95" s="321" t="str">
        <f>'A) Base RI'!B97</f>
        <v>Bullet</v>
      </c>
      <c r="C95" s="101">
        <f>'B) D RI'!U97</f>
        <v>17961.232428571428</v>
      </c>
      <c r="D95" s="117">
        <f>'E) Fact soc'!G101/C95</f>
        <v>18.309753140701332</v>
      </c>
      <c r="E95" s="144">
        <f>'H) Péréquation directe'!I106/C95</f>
        <v>3.1546870954709481</v>
      </c>
      <c r="F95" s="117">
        <f>+'I) Dépenses thématiques'!O95/'K) Plafonnement aide'!C95</f>
        <v>-10.820738382891129</v>
      </c>
      <c r="G95" s="144">
        <f t="shared" si="5"/>
        <v>10.643701853281151</v>
      </c>
      <c r="H95" s="117">
        <f t="shared" si="6"/>
        <v>21.46444023617228</v>
      </c>
      <c r="I95" s="144">
        <f t="shared" si="7"/>
        <v>0</v>
      </c>
      <c r="J95" s="59">
        <f t="shared" si="4"/>
        <v>0</v>
      </c>
      <c r="K95" s="38"/>
    </row>
    <row r="96" spans="1:11" x14ac:dyDescent="0.25">
      <c r="A96" s="51">
        <f>'A) Base RI'!A98</f>
        <v>5553</v>
      </c>
      <c r="B96" s="321" t="str">
        <f>'A) Base RI'!B98</f>
        <v>Champagne</v>
      </c>
      <c r="C96" s="101">
        <f>'B) D RI'!U98</f>
        <v>34503.509846153851</v>
      </c>
      <c r="D96" s="117">
        <f>'E) Fact soc'!G102/C96</f>
        <v>18.081085000316641</v>
      </c>
      <c r="E96" s="144">
        <f>'H) Péréquation directe'!I107/C96</f>
        <v>9.7634905289372202</v>
      </c>
      <c r="F96" s="117">
        <f>+'I) Dépenses thématiques'!O96/'K) Plafonnement aide'!C96</f>
        <v>-6.9265321367261219</v>
      </c>
      <c r="G96" s="144">
        <f t="shared" si="5"/>
        <v>20.918043392527736</v>
      </c>
      <c r="H96" s="117">
        <f t="shared" si="6"/>
        <v>27.844575529253859</v>
      </c>
      <c r="I96" s="144">
        <f t="shared" si="7"/>
        <v>0</v>
      </c>
      <c r="J96" s="59">
        <f t="shared" si="4"/>
        <v>0</v>
      </c>
      <c r="K96" s="38"/>
    </row>
    <row r="97" spans="1:11" x14ac:dyDescent="0.25">
      <c r="A97" s="51">
        <f>'A) Base RI'!A99</f>
        <v>5554</v>
      </c>
      <c r="B97" s="321" t="str">
        <f>'A) Base RI'!B99</f>
        <v>Concise</v>
      </c>
      <c r="C97" s="101">
        <f>'B) D RI'!U99</f>
        <v>31707.482800000005</v>
      </c>
      <c r="D97" s="117">
        <f>'E) Fact soc'!G103/C97</f>
        <v>16.879155101324667</v>
      </c>
      <c r="E97" s="144">
        <f>'H) Péréquation directe'!I108/C97</f>
        <v>7.2297715426522409</v>
      </c>
      <c r="F97" s="117">
        <f>+'I) Dépenses thématiques'!O97/'K) Plafonnement aide'!C97</f>
        <v>-4.5576778176435377</v>
      </c>
      <c r="G97" s="144">
        <f t="shared" si="5"/>
        <v>19.551248826333371</v>
      </c>
      <c r="H97" s="117">
        <f t="shared" si="6"/>
        <v>24.108926643976908</v>
      </c>
      <c r="I97" s="144">
        <f t="shared" si="7"/>
        <v>0</v>
      </c>
      <c r="J97" s="59">
        <f t="shared" si="4"/>
        <v>0</v>
      </c>
      <c r="K97" s="38"/>
    </row>
    <row r="98" spans="1:11" x14ac:dyDescent="0.25">
      <c r="A98" s="51">
        <f>'A) Base RI'!A100</f>
        <v>5555</v>
      </c>
      <c r="B98" s="321" t="str">
        <f>'A) Base RI'!B100</f>
        <v>Corcelles-près-Concise</v>
      </c>
      <c r="C98" s="101">
        <f>'B) D RI'!U100</f>
        <v>13647.491690140843</v>
      </c>
      <c r="D98" s="117">
        <f>'E) Fact soc'!G104/C98</f>
        <v>19.554674000889175</v>
      </c>
      <c r="E98" s="144">
        <f>'H) Péréquation directe'!I109/C98</f>
        <v>11.008008292065144</v>
      </c>
      <c r="F98" s="117">
        <f>+'I) Dépenses thématiques'!O98/'K) Plafonnement aide'!C98</f>
        <v>-7.1275660628850366</v>
      </c>
      <c r="G98" s="144">
        <f t="shared" si="5"/>
        <v>23.435116230069283</v>
      </c>
      <c r="H98" s="117">
        <f t="shared" si="6"/>
        <v>30.562682292954321</v>
      </c>
      <c r="I98" s="144">
        <f t="shared" si="7"/>
        <v>0</v>
      </c>
      <c r="J98" s="59">
        <f t="shared" si="4"/>
        <v>0</v>
      </c>
      <c r="K98" s="38"/>
    </row>
    <row r="99" spans="1:11" x14ac:dyDescent="0.25">
      <c r="A99" s="51">
        <f>'A) Base RI'!A101</f>
        <v>5556</v>
      </c>
      <c r="B99" s="321" t="str">
        <f>'A) Base RI'!B101</f>
        <v>Fiez</v>
      </c>
      <c r="C99" s="101">
        <f>'B) D RI'!U101</f>
        <v>12912.419806763286</v>
      </c>
      <c r="D99" s="117">
        <f>'E) Fact soc'!G105/C99</f>
        <v>33.390724708534883</v>
      </c>
      <c r="E99" s="144">
        <f>'H) Péréquation directe'!I110/C99</f>
        <v>6.2699962714184725</v>
      </c>
      <c r="F99" s="117">
        <f>+'I) Dépenses thématiques'!O99/'K) Plafonnement aide'!C99</f>
        <v>-8.9219456433722559</v>
      </c>
      <c r="G99" s="144">
        <f t="shared" si="5"/>
        <v>30.738775336581099</v>
      </c>
      <c r="H99" s="117">
        <f t="shared" si="6"/>
        <v>39.660720979953354</v>
      </c>
      <c r="I99" s="144">
        <f t="shared" si="7"/>
        <v>0</v>
      </c>
      <c r="J99" s="59">
        <f t="shared" si="4"/>
        <v>0</v>
      </c>
      <c r="K99" s="38"/>
    </row>
    <row r="100" spans="1:11" x14ac:dyDescent="0.25">
      <c r="A100" s="51">
        <f>'A) Base RI'!A102</f>
        <v>5557</v>
      </c>
      <c r="B100" s="321" t="str">
        <f>'A) Base RI'!B102</f>
        <v>Fontaines-sur-Grandson</v>
      </c>
      <c r="C100" s="101">
        <f>'B) D RI'!U102</f>
        <v>4472.1762318840592</v>
      </c>
      <c r="D100" s="117">
        <f>'E) Fact soc'!G106/C100</f>
        <v>18.439375085118488</v>
      </c>
      <c r="E100" s="144">
        <f>'H) Péréquation directe'!I111/C100</f>
        <v>-7.0083598965609122</v>
      </c>
      <c r="F100" s="117">
        <f>+'I) Dépenses thématiques'!O100/'K) Plafonnement aide'!C100</f>
        <v>-8.0873170114357169</v>
      </c>
      <c r="G100" s="144">
        <f t="shared" si="5"/>
        <v>3.3436981771218601</v>
      </c>
      <c r="H100" s="117">
        <f t="shared" si="6"/>
        <v>11.431015188557577</v>
      </c>
      <c r="I100" s="144">
        <f t="shared" si="7"/>
        <v>0</v>
      </c>
      <c r="J100" s="59">
        <f t="shared" si="4"/>
        <v>0</v>
      </c>
      <c r="K100" s="38"/>
    </row>
    <row r="101" spans="1:11" x14ac:dyDescent="0.25">
      <c r="A101" s="51">
        <f>'A) Base RI'!A103</f>
        <v>5559</v>
      </c>
      <c r="B101" s="321" t="str">
        <f>'A) Base RI'!B103</f>
        <v>Giez</v>
      </c>
      <c r="C101" s="101">
        <f>'B) D RI'!U103</f>
        <v>14390.805000000002</v>
      </c>
      <c r="D101" s="117">
        <f>'E) Fact soc'!G107/C101</f>
        <v>17.392119349637728</v>
      </c>
      <c r="E101" s="144">
        <f>'H) Péréquation directe'!I112/C101</f>
        <v>10.229171524782736</v>
      </c>
      <c r="F101" s="117">
        <f>+'I) Dépenses thématiques'!O101/'K) Plafonnement aide'!C101</f>
        <v>-1.7527584686140283</v>
      </c>
      <c r="G101" s="144">
        <f t="shared" si="5"/>
        <v>25.868532405806434</v>
      </c>
      <c r="H101" s="117">
        <f t="shared" si="6"/>
        <v>27.621290874420463</v>
      </c>
      <c r="I101" s="144">
        <f t="shared" si="7"/>
        <v>0</v>
      </c>
      <c r="J101" s="59">
        <f t="shared" si="4"/>
        <v>0</v>
      </c>
      <c r="K101" s="38"/>
    </row>
    <row r="102" spans="1:11" x14ac:dyDescent="0.25">
      <c r="A102" s="51">
        <f>'A) Base RI'!A104</f>
        <v>5560</v>
      </c>
      <c r="B102" s="321" t="str">
        <f>'A) Base RI'!B104</f>
        <v>Grandevent</v>
      </c>
      <c r="C102" s="101">
        <f>'B) D RI'!U104</f>
        <v>6268.2104411764703</v>
      </c>
      <c r="D102" s="117">
        <f>'E) Fact soc'!G108/C102</f>
        <v>17.19816195260546</v>
      </c>
      <c r="E102" s="144">
        <f>'H) Péréquation directe'!I113/C102</f>
        <v>3.1937667427068153</v>
      </c>
      <c r="F102" s="117">
        <f>+'I) Dépenses thématiques'!O102/'K) Plafonnement aide'!C102</f>
        <v>-2.8466474011236835</v>
      </c>
      <c r="G102" s="144">
        <f t="shared" si="5"/>
        <v>17.545281294188591</v>
      </c>
      <c r="H102" s="117">
        <f t="shared" si="6"/>
        <v>20.391928695312274</v>
      </c>
      <c r="I102" s="144">
        <f t="shared" si="7"/>
        <v>0</v>
      </c>
      <c r="J102" s="59">
        <f t="shared" si="4"/>
        <v>0</v>
      </c>
      <c r="K102" s="38"/>
    </row>
    <row r="103" spans="1:11" x14ac:dyDescent="0.25">
      <c r="A103" s="51">
        <f>'A) Base RI'!A105</f>
        <v>5561</v>
      </c>
      <c r="B103" s="321" t="str">
        <f>'A) Base RI'!B105</f>
        <v>Grandson</v>
      </c>
      <c r="C103" s="101">
        <f>'B) D RI'!U105</f>
        <v>116951.12594202899</v>
      </c>
      <c r="D103" s="117">
        <f>'E) Fact soc'!G109/C103</f>
        <v>17.395933190329167</v>
      </c>
      <c r="E103" s="144">
        <f>'H) Péréquation directe'!I114/C103</f>
        <v>5.657446542622627</v>
      </c>
      <c r="F103" s="117">
        <f>+'I) Dépenses thématiques'!O103/'K) Plafonnement aide'!C103</f>
        <v>-7.1854510145051584</v>
      </c>
      <c r="G103" s="144">
        <f t="shared" si="5"/>
        <v>15.867928718446635</v>
      </c>
      <c r="H103" s="117">
        <f t="shared" si="6"/>
        <v>23.053379732951793</v>
      </c>
      <c r="I103" s="144">
        <f t="shared" si="7"/>
        <v>0</v>
      </c>
      <c r="J103" s="59">
        <f t="shared" si="4"/>
        <v>0</v>
      </c>
      <c r="K103" s="38"/>
    </row>
    <row r="104" spans="1:11" x14ac:dyDescent="0.25">
      <c r="A104" s="51">
        <f>'A) Base RI'!A106</f>
        <v>5562</v>
      </c>
      <c r="B104" s="321" t="str">
        <f>'A) Base RI'!B106</f>
        <v>Mauborget</v>
      </c>
      <c r="C104" s="101">
        <f>'B) D RI'!U106</f>
        <v>5914.7906428571432</v>
      </c>
      <c r="D104" s="117">
        <f>'E) Fact soc'!G110/C104</f>
        <v>16.123012594666903</v>
      </c>
      <c r="E104" s="144">
        <f>'H) Péréquation directe'!I115/C104</f>
        <v>16.500413312683666</v>
      </c>
      <c r="F104" s="117">
        <f>+'I) Dépenses thématiques'!O104/'K) Plafonnement aide'!C104</f>
        <v>-1.6294209368831711</v>
      </c>
      <c r="G104" s="144">
        <f t="shared" si="5"/>
        <v>30.994004970467394</v>
      </c>
      <c r="H104" s="117">
        <f t="shared" si="6"/>
        <v>32.623425907350565</v>
      </c>
      <c r="I104" s="144">
        <f t="shared" si="7"/>
        <v>0</v>
      </c>
      <c r="J104" s="59">
        <f t="shared" si="4"/>
        <v>0</v>
      </c>
      <c r="K104" s="38"/>
    </row>
    <row r="105" spans="1:11" x14ac:dyDescent="0.25">
      <c r="A105" s="51">
        <f>'A) Base RI'!A107</f>
        <v>5563</v>
      </c>
      <c r="B105" s="321" t="str">
        <f>'A) Base RI'!B107</f>
        <v>Mutrux</v>
      </c>
      <c r="C105" s="101">
        <f>'B) D RI'!U107</f>
        <v>3113.0356687898088</v>
      </c>
      <c r="D105" s="117">
        <f>'E) Fact soc'!G111/C105</f>
        <v>16.981567069817594</v>
      </c>
      <c r="E105" s="144">
        <f>'H) Péréquation directe'!I116/C105</f>
        <v>-19.602963469414487</v>
      </c>
      <c r="F105" s="117">
        <f>+'I) Dépenses thématiques'!O105/'K) Plafonnement aide'!C105</f>
        <v>-10.906986344433061</v>
      </c>
      <c r="G105" s="144">
        <f t="shared" si="5"/>
        <v>-13.528382744029955</v>
      </c>
      <c r="H105" s="117">
        <f t="shared" si="6"/>
        <v>-2.6213963995968932</v>
      </c>
      <c r="I105" s="144">
        <f t="shared" si="7"/>
        <v>0</v>
      </c>
      <c r="J105" s="59">
        <f t="shared" si="4"/>
        <v>0</v>
      </c>
      <c r="K105" s="38"/>
    </row>
    <row r="106" spans="1:11" x14ac:dyDescent="0.25">
      <c r="A106" s="51">
        <f>'A) Base RI'!A108</f>
        <v>5564</v>
      </c>
      <c r="B106" s="321" t="str">
        <f>'A) Base RI'!B108</f>
        <v>Novalles</v>
      </c>
      <c r="C106" s="101">
        <f>'B) D RI'!U108</f>
        <v>2626.7922039473683</v>
      </c>
      <c r="D106" s="117">
        <f>'E) Fact soc'!G112/C106</f>
        <v>18.222911287562948</v>
      </c>
      <c r="E106" s="144">
        <f>'H) Péréquation directe'!I117/C106</f>
        <v>-1.8753703433051514</v>
      </c>
      <c r="F106" s="117">
        <f>+'I) Dépenses thématiques'!O106/'K) Plafonnement aide'!C106</f>
        <v>-4.1176232354936086</v>
      </c>
      <c r="G106" s="144">
        <f t="shared" si="5"/>
        <v>12.229917708764189</v>
      </c>
      <c r="H106" s="117">
        <f t="shared" si="6"/>
        <v>16.347540944257798</v>
      </c>
      <c r="I106" s="144">
        <f t="shared" si="7"/>
        <v>0</v>
      </c>
      <c r="J106" s="59">
        <f t="shared" si="4"/>
        <v>0</v>
      </c>
      <c r="K106" s="38"/>
    </row>
    <row r="107" spans="1:11" x14ac:dyDescent="0.25">
      <c r="A107" s="51">
        <f>'A) Base RI'!A109</f>
        <v>5565</v>
      </c>
      <c r="B107" s="321" t="str">
        <f>'A) Base RI'!B109</f>
        <v>Onnens</v>
      </c>
      <c r="C107" s="101">
        <f>'B) D RI'!U109</f>
        <v>19016.562615384613</v>
      </c>
      <c r="D107" s="117">
        <f>'E) Fact soc'!G113/C107</f>
        <v>17.604699580656355</v>
      </c>
      <c r="E107" s="144">
        <f>'H) Péréquation directe'!I118/C107</f>
        <v>13.937243193873297</v>
      </c>
      <c r="F107" s="117">
        <f>+'I) Dépenses thématiques'!O107/'K) Plafonnement aide'!C107</f>
        <v>-2.2909480685182406</v>
      </c>
      <c r="G107" s="144">
        <f t="shared" si="5"/>
        <v>29.250994706011411</v>
      </c>
      <c r="H107" s="117">
        <f t="shared" si="6"/>
        <v>31.541942774529652</v>
      </c>
      <c r="I107" s="144">
        <f t="shared" si="7"/>
        <v>0</v>
      </c>
      <c r="J107" s="59">
        <f t="shared" si="4"/>
        <v>0</v>
      </c>
      <c r="K107" s="38"/>
    </row>
    <row r="108" spans="1:11" x14ac:dyDescent="0.25">
      <c r="A108" s="51">
        <f>'A) Base RI'!A110</f>
        <v>5566</v>
      </c>
      <c r="B108" s="321" t="str">
        <f>'A) Base RI'!B110</f>
        <v>Provence</v>
      </c>
      <c r="C108" s="101">
        <f>'B) D RI'!U110</f>
        <v>7944.5948559670787</v>
      </c>
      <c r="D108" s="117">
        <f>'E) Fact soc'!G114/C108</f>
        <v>17.507565023306341</v>
      </c>
      <c r="E108" s="144">
        <f>'H) Péréquation directe'!I119/C108</f>
        <v>-17.275000857896043</v>
      </c>
      <c r="F108" s="117">
        <f>+'I) Dépenses thématiques'!O108/'K) Plafonnement aide'!C108</f>
        <v>-25.257548305476423</v>
      </c>
      <c r="G108" s="144">
        <f t="shared" si="5"/>
        <v>-25.024984140066124</v>
      </c>
      <c r="H108" s="117">
        <f t="shared" si="6"/>
        <v>0.23256416541029878</v>
      </c>
      <c r="I108" s="144">
        <f t="shared" si="7"/>
        <v>0</v>
      </c>
      <c r="J108" s="59">
        <f t="shared" si="4"/>
        <v>0</v>
      </c>
      <c r="K108" s="38"/>
    </row>
    <row r="109" spans="1:11" x14ac:dyDescent="0.25">
      <c r="A109" s="51">
        <f>'A) Base RI'!A111</f>
        <v>5568</v>
      </c>
      <c r="B109" s="321" t="str">
        <f>'A) Base RI'!B111</f>
        <v>Sainte-Croix</v>
      </c>
      <c r="C109" s="101">
        <f>'B) D RI'!U111</f>
        <v>100789.16114285712</v>
      </c>
      <c r="D109" s="117">
        <f>'E) Fact soc'!G115/C109</f>
        <v>24.256936335996063</v>
      </c>
      <c r="E109" s="144">
        <f>'H) Péréquation directe'!I120/C109</f>
        <v>-21.835137659558242</v>
      </c>
      <c r="F109" s="117">
        <f>+'I) Dépenses thématiques'!O109/'K) Plafonnement aide'!C109</f>
        <v>-11.614331566376514</v>
      </c>
      <c r="G109" s="144">
        <f t="shared" si="5"/>
        <v>-9.1925328899386933</v>
      </c>
      <c r="H109" s="117">
        <f t="shared" si="6"/>
        <v>2.4217986764378203</v>
      </c>
      <c r="I109" s="144">
        <f t="shared" si="7"/>
        <v>0</v>
      </c>
      <c r="J109" s="59">
        <f t="shared" si="4"/>
        <v>0</v>
      </c>
      <c r="K109" s="38"/>
    </row>
    <row r="110" spans="1:11" x14ac:dyDescent="0.25">
      <c r="A110" s="51">
        <f>'A) Base RI'!A112</f>
        <v>5571</v>
      </c>
      <c r="B110" s="321" t="str">
        <f>'A) Base RI'!B112</f>
        <v>Tévenon</v>
      </c>
      <c r="C110" s="101">
        <f>'B) D RI'!U112</f>
        <v>21355.706643835612</v>
      </c>
      <c r="D110" s="117">
        <f>'E) Fact soc'!G116/C110</f>
        <v>17.834990506624848</v>
      </c>
      <c r="E110" s="144">
        <f>'H) Péréquation directe'!I121/C110</f>
        <v>-1.6654238720129706</v>
      </c>
      <c r="F110" s="117">
        <f>+'I) Dépenses thématiques'!O110/'K) Plafonnement aide'!C110</f>
        <v>-8.3949515976503744</v>
      </c>
      <c r="G110" s="144">
        <f t="shared" si="5"/>
        <v>7.7746150369615048</v>
      </c>
      <c r="H110" s="117">
        <f t="shared" si="6"/>
        <v>16.169566634611879</v>
      </c>
      <c r="I110" s="144">
        <f t="shared" si="7"/>
        <v>0</v>
      </c>
      <c r="J110" s="59">
        <f t="shared" si="4"/>
        <v>0</v>
      </c>
      <c r="K110" s="38"/>
    </row>
    <row r="111" spans="1:11" x14ac:dyDescent="0.25">
      <c r="A111" s="51">
        <f>'A) Base RI'!A113</f>
        <v>5581</v>
      </c>
      <c r="B111" s="321" t="str">
        <f>'A) Base RI'!B113</f>
        <v>Belmont-sur-Lausanne</v>
      </c>
      <c r="C111" s="101">
        <f>'B) D RI'!U113</f>
        <v>192798.41534772189</v>
      </c>
      <c r="D111" s="117">
        <f>'E) Fact soc'!G117/C111</f>
        <v>17.634118309177101</v>
      </c>
      <c r="E111" s="144">
        <f>'H) Péréquation directe'!I122/C111</f>
        <v>12.69261914374114</v>
      </c>
      <c r="F111" s="117">
        <f>+'I) Dépenses thématiques'!O111/'K) Plafonnement aide'!C111</f>
        <v>-2.0318317771657246</v>
      </c>
      <c r="G111" s="144">
        <f t="shared" si="5"/>
        <v>28.294905675752517</v>
      </c>
      <c r="H111" s="117">
        <f t="shared" si="6"/>
        <v>30.326737452918241</v>
      </c>
      <c r="I111" s="144">
        <f t="shared" si="7"/>
        <v>0</v>
      </c>
      <c r="J111" s="59">
        <f t="shared" si="4"/>
        <v>0</v>
      </c>
      <c r="K111" s="38"/>
    </row>
    <row r="112" spans="1:11" x14ac:dyDescent="0.25">
      <c r="A112" s="51">
        <f>'A) Base RI'!A114</f>
        <v>5582</v>
      </c>
      <c r="B112" s="321" t="str">
        <f>'A) Base RI'!B114</f>
        <v>Cheseaux-sur-Lausanne</v>
      </c>
      <c r="C112" s="101">
        <f>'B) D RI'!U114</f>
        <v>181145.82187919464</v>
      </c>
      <c r="D112" s="117">
        <f>'E) Fact soc'!G118/C112</f>
        <v>16.2298867985686</v>
      </c>
      <c r="E112" s="144">
        <f>'H) Péréquation directe'!I123/C112</f>
        <v>8.7194373154031801</v>
      </c>
      <c r="F112" s="117">
        <f>+'I) Dépenses thématiques'!O112/'K) Plafonnement aide'!C112</f>
        <v>-2.2209527622875882</v>
      </c>
      <c r="G112" s="144">
        <f t="shared" si="5"/>
        <v>22.728371351684192</v>
      </c>
      <c r="H112" s="117">
        <f t="shared" si="6"/>
        <v>24.94932411397178</v>
      </c>
      <c r="I112" s="144">
        <f t="shared" si="7"/>
        <v>0</v>
      </c>
      <c r="J112" s="59">
        <f t="shared" si="4"/>
        <v>0</v>
      </c>
      <c r="K112" s="38"/>
    </row>
    <row r="113" spans="1:11" x14ac:dyDescent="0.25">
      <c r="A113" s="51">
        <f>'A) Base RI'!A115</f>
        <v>5583</v>
      </c>
      <c r="B113" s="321" t="str">
        <f>'A) Base RI'!B115</f>
        <v>Crissier</v>
      </c>
      <c r="C113" s="101">
        <f>'B) D RI'!U115</f>
        <v>315798.9015384615</v>
      </c>
      <c r="D113" s="117">
        <f>'E) Fact soc'!G119/C113</f>
        <v>18.164537446238675</v>
      </c>
      <c r="E113" s="144">
        <f>'H) Péréquation directe'!I124/C113</f>
        <v>4.9319703597842688</v>
      </c>
      <c r="F113" s="117">
        <f>+'I) Dépenses thématiques'!O113/'K) Plafonnement aide'!C113</f>
        <v>-6.8311704214169282</v>
      </c>
      <c r="G113" s="144">
        <f t="shared" si="5"/>
        <v>16.265337384606017</v>
      </c>
      <c r="H113" s="117">
        <f t="shared" si="6"/>
        <v>23.096507806022945</v>
      </c>
      <c r="I113" s="144">
        <f t="shared" si="7"/>
        <v>0</v>
      </c>
      <c r="J113" s="59">
        <f t="shared" si="4"/>
        <v>0</v>
      </c>
      <c r="K113" s="38"/>
    </row>
    <row r="114" spans="1:11" x14ac:dyDescent="0.25">
      <c r="A114" s="51">
        <f>'A) Base RI'!A116</f>
        <v>5584</v>
      </c>
      <c r="B114" s="321" t="str">
        <f>'A) Base RI'!B116</f>
        <v>Epalinges</v>
      </c>
      <c r="C114" s="101">
        <f>'B) D RI'!U116</f>
        <v>424408.2359090909</v>
      </c>
      <c r="D114" s="117">
        <f>'E) Fact soc'!G120/C114</f>
        <v>18.449577189426169</v>
      </c>
      <c r="E114" s="144">
        <f>'H) Péréquation directe'!I125/C114</f>
        <v>8.048534084566823</v>
      </c>
      <c r="F114" s="117">
        <f>+'I) Dépenses thématiques'!O114/'K) Plafonnement aide'!C114</f>
        <v>-7.9226688774161715</v>
      </c>
      <c r="G114" s="144">
        <f t="shared" si="5"/>
        <v>18.575442396576818</v>
      </c>
      <c r="H114" s="117">
        <f t="shared" si="6"/>
        <v>26.49811127399299</v>
      </c>
      <c r="I114" s="144">
        <f t="shared" si="7"/>
        <v>0</v>
      </c>
      <c r="J114" s="59">
        <f t="shared" si="4"/>
        <v>0</v>
      </c>
      <c r="K114" s="38"/>
    </row>
    <row r="115" spans="1:11" x14ac:dyDescent="0.25">
      <c r="A115" s="51">
        <f>'A) Base RI'!A117</f>
        <v>5585</v>
      </c>
      <c r="B115" s="321" t="str">
        <f>'A) Base RI'!B117</f>
        <v>Jouxtens-Mézery</v>
      </c>
      <c r="C115" s="101">
        <f>'B) D RI'!U117</f>
        <v>171676.58132075472</v>
      </c>
      <c r="D115" s="117">
        <f>'E) Fact soc'!G121/C115</f>
        <v>26.889660256930114</v>
      </c>
      <c r="E115" s="144">
        <f>'H) Péréquation directe'!I126/C115</f>
        <v>13.960098178959674</v>
      </c>
      <c r="F115" s="117">
        <f>+'I) Dépenses thématiques'!O115/'K) Plafonnement aide'!C115</f>
        <v>0</v>
      </c>
      <c r="G115" s="144">
        <f t="shared" si="5"/>
        <v>40.84975843588979</v>
      </c>
      <c r="H115" s="117">
        <f t="shared" si="6"/>
        <v>40.84975843588979</v>
      </c>
      <c r="I115" s="144">
        <f t="shared" si="7"/>
        <v>0</v>
      </c>
      <c r="J115" s="59">
        <f t="shared" si="4"/>
        <v>0</v>
      </c>
      <c r="K115" s="38"/>
    </row>
    <row r="116" spans="1:11" x14ac:dyDescent="0.25">
      <c r="A116" s="51">
        <f>'A) Base RI'!A118</f>
        <v>5586</v>
      </c>
      <c r="B116" s="321" t="str">
        <f>'A) Base RI'!B118</f>
        <v>Lausanne</v>
      </c>
      <c r="C116" s="101">
        <f>'B) D RI'!U118</f>
        <v>6228304.1083544316</v>
      </c>
      <c r="D116" s="117">
        <f>'E) Fact soc'!G122/C116</f>
        <v>18.259130592246279</v>
      </c>
      <c r="E116" s="144">
        <f>'H) Péréquation directe'!I127/C116</f>
        <v>-3.9174584125547058</v>
      </c>
      <c r="F116" s="117">
        <f>+'I) Dépenses thématiques'!O116/'K) Plafonnement aide'!C116</f>
        <v>-7.0176936452527157</v>
      </c>
      <c r="G116" s="144">
        <f t="shared" si="5"/>
        <v>7.3239785344388588</v>
      </c>
      <c r="H116" s="117">
        <f t="shared" si="6"/>
        <v>14.341672179691574</v>
      </c>
      <c r="I116" s="144">
        <f t="shared" si="7"/>
        <v>0</v>
      </c>
      <c r="J116" s="59">
        <f t="shared" si="4"/>
        <v>0</v>
      </c>
      <c r="K116" s="38"/>
    </row>
    <row r="117" spans="1:11" x14ac:dyDescent="0.25">
      <c r="A117" s="51">
        <f>'A) Base RI'!A119</f>
        <v>5587</v>
      </c>
      <c r="B117" s="321" t="str">
        <f>'A) Base RI'!B119</f>
        <v>Le Mont-sur-Lausanne</v>
      </c>
      <c r="C117" s="101">
        <f>'B) D RI'!U119</f>
        <v>419199.48633333331</v>
      </c>
      <c r="D117" s="117">
        <f>'E) Fact soc'!G123/C117</f>
        <v>17.559461169959857</v>
      </c>
      <c r="E117" s="144">
        <f>'H) Péréquation directe'!I128/C117</f>
        <v>9.8724051985962351</v>
      </c>
      <c r="F117" s="117">
        <f>+'I) Dépenses thématiques'!O117/'K) Plafonnement aide'!C117</f>
        <v>-5.3092202761102349</v>
      </c>
      <c r="G117" s="144">
        <f t="shared" si="5"/>
        <v>22.122646092445859</v>
      </c>
      <c r="H117" s="117">
        <f t="shared" si="6"/>
        <v>27.431866368556094</v>
      </c>
      <c r="I117" s="144">
        <f t="shared" si="7"/>
        <v>0</v>
      </c>
      <c r="J117" s="59">
        <f t="shared" si="4"/>
        <v>0</v>
      </c>
      <c r="K117" s="38"/>
    </row>
    <row r="118" spans="1:11" x14ac:dyDescent="0.25">
      <c r="A118" s="51">
        <f>'A) Base RI'!A120</f>
        <v>5588</v>
      </c>
      <c r="B118" s="321" t="str">
        <f>'A) Base RI'!B120</f>
        <v>Paudex</v>
      </c>
      <c r="C118" s="101">
        <f>'B) D RI'!U120</f>
        <v>145215.51428571431</v>
      </c>
      <c r="D118" s="117">
        <f>'E) Fact soc'!G124/C118</f>
        <v>24.993042580540465</v>
      </c>
      <c r="E118" s="144">
        <f>'H) Péréquation directe'!I129/C118</f>
        <v>14.368047446278354</v>
      </c>
      <c r="F118" s="117">
        <f>+'I) Dépenses thématiques'!O118/'K) Plafonnement aide'!C118</f>
        <v>0</v>
      </c>
      <c r="G118" s="144">
        <f t="shared" si="5"/>
        <v>39.361090026818815</v>
      </c>
      <c r="H118" s="117">
        <f t="shared" si="6"/>
        <v>39.361090026818815</v>
      </c>
      <c r="I118" s="144">
        <f t="shared" si="7"/>
        <v>0</v>
      </c>
      <c r="J118" s="59">
        <f t="shared" si="4"/>
        <v>0</v>
      </c>
      <c r="K118" s="38"/>
    </row>
    <row r="119" spans="1:11" x14ac:dyDescent="0.25">
      <c r="A119" s="51">
        <f>'A) Base RI'!A121</f>
        <v>5589</v>
      </c>
      <c r="B119" s="321" t="str">
        <f>'A) Base RI'!B121</f>
        <v>Prilly</v>
      </c>
      <c r="C119" s="101">
        <f>'B) D RI'!U121</f>
        <v>433086.92517006805</v>
      </c>
      <c r="D119" s="117">
        <f>'E) Fact soc'!G125/C119</f>
        <v>17.65835773061902</v>
      </c>
      <c r="E119" s="144">
        <f>'H) Péréquation directe'!I130/C119</f>
        <v>-2.5541329313255692</v>
      </c>
      <c r="F119" s="117">
        <f>+'I) Dépenses thématiques'!O119/'K) Plafonnement aide'!C119</f>
        <v>-4.345168920694551</v>
      </c>
      <c r="G119" s="144">
        <f t="shared" si="5"/>
        <v>10.7590558785989</v>
      </c>
      <c r="H119" s="117">
        <f t="shared" si="6"/>
        <v>15.104224799293451</v>
      </c>
      <c r="I119" s="144">
        <f t="shared" si="7"/>
        <v>0</v>
      </c>
      <c r="J119" s="59">
        <f t="shared" si="4"/>
        <v>0</v>
      </c>
      <c r="K119" s="38"/>
    </row>
    <row r="120" spans="1:11" x14ac:dyDescent="0.25">
      <c r="A120" s="51">
        <f>'A) Base RI'!A122</f>
        <v>5590</v>
      </c>
      <c r="B120" s="321" t="str">
        <f>'A) Base RI'!B122</f>
        <v>Pully</v>
      </c>
      <c r="C120" s="101">
        <f>'B) D RI'!U122</f>
        <v>1436772.8338407492</v>
      </c>
      <c r="D120" s="117">
        <f>'E) Fact soc'!G126/C120</f>
        <v>24.738471022834549</v>
      </c>
      <c r="E120" s="144">
        <f>'H) Péréquation directe'!I131/C120</f>
        <v>8.0491601048211496</v>
      </c>
      <c r="F120" s="117">
        <f>+'I) Dépenses thématiques'!O120/'K) Plafonnement aide'!C120</f>
        <v>-1.5916964813550174</v>
      </c>
      <c r="G120" s="144">
        <f t="shared" si="5"/>
        <v>31.195934646300682</v>
      </c>
      <c r="H120" s="117">
        <f t="shared" si="6"/>
        <v>32.7876311276557</v>
      </c>
      <c r="I120" s="144">
        <f t="shared" si="7"/>
        <v>0</v>
      </c>
      <c r="J120" s="59">
        <f t="shared" si="4"/>
        <v>0</v>
      </c>
      <c r="K120" s="38"/>
    </row>
    <row r="121" spans="1:11" x14ac:dyDescent="0.25">
      <c r="A121" s="51">
        <f>'A) Base RI'!A123</f>
        <v>5591</v>
      </c>
      <c r="B121" s="321" t="str">
        <f>'A) Base RI'!B123</f>
        <v>Renens</v>
      </c>
      <c r="C121" s="101">
        <f>'B) D RI'!U123</f>
        <v>547576.12760691531</v>
      </c>
      <c r="D121" s="117">
        <f>'E) Fact soc'!G127/C121</f>
        <v>18.218496957615336</v>
      </c>
      <c r="E121" s="144">
        <f>'H) Péréquation directe'!I132/C121</f>
        <v>-28.477161351632542</v>
      </c>
      <c r="F121" s="117">
        <f>+'I) Dépenses thématiques'!O121/'K) Plafonnement aide'!C121</f>
        <v>-9.7850371818295763</v>
      </c>
      <c r="G121" s="144">
        <f t="shared" si="5"/>
        <v>-20.043701575846782</v>
      </c>
      <c r="H121" s="117">
        <f t="shared" si="6"/>
        <v>-10.258664394017206</v>
      </c>
      <c r="I121" s="144">
        <f t="shared" si="7"/>
        <v>-3.758664394017206</v>
      </c>
      <c r="J121" s="59">
        <f t="shared" si="4"/>
        <v>2058154.8938499347</v>
      </c>
      <c r="K121" s="38"/>
    </row>
    <row r="122" spans="1:11" x14ac:dyDescent="0.25">
      <c r="A122" s="51">
        <f>'A) Base RI'!A124</f>
        <v>5592</v>
      </c>
      <c r="B122" s="321" t="str">
        <f>'A) Base RI'!B124</f>
        <v>Romanel-sur-Lausanne</v>
      </c>
      <c r="C122" s="101">
        <f>'B) D RI'!U124</f>
        <v>115829.88928571428</v>
      </c>
      <c r="D122" s="117">
        <f>'E) Fact soc'!G128/C122</f>
        <v>16.944752338173789</v>
      </c>
      <c r="E122" s="144">
        <f>'H) Péréquation directe'!I133/C122</f>
        <v>5.0126468363391856</v>
      </c>
      <c r="F122" s="117">
        <f>+'I) Dépenses thématiques'!O122/'K) Plafonnement aide'!C122</f>
        <v>-2.0907186781243361</v>
      </c>
      <c r="G122" s="144">
        <f t="shared" si="5"/>
        <v>19.866680496388639</v>
      </c>
      <c r="H122" s="117">
        <f t="shared" si="6"/>
        <v>21.957399174512975</v>
      </c>
      <c r="I122" s="144">
        <f t="shared" si="7"/>
        <v>0</v>
      </c>
      <c r="J122" s="59">
        <f t="shared" si="4"/>
        <v>0</v>
      </c>
      <c r="K122" s="38"/>
    </row>
    <row r="123" spans="1:11" x14ac:dyDescent="0.25">
      <c r="A123" s="51">
        <f>'A) Base RI'!A125</f>
        <v>5601</v>
      </c>
      <c r="B123" s="321" t="str">
        <f>'A) Base RI'!B125</f>
        <v>Chexbres</v>
      </c>
      <c r="C123" s="101">
        <f>'B) D RI'!U125</f>
        <v>117508.63062500001</v>
      </c>
      <c r="D123" s="117">
        <f>'E) Fact soc'!G129/C123</f>
        <v>20.084899271233432</v>
      </c>
      <c r="E123" s="144">
        <f>'H) Péréquation directe'!I134/C123</f>
        <v>13.96911904956653</v>
      </c>
      <c r="F123" s="117">
        <f>+'I) Dépenses thématiques'!O123/'K) Plafonnement aide'!C123</f>
        <v>-1.0626832822055436</v>
      </c>
      <c r="G123" s="144">
        <f t="shared" si="5"/>
        <v>32.991335038594421</v>
      </c>
      <c r="H123" s="117">
        <f t="shared" si="6"/>
        <v>34.054018320799962</v>
      </c>
      <c r="I123" s="144">
        <f t="shared" si="7"/>
        <v>0</v>
      </c>
      <c r="J123" s="59">
        <f t="shared" si="4"/>
        <v>0</v>
      </c>
      <c r="K123" s="38"/>
    </row>
    <row r="124" spans="1:11" x14ac:dyDescent="0.25">
      <c r="A124" s="51">
        <f>'A) Base RI'!A126</f>
        <v>5604</v>
      </c>
      <c r="B124" s="321" t="str">
        <f>'A) Base RI'!B126</f>
        <v>Forel (Lavaux)</v>
      </c>
      <c r="C124" s="101">
        <f>'B) D RI'!U126</f>
        <v>71631.535147058821</v>
      </c>
      <c r="D124" s="117">
        <f>'E) Fact soc'!G130/C124</f>
        <v>17.446461766634204</v>
      </c>
      <c r="E124" s="144">
        <f>'H) Péréquation directe'!I135/C124</f>
        <v>6.3100239215237623</v>
      </c>
      <c r="F124" s="117">
        <f>+'I) Dépenses thématiques'!O124/'K) Plafonnement aide'!C124</f>
        <v>-3.5908205137216429</v>
      </c>
      <c r="G124" s="144">
        <f t="shared" si="5"/>
        <v>20.165665174436324</v>
      </c>
      <c r="H124" s="117">
        <f t="shared" si="6"/>
        <v>23.756485688157966</v>
      </c>
      <c r="I124" s="144">
        <f t="shared" si="7"/>
        <v>0</v>
      </c>
      <c r="J124" s="59">
        <f t="shared" si="4"/>
        <v>0</v>
      </c>
      <c r="K124" s="38"/>
    </row>
    <row r="125" spans="1:11" x14ac:dyDescent="0.25">
      <c r="A125" s="51">
        <f>'A) Base RI'!A127</f>
        <v>5606</v>
      </c>
      <c r="B125" s="321" t="str">
        <f>'A) Base RI'!B127</f>
        <v>Lutry</v>
      </c>
      <c r="C125" s="101">
        <f>'B) D RI'!U127</f>
        <v>832533.93371943373</v>
      </c>
      <c r="D125" s="117">
        <f>'E) Fact soc'!G131/C125</f>
        <v>25.059462858572349</v>
      </c>
      <c r="E125" s="144">
        <f>'H) Péréquation directe'!I136/C125</f>
        <v>10.855155254444854</v>
      </c>
      <c r="F125" s="117">
        <f>+'I) Dépenses thématiques'!O125/'K) Plafonnement aide'!C125</f>
        <v>-2.2051503740130798</v>
      </c>
      <c r="G125" s="144">
        <f t="shared" si="5"/>
        <v>33.709467739004126</v>
      </c>
      <c r="H125" s="117">
        <f t="shared" si="6"/>
        <v>35.914618113017205</v>
      </c>
      <c r="I125" s="144">
        <f t="shared" si="7"/>
        <v>0</v>
      </c>
      <c r="J125" s="59">
        <f t="shared" si="4"/>
        <v>0</v>
      </c>
      <c r="K125" s="38"/>
    </row>
    <row r="126" spans="1:11" x14ac:dyDescent="0.25">
      <c r="A126" s="51">
        <f>'A) Base RI'!A128</f>
        <v>5607</v>
      </c>
      <c r="B126" s="321" t="str">
        <f>'A) Base RI'!B128</f>
        <v>Puidoux</v>
      </c>
      <c r="C126" s="101">
        <f>'B) D RI'!U128</f>
        <v>108525.10310559007</v>
      </c>
      <c r="D126" s="117">
        <f>'E) Fact soc'!G132/C126</f>
        <v>18.517156330232865</v>
      </c>
      <c r="E126" s="144">
        <f>'H) Péréquation directe'!I137/C126</f>
        <v>7.6473794937299635</v>
      </c>
      <c r="F126" s="117">
        <f>+'I) Dépenses thématiques'!O126/'K) Plafonnement aide'!C126</f>
        <v>-7.509561965575978</v>
      </c>
      <c r="G126" s="144">
        <f t="shared" si="5"/>
        <v>18.654973858386853</v>
      </c>
      <c r="H126" s="117">
        <f t="shared" si="6"/>
        <v>26.164535823962829</v>
      </c>
      <c r="I126" s="144">
        <f t="shared" si="7"/>
        <v>0</v>
      </c>
      <c r="J126" s="59">
        <f t="shared" si="4"/>
        <v>0</v>
      </c>
      <c r="K126" s="38"/>
    </row>
    <row r="127" spans="1:11" x14ac:dyDescent="0.25">
      <c r="A127" s="51">
        <f>'A) Base RI'!A129</f>
        <v>5609</v>
      </c>
      <c r="B127" s="321" t="str">
        <f>'A) Base RI'!B129</f>
        <v>Rivaz</v>
      </c>
      <c r="C127" s="101">
        <f>'B) D RI'!U129</f>
        <v>15580.699212598427</v>
      </c>
      <c r="D127" s="117">
        <f>'E) Fact soc'!G133/C127</f>
        <v>17.384026840422276</v>
      </c>
      <c r="E127" s="144">
        <f>'H) Péréquation directe'!I138/C127</f>
        <v>16.116964446583644</v>
      </c>
      <c r="F127" s="117">
        <f>+'I) Dépenses thématiques'!O127/'K) Plafonnement aide'!C127</f>
        <v>-3.7860359292738486</v>
      </c>
      <c r="G127" s="144">
        <f t="shared" si="5"/>
        <v>29.71495535773207</v>
      </c>
      <c r="H127" s="117">
        <f t="shared" si="6"/>
        <v>33.500991287005917</v>
      </c>
      <c r="I127" s="144">
        <f t="shared" si="7"/>
        <v>0</v>
      </c>
      <c r="J127" s="59">
        <f t="shared" si="4"/>
        <v>0</v>
      </c>
      <c r="K127" s="38"/>
    </row>
    <row r="128" spans="1:11" x14ac:dyDescent="0.25">
      <c r="A128" s="51">
        <f>'A) Base RI'!A130</f>
        <v>5610</v>
      </c>
      <c r="B128" s="321" t="str">
        <f>'A) Base RI'!B130</f>
        <v>St-Saphorin (Lavaux)</v>
      </c>
      <c r="C128" s="101">
        <f>'B) D RI'!U130</f>
        <v>22074.868656716415</v>
      </c>
      <c r="D128" s="117">
        <f>'E) Fact soc'!G134/C128</f>
        <v>20.772340484174098</v>
      </c>
      <c r="E128" s="144">
        <f>'H) Péréquation directe'!I139/C128</f>
        <v>16.655096800058878</v>
      </c>
      <c r="F128" s="117">
        <f>+'I) Dépenses thématiques'!O128/'K) Plafonnement aide'!C128</f>
        <v>-2.723318976215078</v>
      </c>
      <c r="G128" s="144">
        <f t="shared" si="5"/>
        <v>34.704118308017904</v>
      </c>
      <c r="H128" s="117">
        <f t="shared" si="6"/>
        <v>37.42743728423298</v>
      </c>
      <c r="I128" s="144">
        <f t="shared" si="7"/>
        <v>0</v>
      </c>
      <c r="J128" s="59">
        <f t="shared" si="4"/>
        <v>0</v>
      </c>
      <c r="K128" s="38"/>
    </row>
    <row r="129" spans="1:11" x14ac:dyDescent="0.25">
      <c r="A129" s="51">
        <f>'A) Base RI'!A131</f>
        <v>5611</v>
      </c>
      <c r="B129" s="321" t="str">
        <f>'A) Base RI'!B131</f>
        <v>Savigny</v>
      </c>
      <c r="C129" s="101">
        <f>'B) D RI'!U131</f>
        <v>134510.93620772948</v>
      </c>
      <c r="D129" s="117">
        <f>'E) Fact soc'!G135/C129</f>
        <v>19.579016897339311</v>
      </c>
      <c r="E129" s="144">
        <f>'H) Péréquation directe'!I140/C129</f>
        <v>9.122465023605578</v>
      </c>
      <c r="F129" s="117">
        <f>+'I) Dépenses thématiques'!O129/'K) Plafonnement aide'!C129</f>
        <v>-3.6729067247193194</v>
      </c>
      <c r="G129" s="144">
        <f t="shared" si="5"/>
        <v>25.028575196225571</v>
      </c>
      <c r="H129" s="117">
        <f t="shared" si="6"/>
        <v>28.701481920944889</v>
      </c>
      <c r="I129" s="144">
        <f t="shared" si="7"/>
        <v>0</v>
      </c>
      <c r="J129" s="59">
        <f t="shared" si="4"/>
        <v>0</v>
      </c>
      <c r="K129" s="38"/>
    </row>
    <row r="130" spans="1:11" x14ac:dyDescent="0.25">
      <c r="A130" s="51">
        <f>'A) Base RI'!A132</f>
        <v>5613</v>
      </c>
      <c r="B130" s="321" t="str">
        <f>'A) Base RI'!B132</f>
        <v>Bourg-en-Lavaux</v>
      </c>
      <c r="C130" s="101">
        <f>'B) D RI'!U132</f>
        <v>330680.25306010921</v>
      </c>
      <c r="D130" s="117">
        <f>'E) Fact soc'!G136/C130</f>
        <v>19.515644135343621</v>
      </c>
      <c r="E130" s="144">
        <f>'H) Péréquation directe'!I141/C130</f>
        <v>12.110353303855678</v>
      </c>
      <c r="F130" s="117">
        <f>+'I) Dépenses thématiques'!O130/'K) Plafonnement aide'!C130</f>
        <v>-0.80412323077960746</v>
      </c>
      <c r="G130" s="144">
        <f t="shared" si="5"/>
        <v>30.821874208419693</v>
      </c>
      <c r="H130" s="117">
        <f t="shared" si="6"/>
        <v>31.625997439199299</v>
      </c>
      <c r="I130" s="144">
        <f t="shared" si="7"/>
        <v>0</v>
      </c>
      <c r="J130" s="59">
        <f t="shared" si="4"/>
        <v>0</v>
      </c>
      <c r="K130" s="38"/>
    </row>
    <row r="131" spans="1:11" x14ac:dyDescent="0.25">
      <c r="A131" s="51">
        <f>'A) Base RI'!A133</f>
        <v>5621</v>
      </c>
      <c r="B131" s="321" t="str">
        <f>'A) Base RI'!B133</f>
        <v>Aclens</v>
      </c>
      <c r="C131" s="101">
        <f>'B) D RI'!U133</f>
        <v>33113.551554252197</v>
      </c>
      <c r="D131" s="117">
        <f>'E) Fact soc'!G137/C131</f>
        <v>26.958713980848781</v>
      </c>
      <c r="E131" s="144">
        <f>'H) Péréquation directe'!I142/C131</f>
        <v>16.490500463334023</v>
      </c>
      <c r="F131" s="117">
        <f>+'I) Dépenses thématiques'!O131/'K) Plafonnement aide'!C131</f>
        <v>-0.4366381850063793</v>
      </c>
      <c r="G131" s="144">
        <f t="shared" si="5"/>
        <v>43.01257625917642</v>
      </c>
      <c r="H131" s="117">
        <f t="shared" si="6"/>
        <v>43.4492144441828</v>
      </c>
      <c r="I131" s="144">
        <f t="shared" si="7"/>
        <v>0</v>
      </c>
      <c r="J131" s="59">
        <f t="shared" si="4"/>
        <v>0</v>
      </c>
      <c r="K131" s="38"/>
    </row>
    <row r="132" spans="1:11" x14ac:dyDescent="0.25">
      <c r="A132" s="51">
        <f>'A) Base RI'!A134</f>
        <v>5622</v>
      </c>
      <c r="B132" s="321" t="str">
        <f>'A) Base RI'!B134</f>
        <v>Bremblens</v>
      </c>
      <c r="C132" s="101">
        <f>'B) D RI'!U134</f>
        <v>31245.381060606058</v>
      </c>
      <c r="D132" s="117">
        <f>'E) Fact soc'!G138/C132</f>
        <v>16.737027707908691</v>
      </c>
      <c r="E132" s="144">
        <f>'H) Péréquation directe'!I143/C132</f>
        <v>16.638788801098414</v>
      </c>
      <c r="F132" s="117">
        <f>+'I) Dépenses thématiques'!O132/'K) Plafonnement aide'!C132</f>
        <v>0</v>
      </c>
      <c r="G132" s="144">
        <f t="shared" si="5"/>
        <v>33.375816509007109</v>
      </c>
      <c r="H132" s="117">
        <f t="shared" si="6"/>
        <v>33.375816509007109</v>
      </c>
      <c r="I132" s="144">
        <f t="shared" si="7"/>
        <v>0</v>
      </c>
      <c r="J132" s="59">
        <f t="shared" si="4"/>
        <v>0</v>
      </c>
      <c r="K132" s="38"/>
    </row>
    <row r="133" spans="1:11" x14ac:dyDescent="0.25">
      <c r="A133" s="51">
        <f>'A) Base RI'!A135</f>
        <v>5623</v>
      </c>
      <c r="B133" s="321" t="str">
        <f>'A) Base RI'!B135</f>
        <v>Buchillon</v>
      </c>
      <c r="C133" s="101">
        <f>'B) D RI'!U135</f>
        <v>74216.162452830191</v>
      </c>
      <c r="D133" s="117">
        <f>'E) Fact soc'!G139/C133</f>
        <v>26.739004224446187</v>
      </c>
      <c r="E133" s="144">
        <f>'H) Péréquation directe'!I144/C133</f>
        <v>14.648176508991346</v>
      </c>
      <c r="F133" s="117">
        <f>+'I) Dépenses thématiques'!O133/'K) Plafonnement aide'!C133</f>
        <v>0</v>
      </c>
      <c r="G133" s="144">
        <f t="shared" si="5"/>
        <v>41.387180733437532</v>
      </c>
      <c r="H133" s="117">
        <f t="shared" si="6"/>
        <v>41.387180733437532</v>
      </c>
      <c r="I133" s="144">
        <f t="shared" si="7"/>
        <v>0</v>
      </c>
      <c r="J133" s="59">
        <f t="shared" ref="J133:J196" si="8">-I133*C133</f>
        <v>0</v>
      </c>
      <c r="K133" s="38"/>
    </row>
    <row r="134" spans="1:11" x14ac:dyDescent="0.25">
      <c r="A134" s="51">
        <f>'A) Base RI'!A136</f>
        <v>5624</v>
      </c>
      <c r="B134" s="321" t="str">
        <f>'A) Base RI'!B136</f>
        <v>Bussigny</v>
      </c>
      <c r="C134" s="101">
        <f>'B) D RI'!U136</f>
        <v>336696.75822580646</v>
      </c>
      <c r="D134" s="117">
        <f>'E) Fact soc'!G140/C134</f>
        <v>18.949257654521791</v>
      </c>
      <c r="E134" s="144">
        <f>'H) Péréquation directe'!I145/C134</f>
        <v>4.3772512372624499</v>
      </c>
      <c r="F134" s="117">
        <f>+'I) Dépenses thématiques'!O134/'K) Plafonnement aide'!C134</f>
        <v>-2.6582711635861038</v>
      </c>
      <c r="G134" s="144">
        <f t="shared" ref="G134:G197" si="9">SUM(D134:F134)</f>
        <v>20.668237728198136</v>
      </c>
      <c r="H134" s="117">
        <f t="shared" ref="H134:H197" si="10">G134-F134</f>
        <v>23.32650889178424</v>
      </c>
      <c r="I134" s="144">
        <f t="shared" ref="I134:I197" si="11">IF(H134&lt;I$4,H134-I$4,0)</f>
        <v>0</v>
      </c>
      <c r="J134" s="59">
        <f t="shared" si="8"/>
        <v>0</v>
      </c>
      <c r="K134" s="38"/>
    </row>
    <row r="135" spans="1:11" x14ac:dyDescent="0.25">
      <c r="A135" s="51">
        <f>'A) Base RI'!A137</f>
        <v>5625</v>
      </c>
      <c r="B135" s="321" t="str">
        <f>'A) Base RI'!B137</f>
        <v>Bussy-Chardonney</v>
      </c>
      <c r="C135" s="101">
        <f>'B) D RI'!U137</f>
        <v>13792.360683760684</v>
      </c>
      <c r="D135" s="117">
        <f>'E) Fact soc'!G141/C135</f>
        <v>17.951485065483276</v>
      </c>
      <c r="E135" s="144">
        <f>'H) Péréquation directe'!I146/C135</f>
        <v>10.881344056312484</v>
      </c>
      <c r="F135" s="117">
        <f>+'I) Dépenses thématiques'!O135/'K) Plafonnement aide'!C135</f>
        <v>-0.99544301341548547</v>
      </c>
      <c r="G135" s="144">
        <f t="shared" si="9"/>
        <v>27.837386108380276</v>
      </c>
      <c r="H135" s="117">
        <f t="shared" si="10"/>
        <v>28.832829121795761</v>
      </c>
      <c r="I135" s="144">
        <f t="shared" si="11"/>
        <v>0</v>
      </c>
      <c r="J135" s="59">
        <f t="shared" si="8"/>
        <v>0</v>
      </c>
      <c r="K135" s="38"/>
    </row>
    <row r="136" spans="1:11" x14ac:dyDescent="0.25">
      <c r="A136" s="51">
        <f>'A) Base RI'!A138</f>
        <v>5627</v>
      </c>
      <c r="B136" s="321" t="str">
        <f>'A) Base RI'!B138</f>
        <v>Chavannes-près-Renens</v>
      </c>
      <c r="C136" s="101">
        <f>'B) D RI'!U138</f>
        <v>175193.96054852317</v>
      </c>
      <c r="D136" s="117">
        <f>'E) Fact soc'!G142/C136</f>
        <v>22.917571383620391</v>
      </c>
      <c r="E136" s="144">
        <f>'H) Péréquation directe'!I147/C136</f>
        <v>-24.345508723587219</v>
      </c>
      <c r="F136" s="117">
        <f>+'I) Dépenses thématiques'!O136/'K) Plafonnement aide'!C136</f>
        <v>-7.7360400538070424</v>
      </c>
      <c r="G136" s="144">
        <f t="shared" si="9"/>
        <v>-9.1639773937738696</v>
      </c>
      <c r="H136" s="117">
        <f t="shared" si="10"/>
        <v>-1.4279373399668271</v>
      </c>
      <c r="I136" s="144">
        <f t="shared" si="11"/>
        <v>0</v>
      </c>
      <c r="J136" s="59">
        <f t="shared" si="8"/>
        <v>0</v>
      </c>
      <c r="K136" s="38"/>
    </row>
    <row r="137" spans="1:11" x14ac:dyDescent="0.25">
      <c r="A137" s="51">
        <f>'A) Base RI'!A139</f>
        <v>5628</v>
      </c>
      <c r="B137" s="321" t="str">
        <f>'A) Base RI'!B139</f>
        <v>Chigny</v>
      </c>
      <c r="C137" s="101">
        <f>'B) D RI'!U139</f>
        <v>19494.348064516129</v>
      </c>
      <c r="D137" s="117">
        <f>'E) Fact soc'!G143/C137</f>
        <v>18.6206368171324</v>
      </c>
      <c r="E137" s="144">
        <f>'H) Péréquation directe'!I148/C137</f>
        <v>16.614986576627366</v>
      </c>
      <c r="F137" s="117">
        <f>+'I) Dépenses thématiques'!O137/'K) Plafonnement aide'!C137</f>
        <v>0</v>
      </c>
      <c r="G137" s="144">
        <f t="shared" si="9"/>
        <v>35.235623393759766</v>
      </c>
      <c r="H137" s="117">
        <f t="shared" si="10"/>
        <v>35.235623393759766</v>
      </c>
      <c r="I137" s="144">
        <f t="shared" si="11"/>
        <v>0</v>
      </c>
      <c r="J137" s="59">
        <f t="shared" si="8"/>
        <v>0</v>
      </c>
      <c r="K137" s="38"/>
    </row>
    <row r="138" spans="1:11" x14ac:dyDescent="0.25">
      <c r="A138" s="51">
        <f>'A) Base RI'!A140</f>
        <v>5629</v>
      </c>
      <c r="B138" s="321" t="str">
        <f>'A) Base RI'!B140</f>
        <v>Clarmont</v>
      </c>
      <c r="C138" s="101">
        <f>'B) D RI'!U140</f>
        <v>7511.8584000000001</v>
      </c>
      <c r="D138" s="117">
        <f>'E) Fact soc'!G144/C138</f>
        <v>16.621591874947484</v>
      </c>
      <c r="E138" s="144">
        <f>'H) Péréquation directe'!I149/C138</f>
        <v>13.165978555816919</v>
      </c>
      <c r="F138" s="117">
        <f>+'I) Dépenses thématiques'!O138/'K) Plafonnement aide'!C138</f>
        <v>-5.1849067510788283</v>
      </c>
      <c r="G138" s="144">
        <f t="shared" si="9"/>
        <v>24.602663679685577</v>
      </c>
      <c r="H138" s="117">
        <f t="shared" si="10"/>
        <v>29.787570430764404</v>
      </c>
      <c r="I138" s="144">
        <f t="shared" si="11"/>
        <v>0</v>
      </c>
      <c r="J138" s="59">
        <f t="shared" si="8"/>
        <v>0</v>
      </c>
      <c r="K138" s="38"/>
    </row>
    <row r="139" spans="1:11" x14ac:dyDescent="0.25">
      <c r="A139" s="51">
        <f>'A) Base RI'!A141</f>
        <v>5631</v>
      </c>
      <c r="B139" s="321" t="str">
        <f>'A) Base RI'!B141</f>
        <v>Denens</v>
      </c>
      <c r="C139" s="101">
        <f>'B) D RI'!U141</f>
        <v>45432.172571428571</v>
      </c>
      <c r="D139" s="117">
        <f>'E) Fact soc'!G145/C139</f>
        <v>18.51306571680664</v>
      </c>
      <c r="E139" s="144">
        <f>'H) Péréquation directe'!I150/C139</f>
        <v>16.572261218016958</v>
      </c>
      <c r="F139" s="117">
        <f>+'I) Dépenses thématiques'!O139/'K) Plafonnement aide'!C139</f>
        <v>-0.8552820520421357</v>
      </c>
      <c r="G139" s="144">
        <f t="shared" si="9"/>
        <v>34.230044882781463</v>
      </c>
      <c r="H139" s="117">
        <f t="shared" si="10"/>
        <v>35.085326934823598</v>
      </c>
      <c r="I139" s="144">
        <f t="shared" si="11"/>
        <v>0</v>
      </c>
      <c r="J139" s="59">
        <f t="shared" si="8"/>
        <v>0</v>
      </c>
      <c r="K139" s="38"/>
    </row>
    <row r="140" spans="1:11" x14ac:dyDescent="0.25">
      <c r="A140" s="51">
        <f>'A) Base RI'!A142</f>
        <v>5632</v>
      </c>
      <c r="B140" s="321" t="str">
        <f>'A) Base RI'!B142</f>
        <v>Denges</v>
      </c>
      <c r="C140" s="101">
        <f>'B) D RI'!U142</f>
        <v>67894.99080645162</v>
      </c>
      <c r="D140" s="117">
        <f>'E) Fact soc'!G146/C140</f>
        <v>17.15672194450875</v>
      </c>
      <c r="E140" s="144">
        <f>'H) Péréquation directe'!I151/C140</f>
        <v>12.916720825388053</v>
      </c>
      <c r="F140" s="117">
        <f>+'I) Dépenses thématiques'!O140/'K) Plafonnement aide'!C140</f>
        <v>-0.26090779654804147</v>
      </c>
      <c r="G140" s="144">
        <f t="shared" si="9"/>
        <v>29.812534973348757</v>
      </c>
      <c r="H140" s="117">
        <f t="shared" si="10"/>
        <v>30.073442769896801</v>
      </c>
      <c r="I140" s="144">
        <f t="shared" si="11"/>
        <v>0</v>
      </c>
      <c r="J140" s="59">
        <f t="shared" si="8"/>
        <v>0</v>
      </c>
      <c r="K140" s="38"/>
    </row>
    <row r="141" spans="1:11" x14ac:dyDescent="0.25">
      <c r="A141" s="51">
        <f>'A) Base RI'!A143</f>
        <v>5633</v>
      </c>
      <c r="B141" s="321" t="str">
        <f>'A) Base RI'!B143</f>
        <v>Echandens</v>
      </c>
      <c r="C141" s="101">
        <f>'B) D RI'!U143</f>
        <v>131889.87370967743</v>
      </c>
      <c r="D141" s="117">
        <f>'E) Fact soc'!G147/C141</f>
        <v>17.676018699954376</v>
      </c>
      <c r="E141" s="144">
        <f>'H) Péréquation directe'!I152/C141</f>
        <v>13.132662216242876</v>
      </c>
      <c r="F141" s="117">
        <f>+'I) Dépenses thématiques'!O141/'K) Plafonnement aide'!C141</f>
        <v>-2.9068862602678482</v>
      </c>
      <c r="G141" s="144">
        <f t="shared" si="9"/>
        <v>27.901794655929407</v>
      </c>
      <c r="H141" s="117">
        <f t="shared" si="10"/>
        <v>30.808680916197254</v>
      </c>
      <c r="I141" s="144">
        <f t="shared" si="11"/>
        <v>0</v>
      </c>
      <c r="J141" s="59">
        <f t="shared" si="8"/>
        <v>0</v>
      </c>
      <c r="K141" s="38"/>
    </row>
    <row r="142" spans="1:11" x14ac:dyDescent="0.25">
      <c r="A142" s="51">
        <f>'A) Base RI'!A144</f>
        <v>5634</v>
      </c>
      <c r="B142" s="321" t="str">
        <f>'A) Base RI'!B144</f>
        <v>Echichens</v>
      </c>
      <c r="C142" s="101">
        <f>'B) D RI'!U144</f>
        <v>127167.81867647056</v>
      </c>
      <c r="D142" s="117">
        <f>'E) Fact soc'!G148/C142</f>
        <v>19.1547644646521</v>
      </c>
      <c r="E142" s="144">
        <f>'H) Péréquation directe'!I153/C142</f>
        <v>13.056161073914152</v>
      </c>
      <c r="F142" s="117">
        <f>+'I) Dépenses thématiques'!O142/'K) Plafonnement aide'!C142</f>
        <v>0</v>
      </c>
      <c r="G142" s="144">
        <f t="shared" si="9"/>
        <v>32.210925538566251</v>
      </c>
      <c r="H142" s="117">
        <f t="shared" si="10"/>
        <v>32.210925538566251</v>
      </c>
      <c r="I142" s="144">
        <f t="shared" si="11"/>
        <v>0</v>
      </c>
      <c r="J142" s="59">
        <f t="shared" si="8"/>
        <v>0</v>
      </c>
      <c r="K142" s="38"/>
    </row>
    <row r="143" spans="1:11" x14ac:dyDescent="0.25">
      <c r="A143" s="51">
        <f>'A) Base RI'!A145</f>
        <v>5635</v>
      </c>
      <c r="B143" s="321" t="str">
        <f>'A) Base RI'!B145</f>
        <v>Ecublens</v>
      </c>
      <c r="C143" s="101">
        <f>'B) D RI'!U145</f>
        <v>453953.99228353141</v>
      </c>
      <c r="D143" s="117">
        <f>'E) Fact soc'!G149/C143</f>
        <v>18.068012800377581</v>
      </c>
      <c r="E143" s="144">
        <f>'H) Péréquation directe'!I154/C143</f>
        <v>-1.0733493089305823</v>
      </c>
      <c r="F143" s="117">
        <f>+'I) Dépenses thématiques'!O143/'K) Plafonnement aide'!C143</f>
        <v>-5.7151768454253418</v>
      </c>
      <c r="G143" s="144">
        <f t="shared" si="9"/>
        <v>11.279486646021658</v>
      </c>
      <c r="H143" s="117">
        <f t="shared" si="10"/>
        <v>16.994663491447</v>
      </c>
      <c r="I143" s="144">
        <f t="shared" si="11"/>
        <v>0</v>
      </c>
      <c r="J143" s="59">
        <f t="shared" si="8"/>
        <v>0</v>
      </c>
      <c r="K143" s="38"/>
    </row>
    <row r="144" spans="1:11" x14ac:dyDescent="0.25">
      <c r="A144" s="51">
        <f>'A) Base RI'!A146</f>
        <v>5636</v>
      </c>
      <c r="B144" s="321" t="str">
        <f>'A) Base RI'!B146</f>
        <v>Etoy</v>
      </c>
      <c r="C144" s="101">
        <f>'B) D RI'!U146</f>
        <v>157303.40508196724</v>
      </c>
      <c r="D144" s="117">
        <f>'E) Fact soc'!G150/C144</f>
        <v>19.573443652812372</v>
      </c>
      <c r="E144" s="144">
        <f>'H) Péréquation directe'!I155/C144</f>
        <v>13.665942735594452</v>
      </c>
      <c r="F144" s="117">
        <f>+'I) Dépenses thématiques'!O144/'K) Plafonnement aide'!C144</f>
        <v>0</v>
      </c>
      <c r="G144" s="144">
        <f t="shared" si="9"/>
        <v>33.239386388406828</v>
      </c>
      <c r="H144" s="117">
        <f t="shared" si="10"/>
        <v>33.239386388406828</v>
      </c>
      <c r="I144" s="144">
        <f t="shared" si="11"/>
        <v>0</v>
      </c>
      <c r="J144" s="59">
        <f t="shared" si="8"/>
        <v>0</v>
      </c>
      <c r="K144" s="38"/>
    </row>
    <row r="145" spans="1:11" x14ac:dyDescent="0.25">
      <c r="A145" s="51">
        <f>'A) Base RI'!A147</f>
        <v>5637</v>
      </c>
      <c r="B145" s="321" t="str">
        <f>'A) Base RI'!B147</f>
        <v>Lavigny</v>
      </c>
      <c r="C145" s="101">
        <f>'B) D RI'!U147</f>
        <v>36259.562058165546</v>
      </c>
      <c r="D145" s="117">
        <f>'E) Fact soc'!G151/C145</f>
        <v>18.267025552664531</v>
      </c>
      <c r="E145" s="144">
        <f>'H) Péréquation directe'!I156/C145</f>
        <v>10.319812720291573</v>
      </c>
      <c r="F145" s="117">
        <f>+'I) Dépenses thématiques'!O145/'K) Plafonnement aide'!C145</f>
        <v>-2.3952087234234627</v>
      </c>
      <c r="G145" s="144">
        <f t="shared" si="9"/>
        <v>26.191629549532642</v>
      </c>
      <c r="H145" s="117">
        <f t="shared" si="10"/>
        <v>28.586838272956104</v>
      </c>
      <c r="I145" s="144">
        <f t="shared" si="11"/>
        <v>0</v>
      </c>
      <c r="J145" s="59">
        <f t="shared" si="8"/>
        <v>0</v>
      </c>
      <c r="K145" s="38"/>
    </row>
    <row r="146" spans="1:11" x14ac:dyDescent="0.25">
      <c r="A146" s="51">
        <f>'A) Base RI'!A148</f>
        <v>5638</v>
      </c>
      <c r="B146" s="321" t="str">
        <f>'A) Base RI'!B148</f>
        <v>Lonay</v>
      </c>
      <c r="C146" s="101">
        <f>'B) D RI'!U148</f>
        <v>153961.25072727271</v>
      </c>
      <c r="D146" s="117">
        <f>'E) Fact soc'!G152/C146</f>
        <v>36.242664083095299</v>
      </c>
      <c r="E146" s="144">
        <f>'H) Péréquation directe'!I157/C146</f>
        <v>14.05848737246326</v>
      </c>
      <c r="F146" s="117">
        <f>+'I) Dépenses thématiques'!O146/'K) Plafonnement aide'!C146</f>
        <v>-1.8083629097920761</v>
      </c>
      <c r="G146" s="144">
        <f t="shared" si="9"/>
        <v>48.492788545766487</v>
      </c>
      <c r="H146" s="117">
        <f t="shared" si="10"/>
        <v>50.301151455558561</v>
      </c>
      <c r="I146" s="144">
        <f t="shared" si="11"/>
        <v>0</v>
      </c>
      <c r="J146" s="59">
        <f t="shared" si="8"/>
        <v>0</v>
      </c>
      <c r="K146" s="38"/>
    </row>
    <row r="147" spans="1:11" x14ac:dyDescent="0.25">
      <c r="A147" s="51">
        <f>'A) Base RI'!A149</f>
        <v>5639</v>
      </c>
      <c r="B147" s="321" t="str">
        <f>'A) Base RI'!B149</f>
        <v>Lully</v>
      </c>
      <c r="C147" s="101">
        <f>'B) D RI'!U149</f>
        <v>51753.051967213112</v>
      </c>
      <c r="D147" s="117">
        <f>'E) Fact soc'!G153/C147</f>
        <v>19.530121574744172</v>
      </c>
      <c r="E147" s="144">
        <f>'H) Péréquation directe'!I158/C147</f>
        <v>16.33527409384423</v>
      </c>
      <c r="F147" s="117">
        <f>+'I) Dépenses thématiques'!O147/'K) Plafonnement aide'!C147</f>
        <v>0</v>
      </c>
      <c r="G147" s="144">
        <f t="shared" si="9"/>
        <v>35.865395668588405</v>
      </c>
      <c r="H147" s="117">
        <f t="shared" si="10"/>
        <v>35.865395668588405</v>
      </c>
      <c r="I147" s="144">
        <f t="shared" si="11"/>
        <v>0</v>
      </c>
      <c r="J147" s="59">
        <f t="shared" si="8"/>
        <v>0</v>
      </c>
      <c r="K147" s="38"/>
    </row>
    <row r="148" spans="1:11" x14ac:dyDescent="0.25">
      <c r="A148" s="51">
        <f>'A) Base RI'!A150</f>
        <v>5640</v>
      </c>
      <c r="B148" s="321" t="str">
        <f>'A) Base RI'!B150</f>
        <v>Lussy-sur-Morges</v>
      </c>
      <c r="C148" s="101">
        <f>'B) D RI'!U150</f>
        <v>55596.399848484849</v>
      </c>
      <c r="D148" s="117">
        <f>'E) Fact soc'!G154/C148</f>
        <v>35.819776006400481</v>
      </c>
      <c r="E148" s="144">
        <f>'H) Péréquation directe'!I159/C148</f>
        <v>15.658487361040949</v>
      </c>
      <c r="F148" s="117">
        <f>+'I) Dépenses thématiques'!O148/'K) Plafonnement aide'!C148</f>
        <v>0</v>
      </c>
      <c r="G148" s="144">
        <f t="shared" si="9"/>
        <v>51.478263367441428</v>
      </c>
      <c r="H148" s="117">
        <f t="shared" si="10"/>
        <v>51.478263367441428</v>
      </c>
      <c r="I148" s="144">
        <f t="shared" si="11"/>
        <v>0</v>
      </c>
      <c r="J148" s="59">
        <f t="shared" si="8"/>
        <v>0</v>
      </c>
      <c r="K148" s="38"/>
    </row>
    <row r="149" spans="1:11" x14ac:dyDescent="0.25">
      <c r="A149" s="51">
        <f>'A) Base RI'!A151</f>
        <v>5642</v>
      </c>
      <c r="B149" s="321" t="str">
        <f>'A) Base RI'!B151</f>
        <v>Morges</v>
      </c>
      <c r="C149" s="101">
        <f>'B) D RI'!U151</f>
        <v>777988.51795620425</v>
      </c>
      <c r="D149" s="117">
        <f>'E) Fact soc'!G155/C149</f>
        <v>19.279980541370172</v>
      </c>
      <c r="E149" s="144">
        <f>'H) Péréquation directe'!I160/C149</f>
        <v>4.9883341575640952</v>
      </c>
      <c r="F149" s="117">
        <f>+'I) Dépenses thématiques'!O149/'K) Plafonnement aide'!C149</f>
        <v>-0.72482517417190473</v>
      </c>
      <c r="G149" s="144">
        <f t="shared" si="9"/>
        <v>23.543489524762364</v>
      </c>
      <c r="H149" s="117">
        <f t="shared" si="10"/>
        <v>24.268314698934269</v>
      </c>
      <c r="I149" s="144">
        <f t="shared" si="11"/>
        <v>0</v>
      </c>
      <c r="J149" s="59">
        <f t="shared" si="8"/>
        <v>0</v>
      </c>
      <c r="K149" s="38"/>
    </row>
    <row r="150" spans="1:11" x14ac:dyDescent="0.25">
      <c r="A150" s="51">
        <f>'A) Base RI'!A152</f>
        <v>5643</v>
      </c>
      <c r="B150" s="321" t="str">
        <f>'A) Base RI'!B152</f>
        <v>Préverenges</v>
      </c>
      <c r="C150" s="101">
        <f>'B) D RI'!U152</f>
        <v>264736.09703124996</v>
      </c>
      <c r="D150" s="117">
        <f>'E) Fact soc'!G156/C150</f>
        <v>16.336278647156192</v>
      </c>
      <c r="E150" s="144">
        <f>'H) Péréquation directe'!I161/C150</f>
        <v>11.119326873192934</v>
      </c>
      <c r="F150" s="117">
        <f>+'I) Dépenses thématiques'!O150/'K) Plafonnement aide'!C150</f>
        <v>0</v>
      </c>
      <c r="G150" s="144">
        <f t="shared" si="9"/>
        <v>27.455605520349124</v>
      </c>
      <c r="H150" s="117">
        <f t="shared" si="10"/>
        <v>27.455605520349124</v>
      </c>
      <c r="I150" s="144">
        <f t="shared" si="11"/>
        <v>0</v>
      </c>
      <c r="J150" s="59">
        <f t="shared" si="8"/>
        <v>0</v>
      </c>
      <c r="K150" s="38"/>
    </row>
    <row r="151" spans="1:11" x14ac:dyDescent="0.25">
      <c r="A151" s="51">
        <f>'A) Base RI'!A153</f>
        <v>5644</v>
      </c>
      <c r="B151" s="321" t="str">
        <f>'A) Base RI'!B153</f>
        <v>Reverolle</v>
      </c>
      <c r="C151" s="101">
        <f>'B) D RI'!U153</f>
        <v>15137.442236842104</v>
      </c>
      <c r="D151" s="117">
        <f>'E) Fact soc'!G157/C151</f>
        <v>16.704489146737075</v>
      </c>
      <c r="E151" s="144">
        <f>'H) Péréquation directe'!I162/C151</f>
        <v>13.005133226305004</v>
      </c>
      <c r="F151" s="117">
        <f>+'I) Dépenses thématiques'!O151/'K) Plafonnement aide'!C151</f>
        <v>-2.2541530328060388</v>
      </c>
      <c r="G151" s="144">
        <f t="shared" si="9"/>
        <v>27.455469340236043</v>
      </c>
      <c r="H151" s="117">
        <f t="shared" si="10"/>
        <v>29.70962237304208</v>
      </c>
      <c r="I151" s="144">
        <f t="shared" si="11"/>
        <v>0</v>
      </c>
      <c r="J151" s="59">
        <f t="shared" si="8"/>
        <v>0</v>
      </c>
      <c r="K151" s="38"/>
    </row>
    <row r="152" spans="1:11" x14ac:dyDescent="0.25">
      <c r="A152" s="51">
        <f>'A) Base RI'!A154</f>
        <v>5645</v>
      </c>
      <c r="B152" s="321" t="str">
        <f>'A) Base RI'!B154</f>
        <v>Romanel-sur-Morges</v>
      </c>
      <c r="C152" s="101">
        <f>'B) D RI'!U154</f>
        <v>26934.860133928574</v>
      </c>
      <c r="D152" s="117">
        <f>'E) Fact soc'!G158/C152</f>
        <v>16.689276548312183</v>
      </c>
      <c r="E152" s="144">
        <f>'H) Péréquation directe'!I163/C152</f>
        <v>16.630712471121701</v>
      </c>
      <c r="F152" s="117">
        <f>+'I) Dépenses thématiques'!O152/'K) Plafonnement aide'!C152</f>
        <v>0</v>
      </c>
      <c r="G152" s="144">
        <f t="shared" si="9"/>
        <v>33.319989019433883</v>
      </c>
      <c r="H152" s="117">
        <f t="shared" si="10"/>
        <v>33.319989019433883</v>
      </c>
      <c r="I152" s="144">
        <f t="shared" si="11"/>
        <v>0</v>
      </c>
      <c r="J152" s="59">
        <f t="shared" si="8"/>
        <v>0</v>
      </c>
      <c r="K152" s="38"/>
    </row>
    <row r="153" spans="1:11" x14ac:dyDescent="0.25">
      <c r="A153" s="51">
        <f>'A) Base RI'!A155</f>
        <v>5646</v>
      </c>
      <c r="B153" s="321" t="str">
        <f>'A) Base RI'!B155</f>
        <v>Saint-Prex</v>
      </c>
      <c r="C153" s="101">
        <f>'B) D RI'!U155</f>
        <v>386152.86527272721</v>
      </c>
      <c r="D153" s="117">
        <f>'E) Fact soc'!G159/C153</f>
        <v>20.740743541427605</v>
      </c>
      <c r="E153" s="144">
        <f>'H) Péréquation directe'!I164/C153</f>
        <v>12.033551742304802</v>
      </c>
      <c r="F153" s="117">
        <f>+'I) Dépenses thématiques'!O153/'K) Plafonnement aide'!C153</f>
        <v>0</v>
      </c>
      <c r="G153" s="144">
        <f t="shared" si="9"/>
        <v>32.774295283732407</v>
      </c>
      <c r="H153" s="117">
        <f t="shared" si="10"/>
        <v>32.774295283732407</v>
      </c>
      <c r="I153" s="144">
        <f t="shared" si="11"/>
        <v>0</v>
      </c>
      <c r="J153" s="59">
        <f t="shared" si="8"/>
        <v>0</v>
      </c>
      <c r="K153" s="38"/>
    </row>
    <row r="154" spans="1:11" x14ac:dyDescent="0.25">
      <c r="A154" s="51">
        <f>'A) Base RI'!A156</f>
        <v>5648</v>
      </c>
      <c r="B154" s="321" t="str">
        <f>'A) Base RI'!B156</f>
        <v>Saint-Sulpice</v>
      </c>
      <c r="C154" s="101">
        <f>'B) D RI'!U156</f>
        <v>363756.87836363638</v>
      </c>
      <c r="D154" s="117">
        <f>'E) Fact soc'!G160/C154</f>
        <v>24.004023078233264</v>
      </c>
      <c r="E154" s="144">
        <f>'H) Péréquation directe'!I165/C154</f>
        <v>12.743819912791988</v>
      </c>
      <c r="F154" s="117">
        <f>+'I) Dépenses thématiques'!O154/'K) Plafonnement aide'!C154</f>
        <v>0</v>
      </c>
      <c r="G154" s="144">
        <f t="shared" si="9"/>
        <v>36.747842991025252</v>
      </c>
      <c r="H154" s="117">
        <f t="shared" si="10"/>
        <v>36.747842991025252</v>
      </c>
      <c r="I154" s="144">
        <f t="shared" si="11"/>
        <v>0</v>
      </c>
      <c r="J154" s="59">
        <f t="shared" si="8"/>
        <v>0</v>
      </c>
      <c r="K154" s="38"/>
    </row>
    <row r="155" spans="1:11" x14ac:dyDescent="0.25">
      <c r="A155" s="51">
        <f>'A) Base RI'!A157</f>
        <v>5649</v>
      </c>
      <c r="B155" s="321" t="str">
        <f>'A) Base RI'!B157</f>
        <v>Tolochenaz</v>
      </c>
      <c r="C155" s="101">
        <f>'B) D RI'!U157</f>
        <v>238285.06261538458</v>
      </c>
      <c r="D155" s="117">
        <f>'E) Fact soc'!G161/C155</f>
        <v>31.738388511564743</v>
      </c>
      <c r="E155" s="144">
        <f>'H) Péréquation directe'!I166/C155</f>
        <v>13.499584459432295</v>
      </c>
      <c r="F155" s="117">
        <f>+'I) Dépenses thématiques'!O155/'K) Plafonnement aide'!C155</f>
        <v>0</v>
      </c>
      <c r="G155" s="144">
        <f t="shared" si="9"/>
        <v>45.237972970997035</v>
      </c>
      <c r="H155" s="117">
        <f t="shared" si="10"/>
        <v>45.237972970997035</v>
      </c>
      <c r="I155" s="144">
        <f t="shared" si="11"/>
        <v>0</v>
      </c>
      <c r="J155" s="59">
        <f t="shared" si="8"/>
        <v>0</v>
      </c>
      <c r="K155" s="38"/>
    </row>
    <row r="156" spans="1:11" x14ac:dyDescent="0.25">
      <c r="A156" s="51">
        <f>'A) Base RI'!A158</f>
        <v>5650</v>
      </c>
      <c r="B156" s="321" t="str">
        <f>'A) Base RI'!B158</f>
        <v>Vaux-sur-Morges</v>
      </c>
      <c r="C156" s="101">
        <f>'B) D RI'!U158</f>
        <v>169784.43892857147</v>
      </c>
      <c r="D156" s="117">
        <f>'E) Fact soc'!G162/C156</f>
        <v>42.884770707417779</v>
      </c>
      <c r="E156" s="144">
        <f>'H) Péréquation directe'!I167/C156</f>
        <v>11.14624154284089</v>
      </c>
      <c r="F156" s="117">
        <f>+'I) Dépenses thématiques'!O156/'K) Plafonnement aide'!C156</f>
        <v>0</v>
      </c>
      <c r="G156" s="144">
        <f t="shared" si="9"/>
        <v>54.031012250258669</v>
      </c>
      <c r="H156" s="117">
        <f t="shared" si="10"/>
        <v>54.031012250258669</v>
      </c>
      <c r="I156" s="144">
        <f t="shared" si="11"/>
        <v>0</v>
      </c>
      <c r="J156" s="59">
        <f t="shared" si="8"/>
        <v>0</v>
      </c>
      <c r="K156" s="38"/>
    </row>
    <row r="157" spans="1:11" x14ac:dyDescent="0.25">
      <c r="A157" s="51">
        <f>'A) Base RI'!A159</f>
        <v>5651</v>
      </c>
      <c r="B157" s="321" t="str">
        <f>'A) Base RI'!B159</f>
        <v>Villars-Sainte-Croix</v>
      </c>
      <c r="C157" s="101">
        <f>'B) D RI'!U159</f>
        <v>53160.152372881355</v>
      </c>
      <c r="D157" s="117">
        <f>'E) Fact soc'!G163/C157</f>
        <v>18.948846860470081</v>
      </c>
      <c r="E157" s="144">
        <f>'H) Péréquation directe'!I168/C157</f>
        <v>16.650358822465613</v>
      </c>
      <c r="F157" s="117">
        <f>+'I) Dépenses thématiques'!O157/'K) Plafonnement aide'!C157</f>
        <v>0</v>
      </c>
      <c r="G157" s="144">
        <f t="shared" si="9"/>
        <v>35.59920568293569</v>
      </c>
      <c r="H157" s="117">
        <f t="shared" si="10"/>
        <v>35.59920568293569</v>
      </c>
      <c r="I157" s="144">
        <f t="shared" si="11"/>
        <v>0</v>
      </c>
      <c r="J157" s="59">
        <f t="shared" si="8"/>
        <v>0</v>
      </c>
      <c r="K157" s="38"/>
    </row>
    <row r="158" spans="1:11" x14ac:dyDescent="0.25">
      <c r="A158" s="51">
        <f>'A) Base RI'!A160</f>
        <v>5652</v>
      </c>
      <c r="B158" s="321" t="str">
        <f>'A) Base RI'!B160</f>
        <v>Villars-sous-Yens</v>
      </c>
      <c r="C158" s="101">
        <f>'B) D RI'!U160</f>
        <v>25892.335109649121</v>
      </c>
      <c r="D158" s="117">
        <f>'E) Fact soc'!G164/C158</f>
        <v>16.129876621069346</v>
      </c>
      <c r="E158" s="144">
        <f>'H) Péréquation directe'!I169/C158</f>
        <v>14.718857173667935</v>
      </c>
      <c r="F158" s="117">
        <f>+'I) Dépenses thématiques'!O158/'K) Plafonnement aide'!C158</f>
        <v>-9.3417993939151428E-2</v>
      </c>
      <c r="G158" s="144">
        <f t="shared" si="9"/>
        <v>30.75531580079813</v>
      </c>
      <c r="H158" s="117">
        <f t="shared" si="10"/>
        <v>30.848733794737281</v>
      </c>
      <c r="I158" s="144">
        <f t="shared" si="11"/>
        <v>0</v>
      </c>
      <c r="J158" s="59">
        <f t="shared" si="8"/>
        <v>0</v>
      </c>
      <c r="K158" s="38"/>
    </row>
    <row r="159" spans="1:11" x14ac:dyDescent="0.25">
      <c r="A159" s="51">
        <f>'A) Base RI'!A161</f>
        <v>5653</v>
      </c>
      <c r="B159" s="321" t="str">
        <f>'A) Base RI'!B161</f>
        <v>Vufflens-le-Château</v>
      </c>
      <c r="C159" s="101">
        <f>'B) D RI'!U161</f>
        <v>58132.597454545445</v>
      </c>
      <c r="D159" s="117">
        <f>'E) Fact soc'!G165/C159</f>
        <v>18.20296372887109</v>
      </c>
      <c r="E159" s="144">
        <f>'H) Péréquation directe'!I170/C159</f>
        <v>16.313372107218747</v>
      </c>
      <c r="F159" s="117">
        <f>+'I) Dépenses thématiques'!O159/'K) Plafonnement aide'!C159</f>
        <v>0</v>
      </c>
      <c r="G159" s="144">
        <f t="shared" si="9"/>
        <v>34.516335836089837</v>
      </c>
      <c r="H159" s="117">
        <f t="shared" si="10"/>
        <v>34.516335836089837</v>
      </c>
      <c r="I159" s="144">
        <f t="shared" si="11"/>
        <v>0</v>
      </c>
      <c r="J159" s="59">
        <f t="shared" si="8"/>
        <v>0</v>
      </c>
      <c r="K159" s="38"/>
    </row>
    <row r="160" spans="1:11" x14ac:dyDescent="0.25">
      <c r="A160" s="51">
        <f>'A) Base RI'!A162</f>
        <v>5654</v>
      </c>
      <c r="B160" s="321" t="str">
        <f>'A) Base RI'!B162</f>
        <v>Vullierens</v>
      </c>
      <c r="C160" s="101">
        <f>'B) D RI'!U162</f>
        <v>18691.767368421053</v>
      </c>
      <c r="D160" s="117">
        <f>'E) Fact soc'!G166/C160</f>
        <v>16.009774457772984</v>
      </c>
      <c r="E160" s="144">
        <f>'H) Péréquation directe'!I171/C160</f>
        <v>11.360157771530666</v>
      </c>
      <c r="F160" s="117">
        <f>+'I) Dépenses thématiques'!O160/'K) Plafonnement aide'!C160</f>
        <v>-0.26234694130746411</v>
      </c>
      <c r="G160" s="144">
        <f t="shared" si="9"/>
        <v>27.107585287996187</v>
      </c>
      <c r="H160" s="117">
        <f t="shared" si="10"/>
        <v>27.36993222930365</v>
      </c>
      <c r="I160" s="144">
        <f t="shared" si="11"/>
        <v>0</v>
      </c>
      <c r="J160" s="59">
        <f t="shared" si="8"/>
        <v>0</v>
      </c>
      <c r="K160" s="38"/>
    </row>
    <row r="161" spans="1:11" x14ac:dyDescent="0.25">
      <c r="A161" s="51">
        <f>'A) Base RI'!A163</f>
        <v>5655</v>
      </c>
      <c r="B161" s="321" t="str">
        <f>'A) Base RI'!B163</f>
        <v>Yens</v>
      </c>
      <c r="C161" s="101">
        <f>'B) D RI'!U163</f>
        <v>72322.592328767118</v>
      </c>
      <c r="D161" s="117">
        <f>'E) Fact soc'!G167/C161</f>
        <v>20.637410514315054</v>
      </c>
      <c r="E161" s="144">
        <f>'H) Péréquation directe'!I172/C161</f>
        <v>15.233532100879536</v>
      </c>
      <c r="F161" s="117">
        <f>+'I) Dépenses thématiques'!O161/'K) Plafonnement aide'!C161</f>
        <v>0</v>
      </c>
      <c r="G161" s="144">
        <f t="shared" si="9"/>
        <v>35.870942615194593</v>
      </c>
      <c r="H161" s="117">
        <f t="shared" si="10"/>
        <v>35.870942615194593</v>
      </c>
      <c r="I161" s="144">
        <f t="shared" si="11"/>
        <v>0</v>
      </c>
      <c r="J161" s="59">
        <f t="shared" si="8"/>
        <v>0</v>
      </c>
      <c r="K161" s="38"/>
    </row>
    <row r="162" spans="1:11" x14ac:dyDescent="0.25">
      <c r="A162" s="51">
        <f>'A) Base RI'!A164</f>
        <v>5661</v>
      </c>
      <c r="B162" s="321" t="str">
        <f>'A) Base RI'!B164</f>
        <v>Boulens</v>
      </c>
      <c r="C162" s="101">
        <f>'B) D RI'!U164</f>
        <v>9059.2982278481013</v>
      </c>
      <c r="D162" s="117">
        <f>'E) Fact soc'!G168/C162</f>
        <v>16.327266761728001</v>
      </c>
      <c r="E162" s="144">
        <f>'H) Péréquation directe'!I173/C162</f>
        <v>-7.0344197506435506</v>
      </c>
      <c r="F162" s="117">
        <f>+'I) Dépenses thématiques'!O162/'K) Plafonnement aide'!C162</f>
        <v>-1.7270669004214445</v>
      </c>
      <c r="G162" s="144">
        <f t="shared" si="9"/>
        <v>7.565780110663006</v>
      </c>
      <c r="H162" s="117">
        <f t="shared" si="10"/>
        <v>9.2928470110844508</v>
      </c>
      <c r="I162" s="144">
        <f t="shared" si="11"/>
        <v>0</v>
      </c>
      <c r="J162" s="59">
        <f t="shared" si="8"/>
        <v>0</v>
      </c>
      <c r="K162" s="38"/>
    </row>
    <row r="163" spans="1:11" x14ac:dyDescent="0.25">
      <c r="A163" s="51">
        <f>'A) Base RI'!A165</f>
        <v>5663</v>
      </c>
      <c r="B163" s="321" t="str">
        <f>'A) Base RI'!B165</f>
        <v>Bussy-sur-Moudon</v>
      </c>
      <c r="C163" s="101">
        <f>'B) D RI'!U165</f>
        <v>5679.6416249999993</v>
      </c>
      <c r="D163" s="117">
        <f>'E) Fact soc'!G169/C163</f>
        <v>17.523538600739769</v>
      </c>
      <c r="E163" s="144">
        <f>'H) Péréquation directe'!I174/C163</f>
        <v>-1.6215029079701844</v>
      </c>
      <c r="F163" s="117">
        <f>+'I) Dépenses thématiques'!O163/'K) Plafonnement aide'!C163</f>
        <v>-12.14574683632992</v>
      </c>
      <c r="G163" s="144">
        <f t="shared" si="9"/>
        <v>3.7562888564396655</v>
      </c>
      <c r="H163" s="117">
        <f t="shared" si="10"/>
        <v>15.902035692769585</v>
      </c>
      <c r="I163" s="144">
        <f t="shared" si="11"/>
        <v>0</v>
      </c>
      <c r="J163" s="59">
        <f t="shared" si="8"/>
        <v>0</v>
      </c>
      <c r="K163" s="38"/>
    </row>
    <row r="164" spans="1:11" x14ac:dyDescent="0.25">
      <c r="A164" s="51">
        <f>'A) Base RI'!A166</f>
        <v>5665</v>
      </c>
      <c r="B164" s="321" t="str">
        <f>'A) Base RI'!B166</f>
        <v>Chavannes-sur-Moudon</v>
      </c>
      <c r="C164" s="101">
        <f>'B) D RI'!U166</f>
        <v>5041.8972602739723</v>
      </c>
      <c r="D164" s="117">
        <f>'E) Fact soc'!G170/C164</f>
        <v>15.32172464924045</v>
      </c>
      <c r="E164" s="144">
        <f>'H) Péréquation directe'!I175/C164</f>
        <v>-6.0193174215691307</v>
      </c>
      <c r="F164" s="117">
        <f>+'I) Dépenses thématiques'!O164/'K) Plafonnement aide'!C164</f>
        <v>-1.0362843772572186</v>
      </c>
      <c r="G164" s="144">
        <f t="shared" si="9"/>
        <v>8.2661228504140993</v>
      </c>
      <c r="H164" s="117">
        <f t="shared" si="10"/>
        <v>9.302407227671317</v>
      </c>
      <c r="I164" s="144">
        <f t="shared" si="11"/>
        <v>0</v>
      </c>
      <c r="J164" s="59">
        <f t="shared" si="8"/>
        <v>0</v>
      </c>
      <c r="K164" s="38"/>
    </row>
    <row r="165" spans="1:11" x14ac:dyDescent="0.25">
      <c r="A165" s="51">
        <f>'A) Base RI'!A167</f>
        <v>5669</v>
      </c>
      <c r="B165" s="321" t="str">
        <f>'A) Base RI'!B167</f>
        <v>Curtilles</v>
      </c>
      <c r="C165" s="101">
        <f>'B) D RI'!U167</f>
        <v>9002.5637333333325</v>
      </c>
      <c r="D165" s="117">
        <f>'E) Fact soc'!G171/C165</f>
        <v>18.662575060720624</v>
      </c>
      <c r="E165" s="144">
        <f>'H) Péréquation directe'!I176/C165</f>
        <v>1.9945679128357479</v>
      </c>
      <c r="F165" s="117">
        <f>+'I) Dépenses thématiques'!O165/'K) Plafonnement aide'!C165</f>
        <v>-0.73473882248783284</v>
      </c>
      <c r="G165" s="144">
        <f t="shared" si="9"/>
        <v>19.922404151068537</v>
      </c>
      <c r="H165" s="117">
        <f t="shared" si="10"/>
        <v>20.657142973556372</v>
      </c>
      <c r="I165" s="144">
        <f t="shared" si="11"/>
        <v>0</v>
      </c>
      <c r="J165" s="59">
        <f t="shared" si="8"/>
        <v>0</v>
      </c>
      <c r="K165" s="38"/>
    </row>
    <row r="166" spans="1:11" x14ac:dyDescent="0.25">
      <c r="A166" s="51">
        <f>'A) Base RI'!A168</f>
        <v>5671</v>
      </c>
      <c r="B166" s="321" t="str">
        <f>'A) Base RI'!B168</f>
        <v>Dompierre</v>
      </c>
      <c r="C166" s="101">
        <f>'B) D RI'!U168</f>
        <v>6375.2653750000009</v>
      </c>
      <c r="D166" s="117">
        <f>'E) Fact soc'!G172/C166</f>
        <v>15.019472051471459</v>
      </c>
      <c r="E166" s="144">
        <f>'H) Péréquation directe'!I177/C166</f>
        <v>-6.3565308534826421</v>
      </c>
      <c r="F166" s="117">
        <f>+'I) Dépenses thématiques'!O166/'K) Plafonnement aide'!C166</f>
        <v>-8.8137195565509217</v>
      </c>
      <c r="G166" s="144">
        <f t="shared" si="9"/>
        <v>-0.1507783585621052</v>
      </c>
      <c r="H166" s="117">
        <f t="shared" si="10"/>
        <v>8.6629411979888165</v>
      </c>
      <c r="I166" s="144">
        <f t="shared" si="11"/>
        <v>0</v>
      </c>
      <c r="J166" s="59">
        <f t="shared" si="8"/>
        <v>0</v>
      </c>
      <c r="K166" s="38"/>
    </row>
    <row r="167" spans="1:11" x14ac:dyDescent="0.25">
      <c r="A167" s="51">
        <f>'A) Base RI'!A169</f>
        <v>5673</v>
      </c>
      <c r="B167" s="321" t="str">
        <f>'A) Base RI'!B169</f>
        <v>Hermenches</v>
      </c>
      <c r="C167" s="101">
        <f>'B) D RI'!U169</f>
        <v>8890.2024444444451</v>
      </c>
      <c r="D167" s="117">
        <f>'E) Fact soc'!G173/C167</f>
        <v>15.616516577354123</v>
      </c>
      <c r="E167" s="144">
        <f>'H) Péréquation directe'!I178/C167</f>
        <v>-6.03843947848803</v>
      </c>
      <c r="F167" s="117">
        <f>+'I) Dépenses thématiques'!O167/'K) Plafonnement aide'!C167</f>
        <v>-6.0133394659016801</v>
      </c>
      <c r="G167" s="144">
        <f t="shared" si="9"/>
        <v>3.5647376329644125</v>
      </c>
      <c r="H167" s="117">
        <f t="shared" si="10"/>
        <v>9.5780770988660926</v>
      </c>
      <c r="I167" s="144">
        <f t="shared" si="11"/>
        <v>0</v>
      </c>
      <c r="J167" s="59">
        <f t="shared" si="8"/>
        <v>0</v>
      </c>
      <c r="K167" s="38"/>
    </row>
    <row r="168" spans="1:11" x14ac:dyDescent="0.25">
      <c r="A168" s="51">
        <f>'A) Base RI'!A170</f>
        <v>5674</v>
      </c>
      <c r="B168" s="321" t="str">
        <f>'A) Base RI'!B170</f>
        <v>Lovatens</v>
      </c>
      <c r="C168" s="101">
        <f>'B) D RI'!U170</f>
        <v>3625.6310666666668</v>
      </c>
      <c r="D168" s="117">
        <f>'E) Fact soc'!G174/C168</f>
        <v>15.702728463479334</v>
      </c>
      <c r="E168" s="144">
        <f>'H) Péréquation directe'!I179/C168</f>
        <v>-1.9258045831191004</v>
      </c>
      <c r="F168" s="117">
        <f>+'I) Dépenses thématiques'!O168/'K) Plafonnement aide'!C168</f>
        <v>-4.6752749178942281</v>
      </c>
      <c r="G168" s="144">
        <f t="shared" si="9"/>
        <v>9.1016489624660046</v>
      </c>
      <c r="H168" s="117">
        <f t="shared" si="10"/>
        <v>13.776923880360233</v>
      </c>
      <c r="I168" s="144">
        <f t="shared" si="11"/>
        <v>0</v>
      </c>
      <c r="J168" s="59">
        <f t="shared" si="8"/>
        <v>0</v>
      </c>
      <c r="K168" s="38"/>
    </row>
    <row r="169" spans="1:11" x14ac:dyDescent="0.25">
      <c r="A169" s="51">
        <f>'A) Base RI'!A171</f>
        <v>5675</v>
      </c>
      <c r="B169" s="321" t="str">
        <f>'A) Base RI'!B171</f>
        <v>Lucens</v>
      </c>
      <c r="C169" s="101">
        <f>'B) D RI'!U171</f>
        <v>86340.116763085374</v>
      </c>
      <c r="D169" s="117">
        <f>'E) Fact soc'!G175/C169</f>
        <v>18.75286273966551</v>
      </c>
      <c r="E169" s="144">
        <f>'H) Péréquation directe'!I180/C169</f>
        <v>-17.290036609627172</v>
      </c>
      <c r="F169" s="117">
        <f>+'I) Dépenses thématiques'!O169/'K) Plafonnement aide'!C169</f>
        <v>-4.9923420615319696</v>
      </c>
      <c r="G169" s="144">
        <f t="shared" si="9"/>
        <v>-3.5295159314936324</v>
      </c>
      <c r="H169" s="117">
        <f t="shared" si="10"/>
        <v>1.4628261300383372</v>
      </c>
      <c r="I169" s="144">
        <f t="shared" si="11"/>
        <v>0</v>
      </c>
      <c r="J169" s="59">
        <f t="shared" si="8"/>
        <v>0</v>
      </c>
      <c r="K169" s="38"/>
    </row>
    <row r="170" spans="1:11" x14ac:dyDescent="0.25">
      <c r="A170" s="51">
        <f>'A) Base RI'!A172</f>
        <v>5678</v>
      </c>
      <c r="B170" s="321" t="str">
        <f>'A) Base RI'!B172</f>
        <v>Moudon</v>
      </c>
      <c r="C170" s="101">
        <f>'B) D RI'!U172</f>
        <v>119887.03426666667</v>
      </c>
      <c r="D170" s="117">
        <f>'E) Fact soc'!G176/C170</f>
        <v>20.946722117486821</v>
      </c>
      <c r="E170" s="144">
        <f>'H) Péréquation directe'!I181/C170</f>
        <v>-31.481491621763016</v>
      </c>
      <c r="F170" s="117">
        <f>+'I) Dépenses thématiques'!O170/'K) Plafonnement aide'!C170</f>
        <v>-9.5740972482810758</v>
      </c>
      <c r="G170" s="144">
        <f t="shared" si="9"/>
        <v>-20.108866752557269</v>
      </c>
      <c r="H170" s="117">
        <f t="shared" si="10"/>
        <v>-10.534769504276193</v>
      </c>
      <c r="I170" s="144">
        <f t="shared" si="11"/>
        <v>-4.0347695042761931</v>
      </c>
      <c r="J170" s="59">
        <f t="shared" si="8"/>
        <v>483716.54981726164</v>
      </c>
      <c r="K170" s="38"/>
    </row>
    <row r="171" spans="1:11" x14ac:dyDescent="0.25">
      <c r="A171" s="51">
        <f>'A) Base RI'!A173</f>
        <v>5680</v>
      </c>
      <c r="B171" s="321" t="str">
        <f>'A) Base RI'!B173</f>
        <v>Ogens</v>
      </c>
      <c r="C171" s="101">
        <f>'B) D RI'!U173</f>
        <v>7440.7528632478625</v>
      </c>
      <c r="D171" s="117">
        <f>'E) Fact soc'!G177/C171</f>
        <v>17.439358762091757</v>
      </c>
      <c r="E171" s="144">
        <f>'H) Péréquation directe'!I182/C171</f>
        <v>-5.5999738467429836</v>
      </c>
      <c r="F171" s="117">
        <f>+'I) Dépenses thématiques'!O171/'K) Plafonnement aide'!C171</f>
        <v>-2.1906569168494006</v>
      </c>
      <c r="G171" s="144">
        <f t="shared" si="9"/>
        <v>9.648727998499373</v>
      </c>
      <c r="H171" s="117">
        <f t="shared" si="10"/>
        <v>11.839384915348774</v>
      </c>
      <c r="I171" s="144">
        <f t="shared" si="11"/>
        <v>0</v>
      </c>
      <c r="J171" s="59">
        <f t="shared" si="8"/>
        <v>0</v>
      </c>
      <c r="K171" s="38"/>
    </row>
    <row r="172" spans="1:11" x14ac:dyDescent="0.25">
      <c r="A172" s="51">
        <f>'A) Base RI'!A174</f>
        <v>5683</v>
      </c>
      <c r="B172" s="321" t="str">
        <f>'A) Base RI'!B174</f>
        <v>Prévonloup</v>
      </c>
      <c r="C172" s="101">
        <f>'B) D RI'!U174</f>
        <v>3896.046081081081</v>
      </c>
      <c r="D172" s="117">
        <f>'E) Fact soc'!G178/C172</f>
        <v>18.21147593630225</v>
      </c>
      <c r="E172" s="144">
        <f>'H) Péréquation directe'!I183/C172</f>
        <v>-3.8226732197425322</v>
      </c>
      <c r="F172" s="117">
        <f>+'I) Dépenses thématiques'!O172/'K) Plafonnement aide'!C172</f>
        <v>-24.583787102598826</v>
      </c>
      <c r="G172" s="144">
        <f t="shared" si="9"/>
        <v>-10.194984386039108</v>
      </c>
      <c r="H172" s="117">
        <f t="shared" si="10"/>
        <v>14.388802716559718</v>
      </c>
      <c r="I172" s="144">
        <f t="shared" si="11"/>
        <v>0</v>
      </c>
      <c r="J172" s="59">
        <f t="shared" si="8"/>
        <v>0</v>
      </c>
      <c r="K172" s="38"/>
    </row>
    <row r="173" spans="1:11" x14ac:dyDescent="0.25">
      <c r="A173" s="51">
        <f>'A) Base RI'!A175</f>
        <v>5684</v>
      </c>
      <c r="B173" s="321" t="str">
        <f>'A) Base RI'!B175</f>
        <v>Rossenges</v>
      </c>
      <c r="C173" s="101">
        <f>'B) D RI'!U175</f>
        <v>2935.9523333333332</v>
      </c>
      <c r="D173" s="117">
        <f>'E) Fact soc'!G179/C173</f>
        <v>15.015158505543186</v>
      </c>
      <c r="E173" s="144">
        <f>'H) Péréquation directe'!I184/C173</f>
        <v>16.368124007548062</v>
      </c>
      <c r="F173" s="117">
        <f>+'I) Dépenses thématiques'!O173/'K) Plafonnement aide'!C173</f>
        <v>0</v>
      </c>
      <c r="G173" s="144">
        <f t="shared" si="9"/>
        <v>31.383282513091245</v>
      </c>
      <c r="H173" s="117">
        <f t="shared" si="10"/>
        <v>31.383282513091245</v>
      </c>
      <c r="I173" s="144">
        <f t="shared" si="11"/>
        <v>0</v>
      </c>
      <c r="J173" s="59">
        <f t="shared" si="8"/>
        <v>0</v>
      </c>
      <c r="K173" s="38"/>
    </row>
    <row r="174" spans="1:11" x14ac:dyDescent="0.25">
      <c r="A174" s="51">
        <f>'A) Base RI'!A176</f>
        <v>5688</v>
      </c>
      <c r="B174" s="321" t="str">
        <f>'A) Base RI'!B176</f>
        <v>Syens</v>
      </c>
      <c r="C174" s="101">
        <f>'B) D RI'!U176</f>
        <v>6288.5417989418002</v>
      </c>
      <c r="D174" s="117">
        <f>'E) Fact soc'!G180/C174</f>
        <v>17.470640315745733</v>
      </c>
      <c r="E174" s="144">
        <f>'H) Péréquation directe'!I185/C174</f>
        <v>14.578445197373453</v>
      </c>
      <c r="F174" s="117">
        <f>+'I) Dépenses thématiques'!O174/'K) Plafonnement aide'!C174</f>
        <v>-2.4937147818293641</v>
      </c>
      <c r="G174" s="144">
        <f t="shared" si="9"/>
        <v>29.555370731289823</v>
      </c>
      <c r="H174" s="117">
        <f t="shared" si="10"/>
        <v>32.049085513119188</v>
      </c>
      <c r="I174" s="144">
        <f t="shared" si="11"/>
        <v>0</v>
      </c>
      <c r="J174" s="59">
        <f t="shared" si="8"/>
        <v>0</v>
      </c>
      <c r="K174" s="38"/>
    </row>
    <row r="175" spans="1:11" x14ac:dyDescent="0.25">
      <c r="A175" s="51">
        <f>'A) Base RI'!A177</f>
        <v>5690</v>
      </c>
      <c r="B175" s="321" t="str">
        <f>'A) Base RI'!B177</f>
        <v>Villars-le-Comte</v>
      </c>
      <c r="C175" s="101">
        <f>'B) D RI'!U177</f>
        <v>3582.5831666666668</v>
      </c>
      <c r="D175" s="117">
        <f>'E) Fact soc'!G181/C175</f>
        <v>18.318864085953297</v>
      </c>
      <c r="E175" s="144">
        <f>'H) Péréquation directe'!I186/C175</f>
        <v>-0.51411824497213543</v>
      </c>
      <c r="F175" s="117">
        <f>+'I) Dépenses thématiques'!O175/'K) Plafonnement aide'!C175</f>
        <v>-0.89213913454019089</v>
      </c>
      <c r="G175" s="144">
        <f t="shared" si="9"/>
        <v>16.912606706440972</v>
      </c>
      <c r="H175" s="117">
        <f t="shared" si="10"/>
        <v>17.804745840981163</v>
      </c>
      <c r="I175" s="144">
        <f t="shared" si="11"/>
        <v>0</v>
      </c>
      <c r="J175" s="59">
        <f t="shared" si="8"/>
        <v>0</v>
      </c>
      <c r="K175" s="38"/>
    </row>
    <row r="176" spans="1:11" x14ac:dyDescent="0.25">
      <c r="A176" s="51">
        <f>'A) Base RI'!A178</f>
        <v>5692</v>
      </c>
      <c r="B176" s="321" t="str">
        <f>'A) Base RI'!B178</f>
        <v>Vucherens</v>
      </c>
      <c r="C176" s="101">
        <f>'B) D RI'!U178</f>
        <v>17338.328227848098</v>
      </c>
      <c r="D176" s="117">
        <f>'E) Fact soc'!G182/C176</f>
        <v>17.538746675348559</v>
      </c>
      <c r="E176" s="144">
        <f>'H) Péréquation directe'!I187/C176</f>
        <v>2.6234282938034346</v>
      </c>
      <c r="F176" s="117">
        <f>+'I) Dépenses thématiques'!O176/'K) Plafonnement aide'!C176</f>
        <v>-2.7176962519262426</v>
      </c>
      <c r="G176" s="144">
        <f t="shared" si="9"/>
        <v>17.444478717225753</v>
      </c>
      <c r="H176" s="117">
        <f t="shared" si="10"/>
        <v>20.162174969151994</v>
      </c>
      <c r="I176" s="144">
        <f t="shared" si="11"/>
        <v>0</v>
      </c>
      <c r="J176" s="59">
        <f t="shared" si="8"/>
        <v>0</v>
      </c>
      <c r="K176" s="38"/>
    </row>
    <row r="177" spans="1:11" x14ac:dyDescent="0.25">
      <c r="A177" s="51">
        <f>'A) Base RI'!A179</f>
        <v>5693</v>
      </c>
      <c r="B177" s="321" t="str">
        <f>'A) Base RI'!B179</f>
        <v>Montanaire</v>
      </c>
      <c r="C177" s="101">
        <f>'B) D RI'!U179</f>
        <v>71023.934305555566</v>
      </c>
      <c r="D177" s="117">
        <f>'E) Fact soc'!G183/C177</f>
        <v>18.231887446763341</v>
      </c>
      <c r="E177" s="144">
        <f>'H) Péréquation directe'!I188/C177</f>
        <v>-3.967744857361462</v>
      </c>
      <c r="F177" s="117">
        <f>+'I) Dépenses thématiques'!O177/'K) Plafonnement aide'!C177</f>
        <v>-5.7500957989401424</v>
      </c>
      <c r="G177" s="144">
        <f t="shared" si="9"/>
        <v>8.5140467904617374</v>
      </c>
      <c r="H177" s="117">
        <f t="shared" si="10"/>
        <v>14.26414258940188</v>
      </c>
      <c r="I177" s="144">
        <f t="shared" si="11"/>
        <v>0</v>
      </c>
      <c r="J177" s="59">
        <f t="shared" si="8"/>
        <v>0</v>
      </c>
      <c r="K177" s="38"/>
    </row>
    <row r="178" spans="1:11" x14ac:dyDescent="0.25">
      <c r="A178" s="51">
        <f>'A) Base RI'!A180</f>
        <v>5701</v>
      </c>
      <c r="B178" s="321" t="str">
        <f>'A) Base RI'!B180</f>
        <v>Arnex-sur-Nyon</v>
      </c>
      <c r="C178" s="101">
        <f>'B) D RI'!U180</f>
        <v>14557.077428571431</v>
      </c>
      <c r="D178" s="117">
        <f>'E) Fact soc'!G184/C178</f>
        <v>19.279079082714034</v>
      </c>
      <c r="E178" s="144">
        <f>'H) Péréquation directe'!I189/C178</f>
        <v>16.338993961455269</v>
      </c>
      <c r="F178" s="117">
        <f>+'I) Dépenses thématiques'!O178/'K) Plafonnement aide'!C178</f>
        <v>0</v>
      </c>
      <c r="G178" s="144">
        <f t="shared" si="9"/>
        <v>35.618073044169307</v>
      </c>
      <c r="H178" s="117">
        <f t="shared" si="10"/>
        <v>35.618073044169307</v>
      </c>
      <c r="I178" s="144">
        <f t="shared" si="11"/>
        <v>0</v>
      </c>
      <c r="J178" s="59">
        <f t="shared" si="8"/>
        <v>0</v>
      </c>
      <c r="K178" s="38"/>
    </row>
    <row r="179" spans="1:11" x14ac:dyDescent="0.25">
      <c r="A179" s="51">
        <f>'A) Base RI'!A181</f>
        <v>5702</v>
      </c>
      <c r="B179" s="321" t="str">
        <f>'A) Base RI'!B181</f>
        <v>Arzier-Le Muids</v>
      </c>
      <c r="C179" s="101">
        <f>'B) D RI'!U181</f>
        <v>156245.38328125002</v>
      </c>
      <c r="D179" s="117">
        <f>'E) Fact soc'!G185/C179</f>
        <v>19.876495465045618</v>
      </c>
      <c r="E179" s="144">
        <f>'H) Péréquation directe'!I190/C179</f>
        <v>13.951293176188242</v>
      </c>
      <c r="F179" s="117">
        <f>+'I) Dépenses thématiques'!O179/'K) Plafonnement aide'!C179</f>
        <v>-1.8506264830522958</v>
      </c>
      <c r="G179" s="144">
        <f t="shared" si="9"/>
        <v>31.977162158181564</v>
      </c>
      <c r="H179" s="117">
        <f t="shared" si="10"/>
        <v>33.827788641233859</v>
      </c>
      <c r="I179" s="144">
        <f t="shared" si="11"/>
        <v>0</v>
      </c>
      <c r="J179" s="59">
        <f t="shared" si="8"/>
        <v>0</v>
      </c>
      <c r="K179" s="38"/>
    </row>
    <row r="180" spans="1:11" x14ac:dyDescent="0.25">
      <c r="A180" s="51">
        <f>'A) Base RI'!A182</f>
        <v>5703</v>
      </c>
      <c r="B180" s="321" t="str">
        <f>'A) Base RI'!B182</f>
        <v>Bassins</v>
      </c>
      <c r="C180" s="101">
        <f>'B) D RI'!U182</f>
        <v>56627.812818532817</v>
      </c>
      <c r="D180" s="117">
        <f>'E) Fact soc'!G186/C180</f>
        <v>18.779540165190038</v>
      </c>
      <c r="E180" s="144">
        <f>'H) Péréquation directe'!I191/C180</f>
        <v>12.991115784909571</v>
      </c>
      <c r="F180" s="117">
        <f>+'I) Dépenses thématiques'!O180/'K) Plafonnement aide'!C180</f>
        <v>-3.8774530097754667</v>
      </c>
      <c r="G180" s="144">
        <f t="shared" si="9"/>
        <v>27.893202940324144</v>
      </c>
      <c r="H180" s="117">
        <f t="shared" si="10"/>
        <v>31.770655950099609</v>
      </c>
      <c r="I180" s="144">
        <f t="shared" si="11"/>
        <v>0</v>
      </c>
      <c r="J180" s="59">
        <f t="shared" si="8"/>
        <v>0</v>
      </c>
      <c r="K180" s="38"/>
    </row>
    <row r="181" spans="1:11" x14ac:dyDescent="0.25">
      <c r="A181" s="51">
        <f>'A) Base RI'!A183</f>
        <v>5704</v>
      </c>
      <c r="B181" s="321" t="str">
        <f>'A) Base RI'!B183</f>
        <v>Begnins</v>
      </c>
      <c r="C181" s="101">
        <f>'B) D RI'!U183</f>
        <v>128280.7823880597</v>
      </c>
      <c r="D181" s="117">
        <f>'E) Fact soc'!G187/C181</f>
        <v>22.133337501456076</v>
      </c>
      <c r="E181" s="144">
        <f>'H) Péréquation directe'!I192/C181</f>
        <v>14.516420402862455</v>
      </c>
      <c r="F181" s="117">
        <f>+'I) Dépenses thématiques'!O181/'K) Plafonnement aide'!C181</f>
        <v>0</v>
      </c>
      <c r="G181" s="144">
        <f t="shared" si="9"/>
        <v>36.649757904318534</v>
      </c>
      <c r="H181" s="117">
        <f t="shared" si="10"/>
        <v>36.649757904318534</v>
      </c>
      <c r="I181" s="144">
        <f t="shared" si="11"/>
        <v>0</v>
      </c>
      <c r="J181" s="59">
        <f t="shared" si="8"/>
        <v>0</v>
      </c>
      <c r="K181" s="38"/>
    </row>
    <row r="182" spans="1:11" x14ac:dyDescent="0.25">
      <c r="A182" s="51">
        <f>'A) Base RI'!A184</f>
        <v>5705</v>
      </c>
      <c r="B182" s="321" t="str">
        <f>'A) Base RI'!B184</f>
        <v>Bogis-Bossey</v>
      </c>
      <c r="C182" s="101">
        <f>'B) D RI'!U184</f>
        <v>55070.038857142863</v>
      </c>
      <c r="D182" s="117">
        <f>'E) Fact soc'!G188/C182</f>
        <v>19.010938329528177</v>
      </c>
      <c r="E182" s="144">
        <f>'H) Péréquation directe'!I193/C182</f>
        <v>16.456146743827677</v>
      </c>
      <c r="F182" s="117">
        <f>+'I) Dépenses thématiques'!O182/'K) Plafonnement aide'!C182</f>
        <v>0</v>
      </c>
      <c r="G182" s="144">
        <f t="shared" si="9"/>
        <v>35.467085073355854</v>
      </c>
      <c r="H182" s="117">
        <f t="shared" si="10"/>
        <v>35.467085073355854</v>
      </c>
      <c r="I182" s="144">
        <f t="shared" si="11"/>
        <v>0</v>
      </c>
      <c r="J182" s="59">
        <f t="shared" si="8"/>
        <v>0</v>
      </c>
      <c r="K182" s="38"/>
    </row>
    <row r="183" spans="1:11" x14ac:dyDescent="0.25">
      <c r="A183" s="51">
        <f>'A) Base RI'!A185</f>
        <v>5706</v>
      </c>
      <c r="B183" s="321" t="str">
        <f>'A) Base RI'!B185</f>
        <v>Borex</v>
      </c>
      <c r="C183" s="101">
        <f>'B) D RI'!U185</f>
        <v>71838.84494252874</v>
      </c>
      <c r="D183" s="117">
        <f>'E) Fact soc'!G189/C183</f>
        <v>19.771642959620166</v>
      </c>
      <c r="E183" s="144">
        <f>'H) Péréquation directe'!I194/C183</f>
        <v>15.946309212474008</v>
      </c>
      <c r="F183" s="117">
        <f>+'I) Dépenses thématiques'!O183/'K) Plafonnement aide'!C183</f>
        <v>0</v>
      </c>
      <c r="G183" s="144">
        <f t="shared" si="9"/>
        <v>35.717952172094172</v>
      </c>
      <c r="H183" s="117">
        <f t="shared" si="10"/>
        <v>35.717952172094172</v>
      </c>
      <c r="I183" s="144">
        <f t="shared" si="11"/>
        <v>0</v>
      </c>
      <c r="J183" s="59">
        <f t="shared" si="8"/>
        <v>0</v>
      </c>
      <c r="K183" s="38"/>
    </row>
    <row r="184" spans="1:11" x14ac:dyDescent="0.25">
      <c r="A184" s="51">
        <f>'A) Base RI'!A186</f>
        <v>5707</v>
      </c>
      <c r="B184" s="321" t="str">
        <f>'A) Base RI'!B186</f>
        <v>Chavannes-de-Bogis</v>
      </c>
      <c r="C184" s="101">
        <f>'B) D RI'!U186</f>
        <v>85072.573841807927</v>
      </c>
      <c r="D184" s="117">
        <f>'E) Fact soc'!G190/C184</f>
        <v>21.381508559173557</v>
      </c>
      <c r="E184" s="144">
        <f>'H) Péréquation directe'!I195/C184</f>
        <v>15.465350071511551</v>
      </c>
      <c r="F184" s="117">
        <f>+'I) Dépenses thématiques'!O184/'K) Plafonnement aide'!C184</f>
        <v>0</v>
      </c>
      <c r="G184" s="144">
        <f t="shared" si="9"/>
        <v>36.846858630685105</v>
      </c>
      <c r="H184" s="117">
        <f t="shared" si="10"/>
        <v>36.846858630685105</v>
      </c>
      <c r="I184" s="144">
        <f t="shared" si="11"/>
        <v>0</v>
      </c>
      <c r="J184" s="59">
        <f t="shared" si="8"/>
        <v>0</v>
      </c>
      <c r="K184" s="38"/>
    </row>
    <row r="185" spans="1:11" x14ac:dyDescent="0.25">
      <c r="A185" s="51">
        <f>'A) Base RI'!A187</f>
        <v>5708</v>
      </c>
      <c r="B185" s="321" t="str">
        <f>'A) Base RI'!B187</f>
        <v>Chavannes-des-Bois</v>
      </c>
      <c r="C185" s="101">
        <f>'B) D RI'!U187</f>
        <v>57314.783389830503</v>
      </c>
      <c r="D185" s="117">
        <f>'E) Fact soc'!G191/C185</f>
        <v>17.397060759160659</v>
      </c>
      <c r="E185" s="144">
        <f>'H) Péréquation directe'!I196/C185</f>
        <v>16.48725074806724</v>
      </c>
      <c r="F185" s="117">
        <f>+'I) Dépenses thématiques'!O185/'K) Plafonnement aide'!C185</f>
        <v>0</v>
      </c>
      <c r="G185" s="144">
        <f t="shared" si="9"/>
        <v>33.884311507227899</v>
      </c>
      <c r="H185" s="117">
        <f t="shared" si="10"/>
        <v>33.884311507227899</v>
      </c>
      <c r="I185" s="144">
        <f t="shared" si="11"/>
        <v>0</v>
      </c>
      <c r="J185" s="59">
        <f t="shared" si="8"/>
        <v>0</v>
      </c>
      <c r="K185" s="38"/>
    </row>
    <row r="186" spans="1:11" x14ac:dyDescent="0.25">
      <c r="A186" s="51">
        <f>'A) Base RI'!A188</f>
        <v>5709</v>
      </c>
      <c r="B186" s="321" t="str">
        <f>'A) Base RI'!B188</f>
        <v>Chéserex</v>
      </c>
      <c r="C186" s="101">
        <f>'B) D RI'!U188</f>
        <v>72047.552456140344</v>
      </c>
      <c r="D186" s="117">
        <f>'E) Fact soc'!G192/C186</f>
        <v>27.714176460308849</v>
      </c>
      <c r="E186" s="144">
        <f>'H) Péréquation directe'!I197/C186</f>
        <v>15.804965861068974</v>
      </c>
      <c r="F186" s="117">
        <f>+'I) Dépenses thématiques'!O186/'K) Plafonnement aide'!C186</f>
        <v>0</v>
      </c>
      <c r="G186" s="144">
        <f t="shared" si="9"/>
        <v>43.519142321377821</v>
      </c>
      <c r="H186" s="117">
        <f t="shared" si="10"/>
        <v>43.519142321377821</v>
      </c>
      <c r="I186" s="144">
        <f t="shared" si="11"/>
        <v>0</v>
      </c>
      <c r="J186" s="59">
        <f t="shared" si="8"/>
        <v>0</v>
      </c>
      <c r="K186" s="38"/>
    </row>
    <row r="187" spans="1:11" x14ac:dyDescent="0.25">
      <c r="A187" s="51">
        <f>'A) Base RI'!A189</f>
        <v>5710</v>
      </c>
      <c r="B187" s="321" t="str">
        <f>'A) Base RI'!B189</f>
        <v>Coinsins</v>
      </c>
      <c r="C187" s="101">
        <f>'B) D RI'!U189</f>
        <v>82032.182941176477</v>
      </c>
      <c r="D187" s="117">
        <f>'E) Fact soc'!G193/C187</f>
        <v>31.109706660178038</v>
      </c>
      <c r="E187" s="144">
        <f>'H) Péréquation directe'!I198/C187</f>
        <v>13.524542268860689</v>
      </c>
      <c r="F187" s="117">
        <f>+'I) Dépenses thématiques'!O187/'K) Plafonnement aide'!C187</f>
        <v>0</v>
      </c>
      <c r="G187" s="144">
        <f t="shared" si="9"/>
        <v>44.634248929038726</v>
      </c>
      <c r="H187" s="117">
        <f t="shared" si="10"/>
        <v>44.634248929038726</v>
      </c>
      <c r="I187" s="144">
        <f t="shared" si="11"/>
        <v>0</v>
      </c>
      <c r="J187" s="59">
        <f t="shared" si="8"/>
        <v>0</v>
      </c>
      <c r="K187" s="38"/>
    </row>
    <row r="188" spans="1:11" x14ac:dyDescent="0.25">
      <c r="A188" s="51">
        <f>'A) Base RI'!A190</f>
        <v>5711</v>
      </c>
      <c r="B188" s="321" t="str">
        <f>'A) Base RI'!B190</f>
        <v>Commugny</v>
      </c>
      <c r="C188" s="101">
        <f>'B) D RI'!U190</f>
        <v>253155.78673414301</v>
      </c>
      <c r="D188" s="117">
        <f>'E) Fact soc'!G194/C188</f>
        <v>24.519555314877277</v>
      </c>
      <c r="E188" s="144">
        <f>'H) Péréquation directe'!I199/C188</f>
        <v>13.68662806613152</v>
      </c>
      <c r="F188" s="117">
        <f>+'I) Dépenses thématiques'!O188/'K) Plafonnement aide'!C188</f>
        <v>0</v>
      </c>
      <c r="G188" s="144">
        <f t="shared" si="9"/>
        <v>38.206183381008799</v>
      </c>
      <c r="H188" s="117">
        <f t="shared" si="10"/>
        <v>38.206183381008799</v>
      </c>
      <c r="I188" s="144">
        <f t="shared" si="11"/>
        <v>0</v>
      </c>
      <c r="J188" s="59">
        <f t="shared" si="8"/>
        <v>0</v>
      </c>
      <c r="K188" s="38"/>
    </row>
    <row r="189" spans="1:11" x14ac:dyDescent="0.25">
      <c r="A189" s="51">
        <f>'A) Base RI'!A191</f>
        <v>5712</v>
      </c>
      <c r="B189" s="321" t="str">
        <f>'A) Base RI'!B191</f>
        <v>Coppet</v>
      </c>
      <c r="C189" s="101">
        <f>'B) D RI'!U191</f>
        <v>325753.23345911951</v>
      </c>
      <c r="D189" s="117">
        <f>'E) Fact soc'!G195/C189</f>
        <v>27.683983034159191</v>
      </c>
      <c r="E189" s="144">
        <f>'H) Péréquation directe'!I200/C189</f>
        <v>13.315556484853939</v>
      </c>
      <c r="F189" s="117">
        <f>+'I) Dépenses thématiques'!O189/'K) Plafonnement aide'!C189</f>
        <v>0</v>
      </c>
      <c r="G189" s="144">
        <f t="shared" si="9"/>
        <v>40.999539519013126</v>
      </c>
      <c r="H189" s="117">
        <f t="shared" si="10"/>
        <v>40.999539519013126</v>
      </c>
      <c r="I189" s="144">
        <f t="shared" si="11"/>
        <v>0</v>
      </c>
      <c r="J189" s="59">
        <f t="shared" si="8"/>
        <v>0</v>
      </c>
      <c r="K189" s="38"/>
    </row>
    <row r="190" spans="1:11" x14ac:dyDescent="0.25">
      <c r="A190" s="51">
        <f>'A) Base RI'!A192</f>
        <v>5713</v>
      </c>
      <c r="B190" s="321" t="str">
        <f>'A) Base RI'!B192</f>
        <v>Crans-près-Céligny</v>
      </c>
      <c r="C190" s="101">
        <f>'B) D RI'!U192</f>
        <v>239255.01584905662</v>
      </c>
      <c r="D190" s="117">
        <f>'E) Fact soc'!G196/C190</f>
        <v>27.067101766287006</v>
      </c>
      <c r="E190" s="144">
        <f>'H) Péréquation directe'!I201/C190</f>
        <v>13.602106944249346</v>
      </c>
      <c r="F190" s="117">
        <f>+'I) Dépenses thématiques'!O190/'K) Plafonnement aide'!C190</f>
        <v>0</v>
      </c>
      <c r="G190" s="144">
        <f t="shared" si="9"/>
        <v>40.669208710536353</v>
      </c>
      <c r="H190" s="117">
        <f t="shared" si="10"/>
        <v>40.669208710536353</v>
      </c>
      <c r="I190" s="144">
        <f t="shared" si="11"/>
        <v>0</v>
      </c>
      <c r="J190" s="59">
        <f t="shared" si="8"/>
        <v>0</v>
      </c>
      <c r="K190" s="38"/>
    </row>
    <row r="191" spans="1:11" x14ac:dyDescent="0.25">
      <c r="A191" s="51">
        <f>'A) Base RI'!A193</f>
        <v>5714</v>
      </c>
      <c r="B191" s="321" t="str">
        <f>'A) Base RI'!B193</f>
        <v>Crassier</v>
      </c>
      <c r="C191" s="101">
        <f>'B) D RI'!U193</f>
        <v>82327.162031250002</v>
      </c>
      <c r="D191" s="117">
        <f>'E) Fact soc'!G197/C191</f>
        <v>22.330532902884848</v>
      </c>
      <c r="E191" s="144">
        <f>'H) Péréquation directe'!I202/C191</f>
        <v>15.648959014701708</v>
      </c>
      <c r="F191" s="117">
        <f>+'I) Dépenses thématiques'!O191/'K) Plafonnement aide'!C191</f>
        <v>0</v>
      </c>
      <c r="G191" s="144">
        <f t="shared" si="9"/>
        <v>37.979491917586557</v>
      </c>
      <c r="H191" s="117">
        <f t="shared" si="10"/>
        <v>37.979491917586557</v>
      </c>
      <c r="I191" s="144">
        <f t="shared" si="11"/>
        <v>0</v>
      </c>
      <c r="J191" s="59">
        <f t="shared" si="8"/>
        <v>0</v>
      </c>
      <c r="K191" s="38"/>
    </row>
    <row r="192" spans="1:11" x14ac:dyDescent="0.25">
      <c r="A192" s="51">
        <f>'A) Base RI'!A194</f>
        <v>5715</v>
      </c>
      <c r="B192" s="321" t="str">
        <f>'A) Base RI'!B194</f>
        <v>Duillier</v>
      </c>
      <c r="C192" s="101">
        <f>'B) D RI'!U194</f>
        <v>59384.712424242425</v>
      </c>
      <c r="D192" s="117">
        <f>'E) Fact soc'!G198/C192</f>
        <v>16.255081829141552</v>
      </c>
      <c r="E192" s="144">
        <f>'H) Péréquation directe'!I203/C192</f>
        <v>16.370259963938658</v>
      </c>
      <c r="F192" s="117">
        <f>+'I) Dépenses thématiques'!O192/'K) Plafonnement aide'!C192</f>
        <v>0</v>
      </c>
      <c r="G192" s="144">
        <f t="shared" si="9"/>
        <v>32.62534179308021</v>
      </c>
      <c r="H192" s="117">
        <f t="shared" si="10"/>
        <v>32.62534179308021</v>
      </c>
      <c r="I192" s="144">
        <f t="shared" si="11"/>
        <v>0</v>
      </c>
      <c r="J192" s="59">
        <f t="shared" si="8"/>
        <v>0</v>
      </c>
      <c r="K192" s="38"/>
    </row>
    <row r="193" spans="1:11" x14ac:dyDescent="0.25">
      <c r="A193" s="51">
        <f>'A) Base RI'!A195</f>
        <v>5716</v>
      </c>
      <c r="B193" s="321" t="str">
        <f>'A) Base RI'!B195</f>
        <v>Eysins</v>
      </c>
      <c r="C193" s="101">
        <f>'B) D RI'!U195</f>
        <v>136046.47409836066</v>
      </c>
      <c r="D193" s="117">
        <f>'E) Fact soc'!G199/C193</f>
        <v>25.86254329634432</v>
      </c>
      <c r="E193" s="144">
        <f>'H) Péréquation directe'!I204/C193</f>
        <v>14.515555651079611</v>
      </c>
      <c r="F193" s="117">
        <f>+'I) Dépenses thématiques'!O193/'K) Plafonnement aide'!C193</f>
        <v>0</v>
      </c>
      <c r="G193" s="144">
        <f t="shared" si="9"/>
        <v>40.378098947423929</v>
      </c>
      <c r="H193" s="117">
        <f t="shared" si="10"/>
        <v>40.378098947423929</v>
      </c>
      <c r="I193" s="144">
        <f t="shared" si="11"/>
        <v>0</v>
      </c>
      <c r="J193" s="59">
        <f t="shared" si="8"/>
        <v>0</v>
      </c>
      <c r="K193" s="38"/>
    </row>
    <row r="194" spans="1:11" x14ac:dyDescent="0.25">
      <c r="A194" s="51">
        <f>'A) Base RI'!A196</f>
        <v>5717</v>
      </c>
      <c r="B194" s="321" t="str">
        <f>'A) Base RI'!B196</f>
        <v>Founex</v>
      </c>
      <c r="C194" s="101">
        <f>'B) D RI'!U196</f>
        <v>342145.93614035088</v>
      </c>
      <c r="D194" s="117">
        <f>'E) Fact soc'!G200/C194</f>
        <v>25.9589842020549</v>
      </c>
      <c r="E194" s="144">
        <f>'H) Péréquation directe'!I205/C194</f>
        <v>13.096395273879196</v>
      </c>
      <c r="F194" s="117">
        <f>+'I) Dépenses thématiques'!O194/'K) Plafonnement aide'!C194</f>
        <v>0</v>
      </c>
      <c r="G194" s="144">
        <f t="shared" si="9"/>
        <v>39.055379475934096</v>
      </c>
      <c r="H194" s="117">
        <f t="shared" si="10"/>
        <v>39.055379475934096</v>
      </c>
      <c r="I194" s="144">
        <f t="shared" si="11"/>
        <v>0</v>
      </c>
      <c r="J194" s="59">
        <f t="shared" si="8"/>
        <v>0</v>
      </c>
      <c r="K194" s="38"/>
    </row>
    <row r="195" spans="1:11" x14ac:dyDescent="0.25">
      <c r="A195" s="51">
        <f>'A) Base RI'!A197</f>
        <v>5718</v>
      </c>
      <c r="B195" s="321" t="str">
        <f>'A) Base RI'!B197</f>
        <v>Genolier</v>
      </c>
      <c r="C195" s="101">
        <f>'B) D RI'!U197</f>
        <v>180573.80690909096</v>
      </c>
      <c r="D195" s="117">
        <f>'E) Fact soc'!G201/C195</f>
        <v>25.539776159725495</v>
      </c>
      <c r="E195" s="144">
        <f>'H) Péréquation directe'!I206/C195</f>
        <v>14.086688561932359</v>
      </c>
      <c r="F195" s="117">
        <f>+'I) Dépenses thématiques'!O195/'K) Plafonnement aide'!C195</f>
        <v>0</v>
      </c>
      <c r="G195" s="144">
        <f t="shared" si="9"/>
        <v>39.626464721657854</v>
      </c>
      <c r="H195" s="117">
        <f t="shared" si="10"/>
        <v>39.626464721657854</v>
      </c>
      <c r="I195" s="144">
        <f t="shared" si="11"/>
        <v>0</v>
      </c>
      <c r="J195" s="59">
        <f t="shared" si="8"/>
        <v>0</v>
      </c>
      <c r="K195" s="38"/>
    </row>
    <row r="196" spans="1:11" x14ac:dyDescent="0.25">
      <c r="A196" s="51">
        <f>'A) Base RI'!A198</f>
        <v>5719</v>
      </c>
      <c r="B196" s="321" t="str">
        <f>'A) Base RI'!B198</f>
        <v>Gingins</v>
      </c>
      <c r="C196" s="101">
        <f>'B) D RI'!U198</f>
        <v>131481.24994152045</v>
      </c>
      <c r="D196" s="117">
        <f>'E) Fact soc'!G202/C196</f>
        <v>28.640045757542445</v>
      </c>
      <c r="E196" s="144">
        <f>'H) Péréquation directe'!I207/C196</f>
        <v>14.458877539970045</v>
      </c>
      <c r="F196" s="117">
        <f>+'I) Dépenses thématiques'!O196/'K) Plafonnement aide'!C196</f>
        <v>0</v>
      </c>
      <c r="G196" s="144">
        <f t="shared" si="9"/>
        <v>43.098923297512492</v>
      </c>
      <c r="H196" s="117">
        <f t="shared" si="10"/>
        <v>43.098923297512492</v>
      </c>
      <c r="I196" s="144">
        <f t="shared" si="11"/>
        <v>0</v>
      </c>
      <c r="J196" s="59">
        <f t="shared" si="8"/>
        <v>0</v>
      </c>
      <c r="K196" s="38"/>
    </row>
    <row r="197" spans="1:11" x14ac:dyDescent="0.25">
      <c r="A197" s="51">
        <f>'A) Base RI'!A199</f>
        <v>5720</v>
      </c>
      <c r="B197" s="321" t="str">
        <f>'A) Base RI'!B199</f>
        <v>Givrins</v>
      </c>
      <c r="C197" s="101">
        <f>'B) D RI'!U199</f>
        <v>72468.135774134775</v>
      </c>
      <c r="D197" s="117">
        <f>'E) Fact soc'!G203/C197</f>
        <v>20.712326699426175</v>
      </c>
      <c r="E197" s="144">
        <f>'H) Péréquation directe'!I208/C197</f>
        <v>16.048268112586861</v>
      </c>
      <c r="F197" s="117">
        <f>+'I) Dépenses thématiques'!O197/'K) Plafonnement aide'!C197</f>
        <v>-0.61574688919774612</v>
      </c>
      <c r="G197" s="144">
        <f t="shared" si="9"/>
        <v>36.144847922815295</v>
      </c>
      <c r="H197" s="117">
        <f t="shared" si="10"/>
        <v>36.760594812013039</v>
      </c>
      <c r="I197" s="144">
        <f t="shared" si="11"/>
        <v>0</v>
      </c>
      <c r="J197" s="59">
        <f t="shared" ref="J197:J260" si="12">-I197*C197</f>
        <v>0</v>
      </c>
      <c r="K197" s="38"/>
    </row>
    <row r="198" spans="1:11" x14ac:dyDescent="0.25">
      <c r="A198" s="51">
        <f>'A) Base RI'!A200</f>
        <v>5721</v>
      </c>
      <c r="B198" s="321" t="str">
        <f>'A) Base RI'!B200</f>
        <v>Gland</v>
      </c>
      <c r="C198" s="101">
        <f>'B) D RI'!U200</f>
        <v>601947.88112000003</v>
      </c>
      <c r="D198" s="117">
        <f>'E) Fact soc'!G204/C198</f>
        <v>21.505560577780319</v>
      </c>
      <c r="E198" s="144">
        <f>'H) Péréquation directe'!I209/C198</f>
        <v>5.6356538055827654</v>
      </c>
      <c r="F198" s="117">
        <f>+'I) Dépenses thématiques'!O198/'K) Plafonnement aide'!C198</f>
        <v>0</v>
      </c>
      <c r="G198" s="144">
        <f t="shared" ref="G198:G261" si="13">SUM(D198:F198)</f>
        <v>27.141214383363085</v>
      </c>
      <c r="H198" s="117">
        <f t="shared" ref="H198:H261" si="14">G198-F198</f>
        <v>27.141214383363085</v>
      </c>
      <c r="I198" s="144">
        <f t="shared" ref="I198:I261" si="15">IF(H198&lt;I$4,H198-I$4,0)</f>
        <v>0</v>
      </c>
      <c r="J198" s="59">
        <f t="shared" si="12"/>
        <v>0</v>
      </c>
      <c r="K198" s="38"/>
    </row>
    <row r="199" spans="1:11" x14ac:dyDescent="0.25">
      <c r="A199" s="51">
        <f>'A) Base RI'!A201</f>
        <v>5722</v>
      </c>
      <c r="B199" s="321" t="str">
        <f>'A) Base RI'!B201</f>
        <v>Grens</v>
      </c>
      <c r="C199" s="101">
        <f>'B) D RI'!U201</f>
        <v>25305.525322580648</v>
      </c>
      <c r="D199" s="117">
        <f>'E) Fact soc'!G205/C199</f>
        <v>19.05310869892843</v>
      </c>
      <c r="E199" s="144">
        <f>'H) Péréquation directe'!I210/C199</f>
        <v>16.297653302953268</v>
      </c>
      <c r="F199" s="117">
        <f>+'I) Dépenses thématiques'!O199/'K) Plafonnement aide'!C199</f>
        <v>0</v>
      </c>
      <c r="G199" s="144">
        <f t="shared" si="13"/>
        <v>35.350762001881698</v>
      </c>
      <c r="H199" s="117">
        <f t="shared" si="14"/>
        <v>35.350762001881698</v>
      </c>
      <c r="I199" s="144">
        <f t="shared" si="15"/>
        <v>0</v>
      </c>
      <c r="J199" s="59">
        <f t="shared" si="12"/>
        <v>0</v>
      </c>
      <c r="K199" s="38"/>
    </row>
    <row r="200" spans="1:11" x14ac:dyDescent="0.25">
      <c r="A200" s="51">
        <f>'A) Base RI'!A202</f>
        <v>5723</v>
      </c>
      <c r="B200" s="321" t="str">
        <f>'A) Base RI'!B202</f>
        <v>Mies</v>
      </c>
      <c r="C200" s="101">
        <f>'B) D RI'!U202</f>
        <v>444775.70673469378</v>
      </c>
      <c r="D200" s="117">
        <f>'E) Fact soc'!G206/C200</f>
        <v>34.161787087444949</v>
      </c>
      <c r="E200" s="144">
        <f>'H) Péréquation directe'!I211/C200</f>
        <v>12.28457093178452</v>
      </c>
      <c r="F200" s="117">
        <f>+'I) Dépenses thématiques'!O200/'K) Plafonnement aide'!C200</f>
        <v>0</v>
      </c>
      <c r="G200" s="144">
        <f t="shared" si="13"/>
        <v>46.446358019229471</v>
      </c>
      <c r="H200" s="117">
        <f t="shared" si="14"/>
        <v>46.446358019229471</v>
      </c>
      <c r="I200" s="144">
        <f t="shared" si="15"/>
        <v>0</v>
      </c>
      <c r="J200" s="59">
        <f t="shared" si="12"/>
        <v>0</v>
      </c>
      <c r="K200" s="38"/>
    </row>
    <row r="201" spans="1:11" x14ac:dyDescent="0.25">
      <c r="A201" s="51">
        <f>'A) Base RI'!A203</f>
        <v>5724</v>
      </c>
      <c r="B201" s="321" t="str">
        <f>'A) Base RI'!B203</f>
        <v>Nyon</v>
      </c>
      <c r="C201" s="101">
        <f>'B) D RI'!U203</f>
        <v>1315531.3963430012</v>
      </c>
      <c r="D201" s="117">
        <f>'E) Fact soc'!G207/C201</f>
        <v>21.864946029397466</v>
      </c>
      <c r="E201" s="144">
        <f>'H) Péréquation directe'!I212/C201</f>
        <v>6.2163833320634545</v>
      </c>
      <c r="F201" s="117">
        <f>+'I) Dépenses thématiques'!O201/'K) Plafonnement aide'!C201</f>
        <v>-0.41500269743510693</v>
      </c>
      <c r="G201" s="144">
        <f t="shared" si="13"/>
        <v>27.666326664025814</v>
      </c>
      <c r="H201" s="117">
        <f t="shared" si="14"/>
        <v>28.08132936146092</v>
      </c>
      <c r="I201" s="144">
        <f t="shared" si="15"/>
        <v>0</v>
      </c>
      <c r="J201" s="59">
        <f t="shared" si="12"/>
        <v>0</v>
      </c>
      <c r="K201" s="38"/>
    </row>
    <row r="202" spans="1:11" x14ac:dyDescent="0.25">
      <c r="A202" s="51">
        <f>'A) Base RI'!A204</f>
        <v>5725</v>
      </c>
      <c r="B202" s="321" t="str">
        <f>'A) Base RI'!B204</f>
        <v>Prangins</v>
      </c>
      <c r="C202" s="101">
        <f>'B) D RI'!U204</f>
        <v>298233.5752040816</v>
      </c>
      <c r="D202" s="117">
        <f>'E) Fact soc'!G208/C202</f>
        <v>22.071574418712796</v>
      </c>
      <c r="E202" s="144">
        <f>'H) Péréquation directe'!I213/C202</f>
        <v>12.956047094741781</v>
      </c>
      <c r="F202" s="117">
        <f>+'I) Dépenses thématiques'!O202/'K) Plafonnement aide'!C202</f>
        <v>0</v>
      </c>
      <c r="G202" s="144">
        <f t="shared" si="13"/>
        <v>35.027621513454577</v>
      </c>
      <c r="H202" s="117">
        <f t="shared" si="14"/>
        <v>35.027621513454577</v>
      </c>
      <c r="I202" s="144">
        <f t="shared" si="15"/>
        <v>0</v>
      </c>
      <c r="J202" s="59">
        <f t="shared" si="12"/>
        <v>0</v>
      </c>
      <c r="K202" s="38"/>
    </row>
    <row r="203" spans="1:11" x14ac:dyDescent="0.25">
      <c r="A203" s="51">
        <f>'A) Base RI'!A205</f>
        <v>5726</v>
      </c>
      <c r="B203" s="321" t="str">
        <f>'A) Base RI'!B205</f>
        <v>La Rippe</v>
      </c>
      <c r="C203" s="101">
        <f>'B) D RI'!U205</f>
        <v>56867.973846153851</v>
      </c>
      <c r="D203" s="117">
        <f>'E) Fact soc'!G209/C203</f>
        <v>18.051239858944122</v>
      </c>
      <c r="E203" s="144">
        <f>'H) Péréquation directe'!I214/C203</f>
        <v>15.753630048882055</v>
      </c>
      <c r="F203" s="117">
        <f>+'I) Dépenses thématiques'!O203/'K) Plafonnement aide'!C203</f>
        <v>0</v>
      </c>
      <c r="G203" s="144">
        <f t="shared" si="13"/>
        <v>33.804869907826173</v>
      </c>
      <c r="H203" s="117">
        <f t="shared" si="14"/>
        <v>33.804869907826173</v>
      </c>
      <c r="I203" s="144">
        <f t="shared" si="15"/>
        <v>0</v>
      </c>
      <c r="J203" s="59">
        <f t="shared" si="12"/>
        <v>0</v>
      </c>
      <c r="K203" s="38"/>
    </row>
    <row r="204" spans="1:11" x14ac:dyDescent="0.25">
      <c r="A204" s="51">
        <f>'A) Base RI'!A206</f>
        <v>5727</v>
      </c>
      <c r="B204" s="321" t="str">
        <f>'A) Base RI'!B206</f>
        <v>Saint-Cergue</v>
      </c>
      <c r="C204" s="101">
        <f>'B) D RI'!U206</f>
        <v>100488.23186868687</v>
      </c>
      <c r="D204" s="117">
        <f>'E) Fact soc'!G210/C204</f>
        <v>18.405618300330016</v>
      </c>
      <c r="E204" s="144">
        <f>'H) Péréquation directe'!I215/C204</f>
        <v>9.7073142987421104</v>
      </c>
      <c r="F204" s="117">
        <f>+'I) Dépenses thématiques'!O204/'K) Plafonnement aide'!C204</f>
        <v>-2.6658386151481146</v>
      </c>
      <c r="G204" s="144">
        <f t="shared" si="13"/>
        <v>25.44709398392401</v>
      </c>
      <c r="H204" s="117">
        <f t="shared" si="14"/>
        <v>28.112932599072124</v>
      </c>
      <c r="I204" s="144">
        <f t="shared" si="15"/>
        <v>0</v>
      </c>
      <c r="J204" s="59">
        <f t="shared" si="12"/>
        <v>0</v>
      </c>
      <c r="K204" s="38"/>
    </row>
    <row r="205" spans="1:11" x14ac:dyDescent="0.25">
      <c r="A205" s="51">
        <f>'A) Base RI'!A207</f>
        <v>5728</v>
      </c>
      <c r="B205" s="321" t="str">
        <f>'A) Base RI'!B207</f>
        <v>Signy-Avenex</v>
      </c>
      <c r="C205" s="101">
        <f>'B) D RI'!U207</f>
        <v>39144.261206896554</v>
      </c>
      <c r="D205" s="117">
        <f>'E) Fact soc'!G211/C205</f>
        <v>22.117830949636797</v>
      </c>
      <c r="E205" s="144">
        <f>'H) Péréquation directe'!I216/C205</f>
        <v>16.211256196131984</v>
      </c>
      <c r="F205" s="117">
        <f>+'I) Dépenses thématiques'!O205/'K) Plafonnement aide'!C205</f>
        <v>0</v>
      </c>
      <c r="G205" s="144">
        <f t="shared" si="13"/>
        <v>38.329087145768781</v>
      </c>
      <c r="H205" s="117">
        <f t="shared" si="14"/>
        <v>38.329087145768781</v>
      </c>
      <c r="I205" s="144">
        <f t="shared" si="15"/>
        <v>0</v>
      </c>
      <c r="J205" s="59">
        <f t="shared" si="12"/>
        <v>0</v>
      </c>
      <c r="K205" s="38"/>
    </row>
    <row r="206" spans="1:11" x14ac:dyDescent="0.25">
      <c r="A206" s="51">
        <f>'A) Base RI'!A208</f>
        <v>5729</v>
      </c>
      <c r="B206" s="321" t="str">
        <f>'A) Base RI'!B208</f>
        <v>Tannay</v>
      </c>
      <c r="C206" s="101">
        <f>'B) D RI'!U208</f>
        <v>175758.22994535521</v>
      </c>
      <c r="D206" s="117">
        <f>'E) Fact soc'!G212/C206</f>
        <v>30.189508717878084</v>
      </c>
      <c r="E206" s="144">
        <f>'H) Péréquation directe'!I217/C206</f>
        <v>13.967823942682049</v>
      </c>
      <c r="F206" s="117">
        <f>+'I) Dépenses thématiques'!O206/'K) Plafonnement aide'!C206</f>
        <v>0</v>
      </c>
      <c r="G206" s="144">
        <f t="shared" si="13"/>
        <v>44.15733266056013</v>
      </c>
      <c r="H206" s="117">
        <f t="shared" si="14"/>
        <v>44.15733266056013</v>
      </c>
      <c r="I206" s="144">
        <f t="shared" si="15"/>
        <v>0</v>
      </c>
      <c r="J206" s="59">
        <f t="shared" si="12"/>
        <v>0</v>
      </c>
      <c r="K206" s="38"/>
    </row>
    <row r="207" spans="1:11" x14ac:dyDescent="0.25">
      <c r="A207" s="51">
        <f>'A) Base RI'!A209</f>
        <v>5730</v>
      </c>
      <c r="B207" s="321" t="str">
        <f>'A) Base RI'!B209</f>
        <v>Trélex</v>
      </c>
      <c r="C207" s="101">
        <f>'B) D RI'!U209</f>
        <v>105206.62530214424</v>
      </c>
      <c r="D207" s="117">
        <f>'E) Fact soc'!G213/C207</f>
        <v>22.300106867078092</v>
      </c>
      <c r="E207" s="144">
        <f>'H) Péréquation directe'!I218/C207</f>
        <v>15.013038024580251</v>
      </c>
      <c r="F207" s="117">
        <f>+'I) Dépenses thématiques'!O207/'K) Plafonnement aide'!C207</f>
        <v>-0.1841749120592788</v>
      </c>
      <c r="G207" s="144">
        <f t="shared" si="13"/>
        <v>37.128969979599063</v>
      </c>
      <c r="H207" s="117">
        <f t="shared" si="14"/>
        <v>37.313144891658339</v>
      </c>
      <c r="I207" s="144">
        <f t="shared" si="15"/>
        <v>0</v>
      </c>
      <c r="J207" s="59">
        <f t="shared" si="12"/>
        <v>0</v>
      </c>
      <c r="K207" s="38"/>
    </row>
    <row r="208" spans="1:11" x14ac:dyDescent="0.25">
      <c r="A208" s="51">
        <f>'A) Base RI'!A210</f>
        <v>5731</v>
      </c>
      <c r="B208" s="321" t="str">
        <f>'A) Base RI'!B210</f>
        <v>Le Vaud</v>
      </c>
      <c r="C208" s="101">
        <f>'B) D RI'!U210</f>
        <v>50893.333199999994</v>
      </c>
      <c r="D208" s="117">
        <f>'E) Fact soc'!G214/C208</f>
        <v>18.603884444994915</v>
      </c>
      <c r="E208" s="144">
        <f>'H) Péréquation directe'!I219/C208</f>
        <v>11.738330290946323</v>
      </c>
      <c r="F208" s="117">
        <f>+'I) Dépenses thématiques'!O208/'K) Plafonnement aide'!C208</f>
        <v>-2.0456014178468958</v>
      </c>
      <c r="G208" s="144">
        <f t="shared" si="13"/>
        <v>28.296613318094341</v>
      </c>
      <c r="H208" s="117">
        <f t="shared" si="14"/>
        <v>30.342214735941237</v>
      </c>
      <c r="I208" s="144">
        <f t="shared" si="15"/>
        <v>0</v>
      </c>
      <c r="J208" s="59">
        <f t="shared" si="12"/>
        <v>0</v>
      </c>
      <c r="K208" s="38"/>
    </row>
    <row r="209" spans="1:11" x14ac:dyDescent="0.25">
      <c r="A209" s="51">
        <f>'A) Base RI'!A211</f>
        <v>5732</v>
      </c>
      <c r="B209" s="321" t="str">
        <f>'A) Base RI'!B211</f>
        <v>Vich</v>
      </c>
      <c r="C209" s="101">
        <f>'B) D RI'!U211</f>
        <v>63381.263823529407</v>
      </c>
      <c r="D209" s="117">
        <f>'E) Fact soc'!G215/C209</f>
        <v>21.881122218492486</v>
      </c>
      <c r="E209" s="144">
        <f>'H) Péréquation directe'!I220/C209</f>
        <v>16.350874186963885</v>
      </c>
      <c r="F209" s="117">
        <f>+'I) Dépenses thématiques'!O209/'K) Plafonnement aide'!C209</f>
        <v>-11.668136520751958</v>
      </c>
      <c r="G209" s="144">
        <f t="shared" si="13"/>
        <v>26.563859884704414</v>
      </c>
      <c r="H209" s="117">
        <f t="shared" si="14"/>
        <v>38.231996405456371</v>
      </c>
      <c r="I209" s="144">
        <f t="shared" si="15"/>
        <v>0</v>
      </c>
      <c r="J209" s="59">
        <f t="shared" si="12"/>
        <v>0</v>
      </c>
      <c r="K209" s="38"/>
    </row>
    <row r="210" spans="1:11" x14ac:dyDescent="0.25">
      <c r="A210" s="51">
        <f>'A) Base RI'!A212</f>
        <v>5741</v>
      </c>
      <c r="B210" s="321" t="str">
        <f>'A) Base RI'!B212</f>
        <v>L'Abergement</v>
      </c>
      <c r="C210" s="101">
        <f>'B) D RI'!U212</f>
        <v>6650.8402880658423</v>
      </c>
      <c r="D210" s="117">
        <f>'E) Fact soc'!G216/C210</f>
        <v>19.802245342845506</v>
      </c>
      <c r="E210" s="144">
        <f>'H) Péréquation directe'!I221/C210</f>
        <v>-0.56329998266049297</v>
      </c>
      <c r="F210" s="117">
        <f>+'I) Dépenses thématiques'!O210/'K) Plafonnement aide'!C210</f>
        <v>-12.822983801560181</v>
      </c>
      <c r="G210" s="144">
        <f t="shared" si="13"/>
        <v>6.4159615586248329</v>
      </c>
      <c r="H210" s="117">
        <f t="shared" si="14"/>
        <v>19.238945360185014</v>
      </c>
      <c r="I210" s="144">
        <f t="shared" si="15"/>
        <v>0</v>
      </c>
      <c r="J210" s="59">
        <f t="shared" si="12"/>
        <v>0</v>
      </c>
      <c r="K210" s="38"/>
    </row>
    <row r="211" spans="1:11" x14ac:dyDescent="0.25">
      <c r="A211" s="51">
        <f>'A) Base RI'!A213</f>
        <v>5742</v>
      </c>
      <c r="B211" s="321" t="str">
        <f>'A) Base RI'!B213</f>
        <v>Agiez</v>
      </c>
      <c r="C211" s="101">
        <f>'B) D RI'!U213</f>
        <v>9444.339473684211</v>
      </c>
      <c r="D211" s="117">
        <f>'E) Fact soc'!G217/C211</f>
        <v>18.909495965826412</v>
      </c>
      <c r="E211" s="144">
        <f>'H) Péréquation directe'!I222/C211</f>
        <v>3.9830411096751819</v>
      </c>
      <c r="F211" s="117">
        <f>+'I) Dépenses thématiques'!O211/'K) Plafonnement aide'!C211</f>
        <v>-1.1681028246786431</v>
      </c>
      <c r="G211" s="144">
        <f t="shared" si="13"/>
        <v>21.724434250822949</v>
      </c>
      <c r="H211" s="117">
        <f t="shared" si="14"/>
        <v>22.892537075501593</v>
      </c>
      <c r="I211" s="144">
        <f t="shared" si="15"/>
        <v>0</v>
      </c>
      <c r="J211" s="59">
        <f t="shared" si="12"/>
        <v>0</v>
      </c>
      <c r="K211" s="38"/>
    </row>
    <row r="212" spans="1:11" x14ac:dyDescent="0.25">
      <c r="A212" s="51">
        <f>'A) Base RI'!A214</f>
        <v>5743</v>
      </c>
      <c r="B212" s="321" t="str">
        <f>'A) Base RI'!B214</f>
        <v>Arnex-sur-Orbe</v>
      </c>
      <c r="C212" s="101">
        <f>'B) D RI'!U214</f>
        <v>17668.924178082194</v>
      </c>
      <c r="D212" s="117">
        <f>'E) Fact soc'!G218/C212</f>
        <v>19.789253076883167</v>
      </c>
      <c r="E212" s="144">
        <f>'H) Péréquation directe'!I223/C212</f>
        <v>1.6200284681012076</v>
      </c>
      <c r="F212" s="117">
        <f>+'I) Dépenses thématiques'!O212/'K) Plafonnement aide'!C212</f>
        <v>-6.0461785063708184</v>
      </c>
      <c r="G212" s="144">
        <f t="shared" si="13"/>
        <v>15.363103038613556</v>
      </c>
      <c r="H212" s="117">
        <f t="shared" si="14"/>
        <v>21.409281544984374</v>
      </c>
      <c r="I212" s="144">
        <f t="shared" si="15"/>
        <v>0</v>
      </c>
      <c r="J212" s="59">
        <f t="shared" si="12"/>
        <v>0</v>
      </c>
      <c r="K212" s="38"/>
    </row>
    <row r="213" spans="1:11" x14ac:dyDescent="0.25">
      <c r="A213" s="51">
        <f>'A) Base RI'!A215</f>
        <v>5744</v>
      </c>
      <c r="B213" s="321" t="str">
        <f>'A) Base RI'!B215</f>
        <v>Ballaigues</v>
      </c>
      <c r="C213" s="101">
        <f>'B) D RI'!U215</f>
        <v>60772.767121212128</v>
      </c>
      <c r="D213" s="117">
        <f>'E) Fact soc'!G219/C213</f>
        <v>22.572353475520053</v>
      </c>
      <c r="E213" s="144">
        <f>'H) Péréquation directe'!I224/C213</f>
        <v>16.321906265914812</v>
      </c>
      <c r="F213" s="117">
        <f>+'I) Dépenses thématiques'!O213/'K) Plafonnement aide'!C213</f>
        <v>-4.9268915658393899</v>
      </c>
      <c r="G213" s="144">
        <f t="shared" si="13"/>
        <v>33.967368175595475</v>
      </c>
      <c r="H213" s="117">
        <f t="shared" si="14"/>
        <v>38.894259741434865</v>
      </c>
      <c r="I213" s="144">
        <f t="shared" si="15"/>
        <v>0</v>
      </c>
      <c r="J213" s="59">
        <f t="shared" si="12"/>
        <v>0</v>
      </c>
      <c r="K213" s="38"/>
    </row>
    <row r="214" spans="1:11" x14ac:dyDescent="0.25">
      <c r="A214" s="51">
        <f>'A) Base RI'!A216</f>
        <v>5745</v>
      </c>
      <c r="B214" s="321" t="str">
        <f>'A) Base RI'!B216</f>
        <v>Baulmes</v>
      </c>
      <c r="C214" s="101">
        <f>'B) D RI'!U216</f>
        <v>25719.773333333334</v>
      </c>
      <c r="D214" s="117">
        <f>'E) Fact soc'!G220/C214</f>
        <v>18.656212949776233</v>
      </c>
      <c r="E214" s="144">
        <f>'H) Péréquation directe'!I225/C214</f>
        <v>-6.2095098198262857</v>
      </c>
      <c r="F214" s="117">
        <f>+'I) Dépenses thématiques'!O214/'K) Plafonnement aide'!C214</f>
        <v>-7.2428533689700263</v>
      </c>
      <c r="G214" s="144">
        <f t="shared" si="13"/>
        <v>5.2038497609799208</v>
      </c>
      <c r="H214" s="117">
        <f t="shared" si="14"/>
        <v>12.446703129949947</v>
      </c>
      <c r="I214" s="144">
        <f t="shared" si="15"/>
        <v>0</v>
      </c>
      <c r="J214" s="59">
        <f t="shared" si="12"/>
        <v>0</v>
      </c>
      <c r="K214" s="38"/>
    </row>
    <row r="215" spans="1:11" x14ac:dyDescent="0.25">
      <c r="A215" s="51">
        <f>'A) Base RI'!A217</f>
        <v>5746</v>
      </c>
      <c r="B215" s="321" t="str">
        <f>'A) Base RI'!B217</f>
        <v>Bavois</v>
      </c>
      <c r="C215" s="101">
        <f>'B) D RI'!U217</f>
        <v>26078.686575342468</v>
      </c>
      <c r="D215" s="117">
        <f>'E) Fact soc'!G221/C215</f>
        <v>18.165651524531473</v>
      </c>
      <c r="E215" s="144">
        <f>'H) Péréquation directe'!I226/C215</f>
        <v>2.4053410155182355</v>
      </c>
      <c r="F215" s="117">
        <f>+'I) Dépenses thématiques'!O215/'K) Plafonnement aide'!C215</f>
        <v>-7.2765887780200744</v>
      </c>
      <c r="G215" s="144">
        <f t="shared" si="13"/>
        <v>13.294403762029635</v>
      </c>
      <c r="H215" s="117">
        <f t="shared" si="14"/>
        <v>20.570992540049708</v>
      </c>
      <c r="I215" s="144">
        <f t="shared" si="15"/>
        <v>0</v>
      </c>
      <c r="J215" s="59">
        <f t="shared" si="12"/>
        <v>0</v>
      </c>
      <c r="K215" s="38"/>
    </row>
    <row r="216" spans="1:11" x14ac:dyDescent="0.25">
      <c r="A216" s="51">
        <f>'A) Base RI'!A218</f>
        <v>5747</v>
      </c>
      <c r="B216" s="321" t="str">
        <f>'A) Base RI'!B218</f>
        <v>Bofflens</v>
      </c>
      <c r="C216" s="101">
        <f>'B) D RI'!U218</f>
        <v>5407.3595652173908</v>
      </c>
      <c r="D216" s="117">
        <f>'E) Fact soc'!G222/C216</f>
        <v>15.108660702669534</v>
      </c>
      <c r="E216" s="144">
        <f>'H) Péréquation directe'!I227/C216</f>
        <v>3.992932545958745</v>
      </c>
      <c r="F216" s="117">
        <f>+'I) Dépenses thématiques'!O216/'K) Plafonnement aide'!C216</f>
        <v>-1.0882461567273258</v>
      </c>
      <c r="G216" s="144">
        <f t="shared" si="13"/>
        <v>18.013347091900954</v>
      </c>
      <c r="H216" s="117">
        <f t="shared" si="14"/>
        <v>19.10159324862828</v>
      </c>
      <c r="I216" s="144">
        <f t="shared" si="15"/>
        <v>0</v>
      </c>
      <c r="J216" s="59">
        <f t="shared" si="12"/>
        <v>0</v>
      </c>
      <c r="K216" s="38"/>
    </row>
    <row r="217" spans="1:11" x14ac:dyDescent="0.25">
      <c r="A217" s="51">
        <f>'A) Base RI'!A219</f>
        <v>5748</v>
      </c>
      <c r="B217" s="321" t="str">
        <f>'A) Base RI'!B219</f>
        <v>Bretonnières</v>
      </c>
      <c r="C217" s="101">
        <f>'B) D RI'!U219</f>
        <v>7687.1286574074074</v>
      </c>
      <c r="D217" s="117">
        <f>'E) Fact soc'!G223/C217</f>
        <v>29.183960649246856</v>
      </c>
      <c r="E217" s="144">
        <f>'H) Péréquation directe'!I228/C217</f>
        <v>4.2801679375094084</v>
      </c>
      <c r="F217" s="117">
        <f>+'I) Dépenses thématiques'!O217/'K) Plafonnement aide'!C217</f>
        <v>-5.3647020461894721</v>
      </c>
      <c r="G217" s="144">
        <f t="shared" si="13"/>
        <v>28.099426540566796</v>
      </c>
      <c r="H217" s="117">
        <f t="shared" si="14"/>
        <v>33.464128586756267</v>
      </c>
      <c r="I217" s="144">
        <f t="shared" si="15"/>
        <v>0</v>
      </c>
      <c r="J217" s="59">
        <f t="shared" si="12"/>
        <v>0</v>
      </c>
      <c r="K217" s="38"/>
    </row>
    <row r="218" spans="1:11" x14ac:dyDescent="0.25">
      <c r="A218" s="51">
        <f>'A) Base RI'!A220</f>
        <v>5749</v>
      </c>
      <c r="B218" s="321" t="str">
        <f>'A) Base RI'!B220</f>
        <v>Chavornay</v>
      </c>
      <c r="C218" s="101">
        <f>'B) D RI'!U220</f>
        <v>136661.8213888889</v>
      </c>
      <c r="D218" s="117">
        <f>'E) Fact soc'!G224/C218</f>
        <v>18.19518322337073</v>
      </c>
      <c r="E218" s="144">
        <f>'H) Péréquation directe'!I229/C218</f>
        <v>-6.7200660291126848</v>
      </c>
      <c r="F218" s="117">
        <f>+'I) Dépenses thématiques'!O218/'K) Plafonnement aide'!C218</f>
        <v>-3.9604807880248418</v>
      </c>
      <c r="G218" s="144">
        <f t="shared" si="13"/>
        <v>7.5146364062332029</v>
      </c>
      <c r="H218" s="117">
        <f t="shared" si="14"/>
        <v>11.475117194258045</v>
      </c>
      <c r="I218" s="144">
        <f t="shared" si="15"/>
        <v>0</v>
      </c>
      <c r="J218" s="59">
        <f t="shared" si="12"/>
        <v>0</v>
      </c>
      <c r="K218" s="38"/>
    </row>
    <row r="219" spans="1:11" x14ac:dyDescent="0.25">
      <c r="A219" s="51">
        <f>'A) Base RI'!A221</f>
        <v>5750</v>
      </c>
      <c r="B219" s="321" t="str">
        <f>'A) Base RI'!B221</f>
        <v>Les Clées</v>
      </c>
      <c r="C219" s="101">
        <f>'B) D RI'!U221</f>
        <v>5052.5065833333338</v>
      </c>
      <c r="D219" s="117">
        <f>'E) Fact soc'!G225/C219</f>
        <v>17.067758502980098</v>
      </c>
      <c r="E219" s="144">
        <f>'H) Péréquation directe'!I230/C219</f>
        <v>-0.41624884457115452</v>
      </c>
      <c r="F219" s="117">
        <f>+'I) Dépenses thématiques'!O219/'K) Plafonnement aide'!C219</f>
        <v>-1.5892866724063963</v>
      </c>
      <c r="G219" s="144">
        <f t="shared" si="13"/>
        <v>15.062222986002547</v>
      </c>
      <c r="H219" s="117">
        <f t="shared" si="14"/>
        <v>16.651509658408944</v>
      </c>
      <c r="I219" s="144">
        <f t="shared" si="15"/>
        <v>0</v>
      </c>
      <c r="J219" s="59">
        <f t="shared" si="12"/>
        <v>0</v>
      </c>
      <c r="K219" s="38"/>
    </row>
    <row r="220" spans="1:11" x14ac:dyDescent="0.25">
      <c r="A220" s="51">
        <f>'A) Base RI'!A222</f>
        <v>5752</v>
      </c>
      <c r="B220" s="321" t="str">
        <f>'A) Base RI'!B222</f>
        <v>Croy</v>
      </c>
      <c r="C220" s="101">
        <f>'B) D RI'!U222</f>
        <v>11188.496891891893</v>
      </c>
      <c r="D220" s="117">
        <f>'E) Fact soc'!G226/C220</f>
        <v>17.035674328037853</v>
      </c>
      <c r="E220" s="144">
        <f>'H) Péréquation directe'!I231/C220</f>
        <v>3.8936005797551054</v>
      </c>
      <c r="F220" s="117">
        <f>+'I) Dépenses thématiques'!O220/'K) Plafonnement aide'!C220</f>
        <v>-8.4697155292574102</v>
      </c>
      <c r="G220" s="144">
        <f t="shared" si="13"/>
        <v>12.459559378535548</v>
      </c>
      <c r="H220" s="117">
        <f t="shared" si="14"/>
        <v>20.929274907792959</v>
      </c>
      <c r="I220" s="144">
        <f t="shared" si="15"/>
        <v>0</v>
      </c>
      <c r="J220" s="59">
        <f t="shared" si="12"/>
        <v>0</v>
      </c>
      <c r="K220" s="38"/>
    </row>
    <row r="221" spans="1:11" x14ac:dyDescent="0.25">
      <c r="A221" s="51">
        <f>'A) Base RI'!A223</f>
        <v>5754</v>
      </c>
      <c r="B221" s="321" t="str">
        <f>'A) Base RI'!B223</f>
        <v>Juriens</v>
      </c>
      <c r="C221" s="101">
        <f>'B) D RI'!U223</f>
        <v>8136.8400000000011</v>
      </c>
      <c r="D221" s="117">
        <f>'E) Fact soc'!G227/C221</f>
        <v>15.574816185920332</v>
      </c>
      <c r="E221" s="144">
        <f>'H) Péréquation directe'!I232/C221</f>
        <v>-2.6353559018928987</v>
      </c>
      <c r="F221" s="117">
        <f>+'I) Dépenses thématiques'!O221/'K) Plafonnement aide'!C221</f>
        <v>-6.843393353171157</v>
      </c>
      <c r="G221" s="144">
        <f t="shared" si="13"/>
        <v>6.096066930856276</v>
      </c>
      <c r="H221" s="117">
        <f t="shared" si="14"/>
        <v>12.939460284027433</v>
      </c>
      <c r="I221" s="144">
        <f t="shared" si="15"/>
        <v>0</v>
      </c>
      <c r="J221" s="59">
        <f t="shared" si="12"/>
        <v>0</v>
      </c>
      <c r="K221" s="38"/>
    </row>
    <row r="222" spans="1:11" x14ac:dyDescent="0.25">
      <c r="A222" s="51">
        <f>'A) Base RI'!A224</f>
        <v>5755</v>
      </c>
      <c r="B222" s="321" t="str">
        <f>'A) Base RI'!B224</f>
        <v>Lignerolle</v>
      </c>
      <c r="C222" s="101">
        <f>'B) D RI'!U224</f>
        <v>9412.5036607142865</v>
      </c>
      <c r="D222" s="117">
        <f>'E) Fact soc'!G228/C222</f>
        <v>17.499507074521638</v>
      </c>
      <c r="E222" s="144">
        <f>'H) Péréquation directe'!I233/C222</f>
        <v>-10.905194499818002</v>
      </c>
      <c r="F222" s="117">
        <f>+'I) Dépenses thématiques'!O222/'K) Plafonnement aide'!C222</f>
        <v>-18.149569126901756</v>
      </c>
      <c r="G222" s="144">
        <f t="shared" si="13"/>
        <v>-11.55525655219812</v>
      </c>
      <c r="H222" s="117">
        <f t="shared" si="14"/>
        <v>6.5943125747036362</v>
      </c>
      <c r="I222" s="144">
        <f t="shared" si="15"/>
        <v>0</v>
      </c>
      <c r="J222" s="59">
        <f t="shared" si="12"/>
        <v>0</v>
      </c>
      <c r="K222" s="38"/>
    </row>
    <row r="223" spans="1:11" x14ac:dyDescent="0.25">
      <c r="A223" s="51">
        <f>'A) Base RI'!A225</f>
        <v>5756</v>
      </c>
      <c r="B223" s="321" t="str">
        <f>'A) Base RI'!B225</f>
        <v>Montcherand</v>
      </c>
      <c r="C223" s="101">
        <f>'B) D RI'!U225</f>
        <v>18721.546388888888</v>
      </c>
      <c r="D223" s="117">
        <f>'E) Fact soc'!G229/C223</f>
        <v>16.296394013643944</v>
      </c>
      <c r="E223" s="144">
        <f>'H) Péréquation directe'!I234/C223</f>
        <v>12.790665030476523</v>
      </c>
      <c r="F223" s="117">
        <f>+'I) Dépenses thématiques'!O223/'K) Plafonnement aide'!C223</f>
        <v>-2.0194235809698089</v>
      </c>
      <c r="G223" s="144">
        <f t="shared" si="13"/>
        <v>27.067635463150658</v>
      </c>
      <c r="H223" s="117">
        <f t="shared" si="14"/>
        <v>29.087059044120466</v>
      </c>
      <c r="I223" s="144">
        <f t="shared" si="15"/>
        <v>0</v>
      </c>
      <c r="J223" s="59">
        <f t="shared" si="12"/>
        <v>0</v>
      </c>
      <c r="K223" s="38"/>
    </row>
    <row r="224" spans="1:11" x14ac:dyDescent="0.25">
      <c r="A224" s="51">
        <f>'A) Base RI'!A226</f>
        <v>5757</v>
      </c>
      <c r="B224" s="321" t="str">
        <f>'A) Base RI'!B226</f>
        <v>Orbe</v>
      </c>
      <c r="C224" s="101">
        <f>'B) D RI'!U226</f>
        <v>205952.941948052</v>
      </c>
      <c r="D224" s="117">
        <f>'E) Fact soc'!G230/C224</f>
        <v>20.981666526146977</v>
      </c>
      <c r="E224" s="144">
        <f>'H) Péréquation directe'!I235/C224</f>
        <v>-8.0814719145821012</v>
      </c>
      <c r="F224" s="117">
        <f>+'I) Dépenses thématiques'!O224/'K) Plafonnement aide'!C224</f>
        <v>-7.4555577676284788</v>
      </c>
      <c r="G224" s="144">
        <f t="shared" si="13"/>
        <v>5.4446368439363972</v>
      </c>
      <c r="H224" s="117">
        <f t="shared" si="14"/>
        <v>12.900194611564876</v>
      </c>
      <c r="I224" s="144">
        <f t="shared" si="15"/>
        <v>0</v>
      </c>
      <c r="J224" s="59">
        <f t="shared" si="12"/>
        <v>0</v>
      </c>
      <c r="K224" s="38"/>
    </row>
    <row r="225" spans="1:11" x14ac:dyDescent="0.25">
      <c r="A225" s="51">
        <f>'A) Base RI'!A227</f>
        <v>5758</v>
      </c>
      <c r="B225" s="321" t="str">
        <f>'A) Base RI'!B227</f>
        <v>La Praz</v>
      </c>
      <c r="C225" s="101">
        <f>'B) D RI'!U227</f>
        <v>3230.1663052208837</v>
      </c>
      <c r="D225" s="117">
        <f>'E) Fact soc'!G231/C225</f>
        <v>23.183128048583733</v>
      </c>
      <c r="E225" s="144">
        <f>'H) Péréquation directe'!I236/C225</f>
        <v>-19.741628566190524</v>
      </c>
      <c r="F225" s="117">
        <f>+'I) Dépenses thématiques'!O225/'K) Plafonnement aide'!C225</f>
        <v>-5.9486357950951847</v>
      </c>
      <c r="G225" s="144">
        <f t="shared" si="13"/>
        <v>-2.5071363127019763</v>
      </c>
      <c r="H225" s="117">
        <f t="shared" si="14"/>
        <v>3.4414994823932084</v>
      </c>
      <c r="I225" s="144">
        <f t="shared" si="15"/>
        <v>0</v>
      </c>
      <c r="J225" s="59">
        <f t="shared" si="12"/>
        <v>0</v>
      </c>
      <c r="K225" s="38"/>
    </row>
    <row r="226" spans="1:11" x14ac:dyDescent="0.25">
      <c r="A226" s="51">
        <f>'A) Base RI'!A228</f>
        <v>5759</v>
      </c>
      <c r="B226" s="321" t="str">
        <f>'A) Base RI'!B228</f>
        <v>Premier</v>
      </c>
      <c r="C226" s="101">
        <f>'B) D RI'!U228</f>
        <v>4732.7107407407411</v>
      </c>
      <c r="D226" s="117">
        <f>'E) Fact soc'!G232/C226</f>
        <v>19.137625748691519</v>
      </c>
      <c r="E226" s="144">
        <f>'H) Péréquation directe'!I237/C226</f>
        <v>-11.622178230654853</v>
      </c>
      <c r="F226" s="117">
        <f>+'I) Dépenses thématiques'!O226/'K) Plafonnement aide'!C226</f>
        <v>-6.2741300405898413</v>
      </c>
      <c r="G226" s="144">
        <f t="shared" si="13"/>
        <v>1.2413174774468247</v>
      </c>
      <c r="H226" s="117">
        <f t="shared" si="14"/>
        <v>7.515447518036666</v>
      </c>
      <c r="I226" s="144">
        <f t="shared" si="15"/>
        <v>0</v>
      </c>
      <c r="J226" s="59">
        <f t="shared" si="12"/>
        <v>0</v>
      </c>
      <c r="K226" s="38"/>
    </row>
    <row r="227" spans="1:11" x14ac:dyDescent="0.25">
      <c r="A227" s="51">
        <f>'A) Base RI'!A229</f>
        <v>5760</v>
      </c>
      <c r="B227" s="321" t="str">
        <f>'A) Base RI'!B229</f>
        <v>Rances</v>
      </c>
      <c r="C227" s="101">
        <f>'B) D RI'!U229</f>
        <v>10468.899999999998</v>
      </c>
      <c r="D227" s="117">
        <f>'E) Fact soc'!G233/C227</f>
        <v>17.235844537504519</v>
      </c>
      <c r="E227" s="144">
        <f>'H) Péréquation directe'!I238/C227</f>
        <v>-12.061143815073098</v>
      </c>
      <c r="F227" s="117">
        <f>+'I) Dépenses thématiques'!O227/'K) Plafonnement aide'!C227</f>
        <v>-23.407229261670253</v>
      </c>
      <c r="G227" s="144">
        <f t="shared" si="13"/>
        <v>-18.232528539238832</v>
      </c>
      <c r="H227" s="117">
        <f t="shared" si="14"/>
        <v>5.174700722431421</v>
      </c>
      <c r="I227" s="144">
        <f t="shared" si="15"/>
        <v>0</v>
      </c>
      <c r="J227" s="59">
        <f t="shared" si="12"/>
        <v>0</v>
      </c>
      <c r="K227" s="38"/>
    </row>
    <row r="228" spans="1:11" x14ac:dyDescent="0.25">
      <c r="A228" s="51">
        <f>'A) Base RI'!A230</f>
        <v>5761</v>
      </c>
      <c r="B228" s="321" t="str">
        <f>'A) Base RI'!B230</f>
        <v>Romainmôtier-Envy</v>
      </c>
      <c r="C228" s="101">
        <f>'B) D RI'!U230</f>
        <v>12891.998383838385</v>
      </c>
      <c r="D228" s="117">
        <f>'E) Fact soc'!G234/C228</f>
        <v>19.528490982604517</v>
      </c>
      <c r="E228" s="144">
        <f>'H) Péréquation directe'!I239/C228</f>
        <v>-9.5561377949969515</v>
      </c>
      <c r="F228" s="117">
        <f>+'I) Dépenses thématiques'!O228/'K) Plafonnement aide'!C228</f>
        <v>-5.8816473689378874</v>
      </c>
      <c r="G228" s="144">
        <f t="shared" si="13"/>
        <v>4.0907058186696776</v>
      </c>
      <c r="H228" s="117">
        <f t="shared" si="14"/>
        <v>9.9723531876075651</v>
      </c>
      <c r="I228" s="144">
        <f t="shared" si="15"/>
        <v>0</v>
      </c>
      <c r="J228" s="59">
        <f t="shared" si="12"/>
        <v>0</v>
      </c>
      <c r="K228" s="38"/>
    </row>
    <row r="229" spans="1:11" x14ac:dyDescent="0.25">
      <c r="A229" s="51">
        <f>'A) Base RI'!A231</f>
        <v>5762</v>
      </c>
      <c r="B229" s="321" t="str">
        <f>'A) Base RI'!B231</f>
        <v>Sergey</v>
      </c>
      <c r="C229" s="101">
        <f>'B) D RI'!U231</f>
        <v>4039.8601282051286</v>
      </c>
      <c r="D229" s="117">
        <f>'E) Fact soc'!G235/C229</f>
        <v>15.80715622290513</v>
      </c>
      <c r="E229" s="144">
        <f>'H) Péréquation directe'!I240/C229</f>
        <v>2.5998860088777795</v>
      </c>
      <c r="F229" s="117">
        <f>+'I) Dépenses thématiques'!O229/'K) Plafonnement aide'!C229</f>
        <v>-0.3939395737645946</v>
      </c>
      <c r="G229" s="144">
        <f t="shared" si="13"/>
        <v>18.013102658018315</v>
      </c>
      <c r="H229" s="117">
        <f t="shared" si="14"/>
        <v>18.40704223178291</v>
      </c>
      <c r="I229" s="144">
        <f t="shared" si="15"/>
        <v>0</v>
      </c>
      <c r="J229" s="59">
        <f t="shared" si="12"/>
        <v>0</v>
      </c>
      <c r="K229" s="38"/>
    </row>
    <row r="230" spans="1:11" x14ac:dyDescent="0.25">
      <c r="A230" s="51">
        <f>'A) Base RI'!A232</f>
        <v>5763</v>
      </c>
      <c r="B230" s="321" t="str">
        <f>'A) Base RI'!B232</f>
        <v>Valeyres-sous-Rances</v>
      </c>
      <c r="C230" s="101">
        <f>'B) D RI'!U232</f>
        <v>20051.556615384616</v>
      </c>
      <c r="D230" s="117">
        <f>'E) Fact soc'!G236/C230</f>
        <v>16.929555015315785</v>
      </c>
      <c r="E230" s="144">
        <f>'H) Péréquation directe'!I241/C230</f>
        <v>8.5081584391281204</v>
      </c>
      <c r="F230" s="117">
        <f>+'I) Dépenses thématiques'!O230/'K) Plafonnement aide'!C230</f>
        <v>-5.7813402775465574</v>
      </c>
      <c r="G230" s="144">
        <f t="shared" si="13"/>
        <v>19.656373176897347</v>
      </c>
      <c r="H230" s="117">
        <f t="shared" si="14"/>
        <v>25.437713454443905</v>
      </c>
      <c r="I230" s="144">
        <f t="shared" si="15"/>
        <v>0</v>
      </c>
      <c r="J230" s="59">
        <f t="shared" si="12"/>
        <v>0</v>
      </c>
      <c r="K230" s="38"/>
    </row>
    <row r="231" spans="1:11" x14ac:dyDescent="0.25">
      <c r="A231" s="51">
        <f>'A) Base RI'!A233</f>
        <v>5764</v>
      </c>
      <c r="B231" s="321" t="str">
        <f>'A) Base RI'!B233</f>
        <v>Vallorbe</v>
      </c>
      <c r="C231" s="101">
        <f>'B) D RI'!U233</f>
        <v>83366.268356164379</v>
      </c>
      <c r="D231" s="117">
        <f>'E) Fact soc'!G237/C231</f>
        <v>24.385644259596212</v>
      </c>
      <c r="E231" s="144">
        <f>'H) Péréquation directe'!I242/C231</f>
        <v>-18.657007589703358</v>
      </c>
      <c r="F231" s="117">
        <f>+'I) Dépenses thématiques'!O231/'K) Plafonnement aide'!C231</f>
        <v>-24.019763210097501</v>
      </c>
      <c r="G231" s="144">
        <f t="shared" si="13"/>
        <v>-18.291126540204647</v>
      </c>
      <c r="H231" s="117">
        <f t="shared" si="14"/>
        <v>5.7286366698928539</v>
      </c>
      <c r="I231" s="144">
        <f t="shared" si="15"/>
        <v>0</v>
      </c>
      <c r="J231" s="59">
        <f t="shared" si="12"/>
        <v>0</v>
      </c>
      <c r="K231" s="38"/>
    </row>
    <row r="232" spans="1:11" x14ac:dyDescent="0.25">
      <c r="A232" s="51">
        <f>'A) Base RI'!A234</f>
        <v>5765</v>
      </c>
      <c r="B232" s="321" t="str">
        <f>'A) Base RI'!B234</f>
        <v>Vaulion</v>
      </c>
      <c r="C232" s="101">
        <f>'B) D RI'!U234</f>
        <v>9587.663333333332</v>
      </c>
      <c r="D232" s="117">
        <f>'E) Fact soc'!G238/C232</f>
        <v>17.521288431534881</v>
      </c>
      <c r="E232" s="144">
        <f>'H) Péréquation directe'!I243/C232</f>
        <v>-19.0908863108648</v>
      </c>
      <c r="F232" s="117">
        <f>+'I) Dépenses thématiques'!O232/'K) Plafonnement aide'!C232</f>
        <v>-17.3904462634708</v>
      </c>
      <c r="G232" s="144">
        <f t="shared" si="13"/>
        <v>-18.960044142800719</v>
      </c>
      <c r="H232" s="117">
        <f t="shared" si="14"/>
        <v>-1.569597879329919</v>
      </c>
      <c r="I232" s="144">
        <f t="shared" si="15"/>
        <v>0</v>
      </c>
      <c r="J232" s="59">
        <f t="shared" si="12"/>
        <v>0</v>
      </c>
      <c r="K232" s="38"/>
    </row>
    <row r="233" spans="1:11" x14ac:dyDescent="0.25">
      <c r="A233" s="51">
        <f>'A) Base RI'!A235</f>
        <v>5766</v>
      </c>
      <c r="B233" s="321" t="str">
        <f>'A) Base RI'!B235</f>
        <v>Vuiteboeuf</v>
      </c>
      <c r="C233" s="101">
        <f>'B) D RI'!U235</f>
        <v>13049.547402597404</v>
      </c>
      <c r="D233" s="117">
        <f>'E) Fact soc'!G239/C233</f>
        <v>18.517709099052848</v>
      </c>
      <c r="E233" s="144">
        <f>'H) Péréquation directe'!I244/C233</f>
        <v>-8.6990438552662397</v>
      </c>
      <c r="F233" s="117">
        <f>+'I) Dépenses thématiques'!O233/'K) Plafonnement aide'!C233</f>
        <v>-6.5660014332078678</v>
      </c>
      <c r="G233" s="144">
        <f t="shared" si="13"/>
        <v>3.2526638105787402</v>
      </c>
      <c r="H233" s="117">
        <f t="shared" si="14"/>
        <v>9.818665243786608</v>
      </c>
      <c r="I233" s="144">
        <f t="shared" si="15"/>
        <v>0</v>
      </c>
      <c r="J233" s="59">
        <f t="shared" si="12"/>
        <v>0</v>
      </c>
      <c r="K233" s="38"/>
    </row>
    <row r="234" spans="1:11" x14ac:dyDescent="0.25">
      <c r="A234" s="51">
        <f>'A) Base RI'!A236</f>
        <v>5785</v>
      </c>
      <c r="B234" s="321" t="str">
        <f>'A) Base RI'!B236</f>
        <v>Corcelles-le-Jorat</v>
      </c>
      <c r="C234" s="101">
        <f>'B) D RI'!U236</f>
        <v>15263.245714285717</v>
      </c>
      <c r="D234" s="117">
        <f>'E) Fact soc'!G240/C234</f>
        <v>17.35320807036145</v>
      </c>
      <c r="E234" s="144">
        <f>'H) Péréquation directe'!I245/C234</f>
        <v>7.2721633138629223</v>
      </c>
      <c r="F234" s="117">
        <f>+'I) Dépenses thématiques'!O234/'K) Plafonnement aide'!C234</f>
        <v>-0.34791382852423225</v>
      </c>
      <c r="G234" s="144">
        <f t="shared" si="13"/>
        <v>24.277457555700142</v>
      </c>
      <c r="H234" s="117">
        <f t="shared" si="14"/>
        <v>24.625371384224373</v>
      </c>
      <c r="I234" s="144">
        <f t="shared" si="15"/>
        <v>0</v>
      </c>
      <c r="J234" s="59">
        <f t="shared" si="12"/>
        <v>0</v>
      </c>
      <c r="K234" s="38"/>
    </row>
    <row r="235" spans="1:11" x14ac:dyDescent="0.25">
      <c r="A235" s="51">
        <f>'A) Base RI'!A237</f>
        <v>5788</v>
      </c>
      <c r="B235" s="321" t="str">
        <f>'A) Base RI'!B237</f>
        <v>Essertes</v>
      </c>
      <c r="C235" s="101">
        <f>'B) D RI'!U237</f>
        <v>11561.131666666668</v>
      </c>
      <c r="D235" s="117">
        <f>'E) Fact soc'!G241/C235</f>
        <v>20.362325355847197</v>
      </c>
      <c r="E235" s="144">
        <f>'H) Péréquation directe'!I246/C235</f>
        <v>8.5216111638877603</v>
      </c>
      <c r="F235" s="117">
        <f>+'I) Dépenses thématiques'!O235/'K) Plafonnement aide'!C235</f>
        <v>-1.305539534357395</v>
      </c>
      <c r="G235" s="144">
        <f t="shared" si="13"/>
        <v>27.578396985377566</v>
      </c>
      <c r="H235" s="117">
        <f t="shared" si="14"/>
        <v>28.883936519734959</v>
      </c>
      <c r="I235" s="144">
        <f t="shared" si="15"/>
        <v>0</v>
      </c>
      <c r="J235" s="59">
        <f t="shared" si="12"/>
        <v>0</v>
      </c>
      <c r="K235" s="38"/>
    </row>
    <row r="236" spans="1:11" x14ac:dyDescent="0.25">
      <c r="A236" s="51">
        <f>'A) Base RI'!A238</f>
        <v>5790</v>
      </c>
      <c r="B236" s="321" t="str">
        <f>'A) Base RI'!B238</f>
        <v>Maracon</v>
      </c>
      <c r="C236" s="101">
        <f>'B) D RI'!U238</f>
        <v>12108.806973684212</v>
      </c>
      <c r="D236" s="117">
        <f>'E) Fact soc'!G242/C236</f>
        <v>19.61478835520904</v>
      </c>
      <c r="E236" s="144">
        <f>'H) Péréquation directe'!I247/C236</f>
        <v>-2.9371190539407803</v>
      </c>
      <c r="F236" s="117">
        <f>+'I) Dépenses thématiques'!O236/'K) Plafonnement aide'!C236</f>
        <v>-9.2657978580510054</v>
      </c>
      <c r="G236" s="144">
        <f t="shared" si="13"/>
        <v>7.4118714432172546</v>
      </c>
      <c r="H236" s="117">
        <f t="shared" si="14"/>
        <v>16.67766930126826</v>
      </c>
      <c r="I236" s="144">
        <f t="shared" si="15"/>
        <v>0</v>
      </c>
      <c r="J236" s="59">
        <f t="shared" si="12"/>
        <v>0</v>
      </c>
      <c r="K236" s="38"/>
    </row>
    <row r="237" spans="1:11" x14ac:dyDescent="0.25">
      <c r="A237" s="51">
        <f>'A) Base RI'!A239</f>
        <v>5792</v>
      </c>
      <c r="B237" s="321" t="str">
        <f>'A) Base RI'!B239</f>
        <v>Montpreveyres</v>
      </c>
      <c r="C237" s="101">
        <f>'B) D RI'!U239</f>
        <v>17523.35194805195</v>
      </c>
      <c r="D237" s="117">
        <f>'E) Fact soc'!G243/C237</f>
        <v>18.503824668342936</v>
      </c>
      <c r="E237" s="144">
        <f>'H) Péréquation directe'!I248/C237</f>
        <v>-0.61800326657162907</v>
      </c>
      <c r="F237" s="117">
        <f>+'I) Dépenses thématiques'!O237/'K) Plafonnement aide'!C237</f>
        <v>-5.1978240305726988</v>
      </c>
      <c r="G237" s="144">
        <f t="shared" si="13"/>
        <v>12.687997371198607</v>
      </c>
      <c r="H237" s="117">
        <f t="shared" si="14"/>
        <v>17.885821401771306</v>
      </c>
      <c r="I237" s="144">
        <f t="shared" si="15"/>
        <v>0</v>
      </c>
      <c r="J237" s="59">
        <f t="shared" si="12"/>
        <v>0</v>
      </c>
      <c r="K237" s="38"/>
    </row>
    <row r="238" spans="1:11" x14ac:dyDescent="0.25">
      <c r="A238" s="51">
        <f>'A) Base RI'!A240</f>
        <v>5798</v>
      </c>
      <c r="B238" s="321" t="str">
        <f>'A) Base RI'!B240</f>
        <v>Ropraz</v>
      </c>
      <c r="C238" s="101">
        <f>'B) D RI'!U240</f>
        <v>14095.640645161293</v>
      </c>
      <c r="D238" s="117">
        <f>'E) Fact soc'!G244/C238</f>
        <v>18.782041213228187</v>
      </c>
      <c r="E238" s="144">
        <f>'H) Péréquation directe'!I249/C238</f>
        <v>5.0793423710992816</v>
      </c>
      <c r="F238" s="117">
        <f>+'I) Dépenses thématiques'!O238/'K) Plafonnement aide'!C238</f>
        <v>-5.6678658503918999</v>
      </c>
      <c r="G238" s="144">
        <f t="shared" si="13"/>
        <v>18.193517733935572</v>
      </c>
      <c r="H238" s="117">
        <f t="shared" si="14"/>
        <v>23.86138358432747</v>
      </c>
      <c r="I238" s="144">
        <f t="shared" si="15"/>
        <v>0</v>
      </c>
      <c r="J238" s="59">
        <f t="shared" si="12"/>
        <v>0</v>
      </c>
      <c r="K238" s="38"/>
    </row>
    <row r="239" spans="1:11" x14ac:dyDescent="0.25">
      <c r="A239" s="51">
        <f>'A) Base RI'!A241</f>
        <v>5799</v>
      </c>
      <c r="B239" s="321" t="str">
        <f>'A) Base RI'!B241</f>
        <v>Servion</v>
      </c>
      <c r="C239" s="101">
        <f>'B) D RI'!U241</f>
        <v>65741.847101449268</v>
      </c>
      <c r="D239" s="117">
        <f>'E) Fact soc'!G245/C239</f>
        <v>16.895477897988044</v>
      </c>
      <c r="E239" s="144">
        <f>'H) Péréquation directe'!I250/C239</f>
        <v>6.6108993951265278</v>
      </c>
      <c r="F239" s="117">
        <f>+'I) Dépenses thématiques'!O239/'K) Plafonnement aide'!C239</f>
        <v>-2.8670527491271569</v>
      </c>
      <c r="G239" s="144">
        <f t="shared" si="13"/>
        <v>20.639324543987414</v>
      </c>
      <c r="H239" s="117">
        <f t="shared" si="14"/>
        <v>23.506377293114571</v>
      </c>
      <c r="I239" s="144">
        <f t="shared" si="15"/>
        <v>0</v>
      </c>
      <c r="J239" s="59">
        <f t="shared" si="12"/>
        <v>0</v>
      </c>
      <c r="K239" s="38"/>
    </row>
    <row r="240" spans="1:11" x14ac:dyDescent="0.25">
      <c r="A240" s="51">
        <f>'A) Base RI'!A242</f>
        <v>5803</v>
      </c>
      <c r="B240" s="321" t="str">
        <f>'A) Base RI'!B242</f>
        <v>Vulliens</v>
      </c>
      <c r="C240" s="101">
        <f>'B) D RI'!U242</f>
        <v>15644.362692307694</v>
      </c>
      <c r="D240" s="117">
        <f>'E) Fact soc'!G246/C240</f>
        <v>17.847670821419662</v>
      </c>
      <c r="E240" s="144">
        <f>'H) Péréquation directe'!I251/C240</f>
        <v>3.7723063635414373</v>
      </c>
      <c r="F240" s="117">
        <f>+'I) Dépenses thématiques'!O240/'K) Plafonnement aide'!C240</f>
        <v>-1.0543749464325456</v>
      </c>
      <c r="G240" s="144">
        <f t="shared" si="13"/>
        <v>20.565602238528555</v>
      </c>
      <c r="H240" s="117">
        <f t="shared" si="14"/>
        <v>21.619977184961101</v>
      </c>
      <c r="I240" s="144">
        <f t="shared" si="15"/>
        <v>0</v>
      </c>
      <c r="J240" s="59">
        <f t="shared" si="12"/>
        <v>0</v>
      </c>
      <c r="K240" s="38"/>
    </row>
    <row r="241" spans="1:11" x14ac:dyDescent="0.25">
      <c r="A241" s="51">
        <f>'A) Base RI'!A243</f>
        <v>5804</v>
      </c>
      <c r="B241" s="321" t="str">
        <f>'A) Base RI'!B243</f>
        <v>Jorat-Menthue</v>
      </c>
      <c r="C241" s="101">
        <f>'B) D RI'!U243</f>
        <v>47020.955555555549</v>
      </c>
      <c r="D241" s="117">
        <f>'E) Fact soc'!G247/C241</f>
        <v>17.606423050476579</v>
      </c>
      <c r="E241" s="144">
        <f>'H) Péréquation directe'!I252/C241</f>
        <v>3.018731278285502</v>
      </c>
      <c r="F241" s="117">
        <f>+'I) Dépenses thématiques'!O241/'K) Plafonnement aide'!C241</f>
        <v>-12.211753529860651</v>
      </c>
      <c r="G241" s="144">
        <f t="shared" si="13"/>
        <v>8.4134007989014279</v>
      </c>
      <c r="H241" s="117">
        <f t="shared" si="14"/>
        <v>20.625154328762079</v>
      </c>
      <c r="I241" s="144">
        <f t="shared" si="15"/>
        <v>0</v>
      </c>
      <c r="J241" s="59">
        <f t="shared" si="12"/>
        <v>0</v>
      </c>
      <c r="K241" s="38"/>
    </row>
    <row r="242" spans="1:11" x14ac:dyDescent="0.25">
      <c r="A242" s="51">
        <f>'A) Base RI'!A244</f>
        <v>5805</v>
      </c>
      <c r="B242" s="321" t="str">
        <f>'A) Base RI'!B244</f>
        <v>Oron</v>
      </c>
      <c r="C242" s="101">
        <f>'B) D RI'!U244</f>
        <v>148409.14060606057</v>
      </c>
      <c r="D242" s="117">
        <f>'E) Fact soc'!G248/C242</f>
        <v>18.031554282594929</v>
      </c>
      <c r="E242" s="144">
        <f>'H) Péréquation directe'!I253/C242</f>
        <v>-7.6090758365343589</v>
      </c>
      <c r="F242" s="117">
        <f>+'I) Dépenses thématiques'!O242/'K) Plafonnement aide'!C242</f>
        <v>-6.6159675861336344</v>
      </c>
      <c r="G242" s="144">
        <f t="shared" si="13"/>
        <v>3.8065108599269353</v>
      </c>
      <c r="H242" s="117">
        <f t="shared" si="14"/>
        <v>10.42247844606057</v>
      </c>
      <c r="I242" s="144">
        <f t="shared" si="15"/>
        <v>0</v>
      </c>
      <c r="J242" s="59">
        <f t="shared" si="12"/>
        <v>0</v>
      </c>
      <c r="K242" s="38"/>
    </row>
    <row r="243" spans="1:11" x14ac:dyDescent="0.25">
      <c r="A243" s="51">
        <f>'A) Base RI'!A245</f>
        <v>5806</v>
      </c>
      <c r="B243" s="321" t="str">
        <f>'A) Base RI'!B245</f>
        <v>Jorat-Mézières</v>
      </c>
      <c r="C243" s="101">
        <f>'B) D RI'!U245</f>
        <v>86246.382763157875</v>
      </c>
      <c r="D243" s="117">
        <f>'E) Fact soc'!G249/C243</f>
        <v>17.897036991769674</v>
      </c>
      <c r="E243" s="144">
        <f>'H) Péréquation directe'!I254/C243</f>
        <v>-1.0866613848270397</v>
      </c>
      <c r="F243" s="117">
        <f>+'I) Dépenses thématiques'!O243/'K) Plafonnement aide'!C243</f>
        <v>-3.9253122624737591</v>
      </c>
      <c r="G243" s="144">
        <f t="shared" si="13"/>
        <v>12.885063344468875</v>
      </c>
      <c r="H243" s="117">
        <f t="shared" si="14"/>
        <v>16.810375606942635</v>
      </c>
      <c r="I243" s="144">
        <f t="shared" si="15"/>
        <v>0</v>
      </c>
      <c r="J243" s="59">
        <f t="shared" si="12"/>
        <v>0</v>
      </c>
      <c r="K243" s="38"/>
    </row>
    <row r="244" spans="1:11" x14ac:dyDescent="0.25">
      <c r="A244" s="51">
        <f>'A) Base RI'!A246</f>
        <v>5812</v>
      </c>
      <c r="B244" s="321" t="str">
        <f>'A) Base RI'!B246</f>
        <v>Champtauroz</v>
      </c>
      <c r="C244" s="101">
        <f>'B) D RI'!U246</f>
        <v>2413.8557792207789</v>
      </c>
      <c r="D244" s="117">
        <f>'E) Fact soc'!G250/C244</f>
        <v>20.682398494676271</v>
      </c>
      <c r="E244" s="144">
        <f>'H) Péréquation directe'!I255/C244</f>
        <v>-19.125891652017049</v>
      </c>
      <c r="F244" s="117">
        <f>+'I) Dépenses thématiques'!O244/'K) Plafonnement aide'!C244</f>
        <v>-15.335326399221149</v>
      </c>
      <c r="G244" s="144">
        <f t="shared" si="13"/>
        <v>-13.778819556561928</v>
      </c>
      <c r="H244" s="117">
        <f t="shared" si="14"/>
        <v>1.5565068426592212</v>
      </c>
      <c r="I244" s="144">
        <f t="shared" si="15"/>
        <v>0</v>
      </c>
      <c r="J244" s="59">
        <f t="shared" si="12"/>
        <v>0</v>
      </c>
      <c r="K244" s="38"/>
    </row>
    <row r="245" spans="1:11" x14ac:dyDescent="0.25">
      <c r="A245" s="51">
        <f>'A) Base RI'!A247</f>
        <v>5813</v>
      </c>
      <c r="B245" s="321" t="str">
        <f>'A) Base RI'!B247</f>
        <v>Chevroux</v>
      </c>
      <c r="C245" s="101">
        <f>'B) D RI'!U247</f>
        <v>13303.445833333333</v>
      </c>
      <c r="D245" s="117">
        <f>'E) Fact soc'!G251/C245</f>
        <v>20.872103463726013</v>
      </c>
      <c r="E245" s="144">
        <f>'H) Péréquation directe'!I256/C245</f>
        <v>3.6648651371562977</v>
      </c>
      <c r="F245" s="117">
        <f>+'I) Dépenses thématiques'!O245/'K) Plafonnement aide'!C245</f>
        <v>-1.2211190230823521</v>
      </c>
      <c r="G245" s="144">
        <f t="shared" si="13"/>
        <v>23.315849577799959</v>
      </c>
      <c r="H245" s="117">
        <f t="shared" si="14"/>
        <v>24.536968600882311</v>
      </c>
      <c r="I245" s="144">
        <f t="shared" si="15"/>
        <v>0</v>
      </c>
      <c r="J245" s="59">
        <f t="shared" si="12"/>
        <v>0</v>
      </c>
      <c r="K245" s="38"/>
    </row>
    <row r="246" spans="1:11" x14ac:dyDescent="0.25">
      <c r="A246" s="51">
        <f>'A) Base RI'!A248</f>
        <v>5816</v>
      </c>
      <c r="B246" s="321" t="str">
        <f>'A) Base RI'!B248</f>
        <v>Corcelles-près-Payerne</v>
      </c>
      <c r="C246" s="101">
        <f>'B) D RI'!U248</f>
        <v>57954.816904761909</v>
      </c>
      <c r="D246" s="117">
        <f>'E) Fact soc'!G252/C246</f>
        <v>17.752593001466241</v>
      </c>
      <c r="E246" s="144">
        <f>'H) Péréquation directe'!I257/C246</f>
        <v>-10.217062665980189</v>
      </c>
      <c r="F246" s="117">
        <f>+'I) Dépenses thématiques'!O246/'K) Plafonnement aide'!C246</f>
        <v>-4.9591352669178379</v>
      </c>
      <c r="G246" s="144">
        <f t="shared" si="13"/>
        <v>2.5763950685682149</v>
      </c>
      <c r="H246" s="117">
        <f t="shared" si="14"/>
        <v>7.5355303354860528</v>
      </c>
      <c r="I246" s="144">
        <f t="shared" si="15"/>
        <v>0</v>
      </c>
      <c r="J246" s="59">
        <f t="shared" si="12"/>
        <v>0</v>
      </c>
      <c r="K246" s="38"/>
    </row>
    <row r="247" spans="1:11" x14ac:dyDescent="0.25">
      <c r="A247" s="51">
        <f>'A) Base RI'!A249</f>
        <v>5817</v>
      </c>
      <c r="B247" s="321" t="str">
        <f>'A) Base RI'!B249</f>
        <v>Grandcour</v>
      </c>
      <c r="C247" s="101">
        <f>'B) D RI'!U249</f>
        <v>22248.358742138364</v>
      </c>
      <c r="D247" s="117">
        <f>'E) Fact soc'!G253/C247</f>
        <v>17.857918761840686</v>
      </c>
      <c r="E247" s="144">
        <f>'H) Péréquation directe'!I258/C247</f>
        <v>-5.3353418196080593</v>
      </c>
      <c r="F247" s="117">
        <f>+'I) Dépenses thématiques'!O247/'K) Plafonnement aide'!C247</f>
        <v>-4.9396475038191268</v>
      </c>
      <c r="G247" s="144">
        <f t="shared" si="13"/>
        <v>7.5829294384135002</v>
      </c>
      <c r="H247" s="117">
        <f t="shared" si="14"/>
        <v>12.522576942232627</v>
      </c>
      <c r="I247" s="144">
        <f t="shared" si="15"/>
        <v>0</v>
      </c>
      <c r="J247" s="59">
        <f t="shared" si="12"/>
        <v>0</v>
      </c>
      <c r="K247" s="38"/>
    </row>
    <row r="248" spans="1:11" x14ac:dyDescent="0.25">
      <c r="A248" s="51">
        <f>'A) Base RI'!A250</f>
        <v>5819</v>
      </c>
      <c r="B248" s="321" t="str">
        <f>'A) Base RI'!B250</f>
        <v>Henniez</v>
      </c>
      <c r="C248" s="101">
        <f>'B) D RI'!U250</f>
        <v>14874.063333333332</v>
      </c>
      <c r="D248" s="117">
        <f>'E) Fact soc'!G254/C248</f>
        <v>17.382354288627788</v>
      </c>
      <c r="E248" s="144">
        <f>'H) Péréquation directe'!I259/C248</f>
        <v>14.5701279697434</v>
      </c>
      <c r="F248" s="117">
        <f>+'I) Dépenses thématiques'!O248/'K) Plafonnement aide'!C248</f>
        <v>-3.0968721295942228</v>
      </c>
      <c r="G248" s="144">
        <f t="shared" si="13"/>
        <v>28.855610128776966</v>
      </c>
      <c r="H248" s="117">
        <f t="shared" si="14"/>
        <v>31.952482258371191</v>
      </c>
      <c r="I248" s="144">
        <f t="shared" si="15"/>
        <v>0</v>
      </c>
      <c r="J248" s="59">
        <f t="shared" si="12"/>
        <v>0</v>
      </c>
      <c r="K248" s="38"/>
    </row>
    <row r="249" spans="1:11" x14ac:dyDescent="0.25">
      <c r="A249" s="51">
        <f>'A) Base RI'!A251</f>
        <v>5821</v>
      </c>
      <c r="B249" s="321" t="str">
        <f>'A) Base RI'!B251</f>
        <v>Missy</v>
      </c>
      <c r="C249" s="101">
        <f>'B) D RI'!U251</f>
        <v>7639.0673611111124</v>
      </c>
      <c r="D249" s="117">
        <f>'E) Fact soc'!G255/C249</f>
        <v>15.889136268062732</v>
      </c>
      <c r="E249" s="144">
        <f>'H) Péréquation directe'!I260/C249</f>
        <v>-7.9651410476777054</v>
      </c>
      <c r="F249" s="117">
        <f>+'I) Dépenses thématiques'!O249/'K) Plafonnement aide'!C249</f>
        <v>-2.2246429119837279</v>
      </c>
      <c r="G249" s="144">
        <f t="shared" si="13"/>
        <v>5.6993523084012985</v>
      </c>
      <c r="H249" s="117">
        <f t="shared" si="14"/>
        <v>7.9239952203850264</v>
      </c>
      <c r="I249" s="144">
        <f t="shared" si="15"/>
        <v>0</v>
      </c>
      <c r="J249" s="59">
        <f t="shared" si="12"/>
        <v>0</v>
      </c>
      <c r="K249" s="38"/>
    </row>
    <row r="250" spans="1:11" x14ac:dyDescent="0.25">
      <c r="A250" s="51">
        <f>'A) Base RI'!A252</f>
        <v>5822</v>
      </c>
      <c r="B250" s="321" t="str">
        <f>'A) Base RI'!B252</f>
        <v>Payerne</v>
      </c>
      <c r="C250" s="101">
        <f>'B) D RI'!U252</f>
        <v>246397.68826666669</v>
      </c>
      <c r="D250" s="117">
        <f>'E) Fact soc'!G256/C250</f>
        <v>17.904970074024227</v>
      </c>
      <c r="E250" s="144">
        <f>'H) Péréquation directe'!I261/C250</f>
        <v>-17.906417481215779</v>
      </c>
      <c r="F250" s="117">
        <f>+'I) Dépenses thématiques'!O250/'K) Plafonnement aide'!C250</f>
        <v>-5.0399766740352208</v>
      </c>
      <c r="G250" s="144">
        <f t="shared" si="13"/>
        <v>-5.041424081226773</v>
      </c>
      <c r="H250" s="117">
        <f t="shared" si="14"/>
        <v>-1.4474071915522302E-3</v>
      </c>
      <c r="I250" s="144">
        <f t="shared" si="15"/>
        <v>0</v>
      </c>
      <c r="J250" s="59">
        <f t="shared" si="12"/>
        <v>0</v>
      </c>
      <c r="K250" s="38"/>
    </row>
    <row r="251" spans="1:11" x14ac:dyDescent="0.25">
      <c r="A251" s="51">
        <f>'A) Base RI'!A253</f>
        <v>5827</v>
      </c>
      <c r="B251" s="321" t="str">
        <f>'A) Base RI'!B253</f>
        <v>Trey</v>
      </c>
      <c r="C251" s="101">
        <f>'B) D RI'!U253</f>
        <v>6752.2672499999999</v>
      </c>
      <c r="D251" s="117">
        <f>'E) Fact soc'!G257/C251</f>
        <v>17.277780738097739</v>
      </c>
      <c r="E251" s="144">
        <f>'H) Péréquation directe'!I262/C251</f>
        <v>-5.1994053910121636</v>
      </c>
      <c r="F251" s="117">
        <f>+'I) Dépenses thématiques'!O251/'K) Plafonnement aide'!C251</f>
        <v>-7.6704250064148978</v>
      </c>
      <c r="G251" s="144">
        <f t="shared" si="13"/>
        <v>4.4079503406706779</v>
      </c>
      <c r="H251" s="117">
        <f t="shared" si="14"/>
        <v>12.078375347085576</v>
      </c>
      <c r="I251" s="144">
        <f t="shared" si="15"/>
        <v>0</v>
      </c>
      <c r="J251" s="59">
        <f t="shared" si="12"/>
        <v>0</v>
      </c>
      <c r="K251" s="38"/>
    </row>
    <row r="252" spans="1:11" x14ac:dyDescent="0.25">
      <c r="A252" s="51">
        <f>'A) Base RI'!A254</f>
        <v>5828</v>
      </c>
      <c r="B252" s="321" t="str">
        <f>'A) Base RI'!B254</f>
        <v>Treytorrens (Payerne)</v>
      </c>
      <c r="C252" s="101">
        <f>'B) D RI'!U254</f>
        <v>2280.7091269841271</v>
      </c>
      <c r="D252" s="117">
        <f>'E) Fact soc'!G258/C252</f>
        <v>22.913831241518679</v>
      </c>
      <c r="E252" s="144">
        <f>'H) Péréquation directe'!I263/C252</f>
        <v>-25.909260721654665</v>
      </c>
      <c r="F252" s="117">
        <f>+'I) Dépenses thématiques'!O252/'K) Plafonnement aide'!C252</f>
        <v>-23.196233375428275</v>
      </c>
      <c r="G252" s="144">
        <f t="shared" si="13"/>
        <v>-26.19166285556426</v>
      </c>
      <c r="H252" s="117">
        <f t="shared" si="14"/>
        <v>-2.9954294801359858</v>
      </c>
      <c r="I252" s="144">
        <f t="shared" si="15"/>
        <v>0</v>
      </c>
      <c r="J252" s="59">
        <f t="shared" si="12"/>
        <v>0</v>
      </c>
      <c r="K252" s="38"/>
    </row>
    <row r="253" spans="1:11" x14ac:dyDescent="0.25">
      <c r="A253" s="51">
        <f>'A) Base RI'!A255</f>
        <v>5830</v>
      </c>
      <c r="B253" s="321" t="str">
        <f>'A) Base RI'!B255</f>
        <v>Villarzel</v>
      </c>
      <c r="C253" s="101">
        <f>'B) D RI'!U255</f>
        <v>10522.833037974684</v>
      </c>
      <c r="D253" s="117">
        <f>'E) Fact soc'!G259/C253</f>
        <v>17.998480571635962</v>
      </c>
      <c r="E253" s="144">
        <f>'H) Péréquation directe'!I264/C253</f>
        <v>-4.6330767516284608</v>
      </c>
      <c r="F253" s="117">
        <f>+'I) Dépenses thématiques'!O253/'K) Plafonnement aide'!C253</f>
        <v>-10.679671458806505</v>
      </c>
      <c r="G253" s="144">
        <f t="shared" si="13"/>
        <v>2.685732361200996</v>
      </c>
      <c r="H253" s="117">
        <f t="shared" si="14"/>
        <v>13.365403820007501</v>
      </c>
      <c r="I253" s="144">
        <f t="shared" si="15"/>
        <v>0</v>
      </c>
      <c r="J253" s="59">
        <f t="shared" si="12"/>
        <v>0</v>
      </c>
      <c r="K253" s="38"/>
    </row>
    <row r="254" spans="1:11" x14ac:dyDescent="0.25">
      <c r="A254" s="51">
        <f>'A) Base RI'!A256</f>
        <v>5831</v>
      </c>
      <c r="B254" s="321" t="str">
        <f>'A) Base RI'!B256</f>
        <v>Valbroye</v>
      </c>
      <c r="C254" s="101">
        <f>'B) D RI'!U256</f>
        <v>82821.588904109609</v>
      </c>
      <c r="D254" s="117">
        <f>'E) Fact soc'!G260/C254</f>
        <v>19.043483902515195</v>
      </c>
      <c r="E254" s="144">
        <f>'H) Péréquation directe'!I265/C254</f>
        <v>-4.8356553886442688</v>
      </c>
      <c r="F254" s="117">
        <f>+'I) Dépenses thématiques'!O254/'K) Plafonnement aide'!C254</f>
        <v>-8.0810037816671159</v>
      </c>
      <c r="G254" s="144">
        <f t="shared" si="13"/>
        <v>6.1268247322038096</v>
      </c>
      <c r="H254" s="117">
        <f t="shared" si="14"/>
        <v>14.207828513870925</v>
      </c>
      <c r="I254" s="144">
        <f t="shared" si="15"/>
        <v>0</v>
      </c>
      <c r="J254" s="59">
        <f t="shared" si="12"/>
        <v>0</v>
      </c>
      <c r="K254" s="38"/>
    </row>
    <row r="255" spans="1:11" x14ac:dyDescent="0.25">
      <c r="A255" s="51">
        <f>'A) Base RI'!A257</f>
        <v>5841</v>
      </c>
      <c r="B255" s="321" t="str">
        <f>'A) Base RI'!B257</f>
        <v>Château-d'Oex</v>
      </c>
      <c r="C255" s="101">
        <f>'B) D RI'!U257</f>
        <v>112619.72</v>
      </c>
      <c r="D255" s="117">
        <f>'E) Fact soc'!G261/C255</f>
        <v>20.056824299064957</v>
      </c>
      <c r="E255" s="144">
        <f>'H) Péréquation directe'!I266/C255</f>
        <v>-0.42451484541682932</v>
      </c>
      <c r="F255" s="117">
        <f>+'I) Dépenses thématiques'!O255/'K) Plafonnement aide'!C255</f>
        <v>-19.153687255541399</v>
      </c>
      <c r="G255" s="144">
        <f t="shared" si="13"/>
        <v>0.47862219810672713</v>
      </c>
      <c r="H255" s="117">
        <f t="shared" si="14"/>
        <v>19.632309453648126</v>
      </c>
      <c r="I255" s="144">
        <f t="shared" si="15"/>
        <v>0</v>
      </c>
      <c r="J255" s="59">
        <f t="shared" si="12"/>
        <v>0</v>
      </c>
      <c r="K255" s="38"/>
    </row>
    <row r="256" spans="1:11" x14ac:dyDescent="0.25">
      <c r="A256" s="51">
        <f>'A) Base RI'!A258</f>
        <v>5842</v>
      </c>
      <c r="B256" s="321" t="str">
        <f>'A) Base RI'!B258</f>
        <v>Rossinière</v>
      </c>
      <c r="C256" s="101">
        <f>'B) D RI'!U258</f>
        <v>12532.166460905351</v>
      </c>
      <c r="D256" s="117">
        <f>'E) Fact soc'!G262/C256</f>
        <v>18.447833145973409</v>
      </c>
      <c r="E256" s="144">
        <f>'H) Péréquation directe'!I267/C256</f>
        <v>-10.503382434559379</v>
      </c>
      <c r="F256" s="117">
        <f>+'I) Dépenses thématiques'!O256/'K) Plafonnement aide'!C256</f>
        <v>-24.161695717775839</v>
      </c>
      <c r="G256" s="144">
        <f t="shared" si="13"/>
        <v>-16.217245006361807</v>
      </c>
      <c r="H256" s="117">
        <f t="shared" si="14"/>
        <v>7.9444507114140315</v>
      </c>
      <c r="I256" s="144">
        <f t="shared" si="15"/>
        <v>0</v>
      </c>
      <c r="J256" s="59">
        <f t="shared" si="12"/>
        <v>0</v>
      </c>
      <c r="K256" s="38"/>
    </row>
    <row r="257" spans="1:11" x14ac:dyDescent="0.25">
      <c r="A257" s="51">
        <f>'A) Base RI'!A259</f>
        <v>5843</v>
      </c>
      <c r="B257" s="321" t="str">
        <f>'A) Base RI'!B259</f>
        <v>Rougemont</v>
      </c>
      <c r="C257" s="101">
        <f>'B) D RI'!U259</f>
        <v>87898.663243243253</v>
      </c>
      <c r="D257" s="117">
        <f>'E) Fact soc'!G263/C257</f>
        <v>33.09987531001169</v>
      </c>
      <c r="E257" s="144">
        <f>'H) Péréquation directe'!I268/C257</f>
        <v>15.131495688307293</v>
      </c>
      <c r="F257" s="117">
        <f>+'I) Dépenses thématiques'!O257/'K) Plafonnement aide'!C257</f>
        <v>-10.102562322970909</v>
      </c>
      <c r="G257" s="144">
        <f t="shared" si="13"/>
        <v>38.128808675348068</v>
      </c>
      <c r="H257" s="117">
        <f t="shared" si="14"/>
        <v>48.23137099831898</v>
      </c>
      <c r="I257" s="144">
        <f t="shared" si="15"/>
        <v>0</v>
      </c>
      <c r="J257" s="59">
        <f t="shared" si="12"/>
        <v>0</v>
      </c>
      <c r="K257" s="38"/>
    </row>
    <row r="258" spans="1:11" x14ac:dyDescent="0.25">
      <c r="A258" s="51">
        <f>'A) Base RI'!A260</f>
        <v>5851</v>
      </c>
      <c r="B258" s="321" t="str">
        <f>'A) Base RI'!B260</f>
        <v>Allaman</v>
      </c>
      <c r="C258" s="101">
        <f>'B) D RI'!U260</f>
        <v>28628.932741935481</v>
      </c>
      <c r="D258" s="117">
        <f>'E) Fact soc'!G264/C258</f>
        <v>19.185369068801368</v>
      </c>
      <c r="E258" s="144">
        <f>'H) Péréquation directe'!I269/C258</f>
        <v>16.346241331921139</v>
      </c>
      <c r="F258" s="117">
        <f>+'I) Dépenses thématiques'!O258/'K) Plafonnement aide'!C258</f>
        <v>0</v>
      </c>
      <c r="G258" s="144">
        <f t="shared" si="13"/>
        <v>35.531610400722506</v>
      </c>
      <c r="H258" s="117">
        <f t="shared" si="14"/>
        <v>35.531610400722506</v>
      </c>
      <c r="I258" s="144">
        <f t="shared" si="15"/>
        <v>0</v>
      </c>
      <c r="J258" s="59">
        <f t="shared" si="12"/>
        <v>0</v>
      </c>
      <c r="K258" s="38"/>
    </row>
    <row r="259" spans="1:11" x14ac:dyDescent="0.25">
      <c r="A259" s="51">
        <f>'A) Base RI'!A261</f>
        <v>5852</v>
      </c>
      <c r="B259" s="321" t="str">
        <f>'A) Base RI'!B261</f>
        <v>Bursinel</v>
      </c>
      <c r="C259" s="101">
        <f>'B) D RI'!U261</f>
        <v>38777.824427480911</v>
      </c>
      <c r="D259" s="117">
        <f>'E) Fact soc'!G265/C259</f>
        <v>60.461869966843487</v>
      </c>
      <c r="E259" s="144">
        <f>'H) Péréquation directe'!I270/C259</f>
        <v>15.790588812612214</v>
      </c>
      <c r="F259" s="117">
        <f>+'I) Dépenses thématiques'!O259/'K) Plafonnement aide'!C259</f>
        <v>0</v>
      </c>
      <c r="G259" s="144">
        <f t="shared" si="13"/>
        <v>76.252458779455708</v>
      </c>
      <c r="H259" s="117">
        <f t="shared" si="14"/>
        <v>76.252458779455708</v>
      </c>
      <c r="I259" s="144">
        <f t="shared" si="15"/>
        <v>0</v>
      </c>
      <c r="J259" s="59">
        <f t="shared" si="12"/>
        <v>0</v>
      </c>
      <c r="K259" s="38"/>
    </row>
    <row r="260" spans="1:11" x14ac:dyDescent="0.25">
      <c r="A260" s="51">
        <f>'A) Base RI'!A262</f>
        <v>5853</v>
      </c>
      <c r="B260" s="321" t="str">
        <f>'A) Base RI'!B262</f>
        <v>Bursins</v>
      </c>
      <c r="C260" s="101">
        <f>'B) D RI'!U262</f>
        <v>36130.042112676056</v>
      </c>
      <c r="D260" s="117">
        <f>'E) Fact soc'!G266/C260</f>
        <v>19.223245491045425</v>
      </c>
      <c r="E260" s="144">
        <f>'H) Péréquation directe'!I271/C260</f>
        <v>16.450927619412532</v>
      </c>
      <c r="F260" s="117">
        <f>+'I) Dépenses thématiques'!O260/'K) Plafonnement aide'!C260</f>
        <v>-0.19482456856229033</v>
      </c>
      <c r="G260" s="144">
        <f t="shared" si="13"/>
        <v>35.479348541895668</v>
      </c>
      <c r="H260" s="117">
        <f t="shared" si="14"/>
        <v>35.674173110457957</v>
      </c>
      <c r="I260" s="144">
        <f t="shared" si="15"/>
        <v>0</v>
      </c>
      <c r="J260" s="59">
        <f t="shared" si="12"/>
        <v>0</v>
      </c>
      <c r="K260" s="38"/>
    </row>
    <row r="261" spans="1:11" x14ac:dyDescent="0.25">
      <c r="A261" s="51">
        <f>'A) Base RI'!A263</f>
        <v>5854</v>
      </c>
      <c r="B261" s="321" t="str">
        <f>'A) Base RI'!B263</f>
        <v>Burtigny</v>
      </c>
      <c r="C261" s="101">
        <f>'B) D RI'!U263</f>
        <v>10180.844041666667</v>
      </c>
      <c r="D261" s="117">
        <f>'E) Fact soc'!G267/C261</f>
        <v>21.813099296773505</v>
      </c>
      <c r="E261" s="144">
        <f>'H) Péréquation directe'!I272/C261</f>
        <v>3.5341902885125807E-2</v>
      </c>
      <c r="F261" s="117">
        <f>+'I) Dépenses thématiques'!O261/'K) Plafonnement aide'!C261</f>
        <v>-4.4375818787806898</v>
      </c>
      <c r="G261" s="144">
        <f t="shared" si="13"/>
        <v>17.41085932087794</v>
      </c>
      <c r="H261" s="117">
        <f t="shared" si="14"/>
        <v>21.84844119965863</v>
      </c>
      <c r="I261" s="144">
        <f t="shared" si="15"/>
        <v>0</v>
      </c>
      <c r="J261" s="59">
        <f t="shared" ref="J261:J313" si="16">-I261*C261</f>
        <v>0</v>
      </c>
      <c r="K261" s="38"/>
    </row>
    <row r="262" spans="1:11" x14ac:dyDescent="0.25">
      <c r="A262" s="51">
        <f>'A) Base RI'!A264</f>
        <v>5855</v>
      </c>
      <c r="B262" s="321" t="str">
        <f>'A) Base RI'!B264</f>
        <v>Dully</v>
      </c>
      <c r="C262" s="101">
        <f>'B) D RI'!U264</f>
        <v>78426.610408163266</v>
      </c>
      <c r="D262" s="117">
        <f>'E) Fact soc'!G268/C262</f>
        <v>26.57457342623476</v>
      </c>
      <c r="E262" s="144">
        <f>'H) Péréquation directe'!I273/C262</f>
        <v>14.501606480726551</v>
      </c>
      <c r="F262" s="117">
        <f>+'I) Dépenses thématiques'!O262/'K) Plafonnement aide'!C262</f>
        <v>0</v>
      </c>
      <c r="G262" s="144">
        <f t="shared" ref="G262:G313" si="17">SUM(D262:F262)</f>
        <v>41.076179906961315</v>
      </c>
      <c r="H262" s="117">
        <f t="shared" ref="H262:H313" si="18">G262-F262</f>
        <v>41.076179906961315</v>
      </c>
      <c r="I262" s="144">
        <f t="shared" ref="I262:I313" si="19">IF(H262&lt;I$4,H262-I$4,0)</f>
        <v>0</v>
      </c>
      <c r="J262" s="59">
        <f t="shared" si="16"/>
        <v>0</v>
      </c>
      <c r="K262" s="38"/>
    </row>
    <row r="263" spans="1:11" x14ac:dyDescent="0.25">
      <c r="A263" s="51">
        <f>'A) Base RI'!A265</f>
        <v>5856</v>
      </c>
      <c r="B263" s="321" t="str">
        <f>'A) Base RI'!B265</f>
        <v>Essertines-sur-Rolle</v>
      </c>
      <c r="C263" s="101">
        <f>'B) D RI'!U265</f>
        <v>34355.55787330318</v>
      </c>
      <c r="D263" s="117">
        <f>'E) Fact soc'!G269/C263</f>
        <v>19.674016486841655</v>
      </c>
      <c r="E263" s="144">
        <f>'H) Péréquation directe'!I274/C263</f>
        <v>16.486614380001836</v>
      </c>
      <c r="F263" s="117">
        <f>+'I) Dépenses thématiques'!O263/'K) Plafonnement aide'!C263</f>
        <v>-0.28269036076288712</v>
      </c>
      <c r="G263" s="144">
        <f t="shared" si="17"/>
        <v>35.877940506080606</v>
      </c>
      <c r="H263" s="117">
        <f t="shared" si="18"/>
        <v>36.160630866843491</v>
      </c>
      <c r="I263" s="144">
        <f t="shared" si="19"/>
        <v>0</v>
      </c>
      <c r="J263" s="59">
        <f t="shared" si="16"/>
        <v>0</v>
      </c>
      <c r="K263" s="38"/>
    </row>
    <row r="264" spans="1:11" x14ac:dyDescent="0.25">
      <c r="A264" s="51">
        <f>'A) Base RI'!A266</f>
        <v>5857</v>
      </c>
      <c r="B264" s="321" t="str">
        <f>'A) Base RI'!B266</f>
        <v>Gilly</v>
      </c>
      <c r="C264" s="101">
        <f>'B) D RI'!U266</f>
        <v>76893.262272727268</v>
      </c>
      <c r="D264" s="117">
        <f>'E) Fact soc'!G270/C264</f>
        <v>19.824041896756498</v>
      </c>
      <c r="E264" s="144">
        <f>'H) Péréquation directe'!I275/C264</f>
        <v>15.598520496210583</v>
      </c>
      <c r="F264" s="117">
        <f>+'I) Dépenses thématiques'!O264/'K) Plafonnement aide'!C264</f>
        <v>0</v>
      </c>
      <c r="G264" s="144">
        <f t="shared" si="17"/>
        <v>35.42256239296708</v>
      </c>
      <c r="H264" s="117">
        <f t="shared" si="18"/>
        <v>35.42256239296708</v>
      </c>
      <c r="I264" s="144">
        <f t="shared" si="19"/>
        <v>0</v>
      </c>
      <c r="J264" s="59">
        <f t="shared" si="16"/>
        <v>0</v>
      </c>
      <c r="K264" s="38"/>
    </row>
    <row r="265" spans="1:11" x14ac:dyDescent="0.25">
      <c r="A265" s="51">
        <f>'A) Base RI'!A267</f>
        <v>5858</v>
      </c>
      <c r="B265" s="321" t="str">
        <f>'A) Base RI'!B267</f>
        <v>Luins</v>
      </c>
      <c r="C265" s="101">
        <f>'B) D RI'!U267</f>
        <v>34234.109777777776</v>
      </c>
      <c r="D265" s="117">
        <f>'E) Fact soc'!G271/C265</f>
        <v>16.881591799886497</v>
      </c>
      <c r="E265" s="144">
        <f>'H) Péréquation directe'!I276/C265</f>
        <v>16.674652543953268</v>
      </c>
      <c r="F265" s="117">
        <f>+'I) Dépenses thématiques'!O265/'K) Plafonnement aide'!C265</f>
        <v>0</v>
      </c>
      <c r="G265" s="144">
        <f t="shared" si="17"/>
        <v>33.556244343839765</v>
      </c>
      <c r="H265" s="117">
        <f t="shared" si="18"/>
        <v>33.556244343839765</v>
      </c>
      <c r="I265" s="144">
        <f t="shared" si="19"/>
        <v>0</v>
      </c>
      <c r="J265" s="59">
        <f t="shared" si="16"/>
        <v>0</v>
      </c>
      <c r="K265" s="38"/>
    </row>
    <row r="266" spans="1:11" x14ac:dyDescent="0.25">
      <c r="A266" s="51">
        <f>'A) Base RI'!A268</f>
        <v>5859</v>
      </c>
      <c r="B266" s="321" t="str">
        <f>'A) Base RI'!B268</f>
        <v>Mont-sur-Rolle</v>
      </c>
      <c r="C266" s="101">
        <f>'B) D RI'!U268</f>
        <v>136889.24374999999</v>
      </c>
      <c r="D266" s="117">
        <f>'E) Fact soc'!G272/C266</f>
        <v>19.405389166014636</v>
      </c>
      <c r="E266" s="144">
        <f>'H) Péréquation directe'!I277/C266</f>
        <v>13.469699995776988</v>
      </c>
      <c r="F266" s="117">
        <f>+'I) Dépenses thématiques'!O266/'K) Plafonnement aide'!C266</f>
        <v>0</v>
      </c>
      <c r="G266" s="144">
        <f t="shared" si="17"/>
        <v>32.875089161791621</v>
      </c>
      <c r="H266" s="117">
        <f t="shared" si="18"/>
        <v>32.875089161791621</v>
      </c>
      <c r="I266" s="144">
        <f t="shared" si="19"/>
        <v>0</v>
      </c>
      <c r="J266" s="59">
        <f t="shared" si="16"/>
        <v>0</v>
      </c>
      <c r="K266" s="38"/>
    </row>
    <row r="267" spans="1:11" x14ac:dyDescent="0.25">
      <c r="A267" s="51">
        <f>'A) Base RI'!A269</f>
        <v>5860</v>
      </c>
      <c r="B267" s="321" t="str">
        <f>'A) Base RI'!B269</f>
        <v>Perroy</v>
      </c>
      <c r="C267" s="101">
        <f>'B) D RI'!U269</f>
        <v>87860.762038461558</v>
      </c>
      <c r="D267" s="117">
        <f>'E) Fact soc'!G273/C267</f>
        <v>19.238134889212226</v>
      </c>
      <c r="E267" s="144">
        <f>'H) Péréquation directe'!I278/C267</f>
        <v>15.155026422133551</v>
      </c>
      <c r="F267" s="117">
        <f>+'I) Dépenses thématiques'!O267/'K) Plafonnement aide'!C267</f>
        <v>0</v>
      </c>
      <c r="G267" s="144">
        <f t="shared" si="17"/>
        <v>34.393161311345779</v>
      </c>
      <c r="H267" s="117">
        <f t="shared" si="18"/>
        <v>34.393161311345779</v>
      </c>
      <c r="I267" s="144">
        <f t="shared" si="19"/>
        <v>0</v>
      </c>
      <c r="J267" s="59">
        <f t="shared" si="16"/>
        <v>0</v>
      </c>
      <c r="K267" s="38"/>
    </row>
    <row r="268" spans="1:11" x14ac:dyDescent="0.25">
      <c r="A268" s="51">
        <f>'A) Base RI'!A270</f>
        <v>5861</v>
      </c>
      <c r="B268" s="321" t="str">
        <f>'A) Base RI'!B270</f>
        <v>Rolle</v>
      </c>
      <c r="C268" s="101">
        <f>'B) D RI'!U270</f>
        <v>824107.17394957971</v>
      </c>
      <c r="D268" s="117">
        <f>'E) Fact soc'!G274/C268</f>
        <v>30.290256936555384</v>
      </c>
      <c r="E268" s="144">
        <f>'H) Péréquation directe'!I279/C268</f>
        <v>12.004926380751366</v>
      </c>
      <c r="F268" s="117">
        <f>+'I) Dépenses thématiques'!O268/'K) Plafonnement aide'!C268</f>
        <v>0</v>
      </c>
      <c r="G268" s="144">
        <f t="shared" si="17"/>
        <v>42.295183317306751</v>
      </c>
      <c r="H268" s="117">
        <f t="shared" si="18"/>
        <v>42.295183317306751</v>
      </c>
      <c r="I268" s="144">
        <f t="shared" si="19"/>
        <v>0</v>
      </c>
      <c r="J268" s="59">
        <f t="shared" si="16"/>
        <v>0</v>
      </c>
      <c r="K268" s="38"/>
    </row>
    <row r="269" spans="1:11" x14ac:dyDescent="0.25">
      <c r="A269" s="51">
        <f>'A) Base RI'!A271</f>
        <v>5862</v>
      </c>
      <c r="B269" s="321" t="str">
        <f>'A) Base RI'!B271</f>
        <v>Tartegnin</v>
      </c>
      <c r="C269" s="101">
        <f>'B) D RI'!U271</f>
        <v>10629.942633744855</v>
      </c>
      <c r="D269" s="117">
        <f>'E) Fact soc'!G275/C269</f>
        <v>21.874346509863894</v>
      </c>
      <c r="E269" s="144">
        <f>'H) Péréquation directe'!I280/C269</f>
        <v>16.303982918024698</v>
      </c>
      <c r="F269" s="117">
        <f>+'I) Dépenses thématiques'!O269/'K) Plafonnement aide'!C269</f>
        <v>0</v>
      </c>
      <c r="G269" s="144">
        <f t="shared" si="17"/>
        <v>38.178329427888592</v>
      </c>
      <c r="H269" s="117">
        <f t="shared" si="18"/>
        <v>38.178329427888592</v>
      </c>
      <c r="I269" s="144">
        <f t="shared" si="19"/>
        <v>0</v>
      </c>
      <c r="J269" s="59">
        <f t="shared" si="16"/>
        <v>0</v>
      </c>
      <c r="K269" s="38"/>
    </row>
    <row r="270" spans="1:11" x14ac:dyDescent="0.25">
      <c r="A270" s="51">
        <f>'A) Base RI'!A272</f>
        <v>5863</v>
      </c>
      <c r="B270" s="321" t="str">
        <f>'A) Base RI'!B272</f>
        <v>Vinzel</v>
      </c>
      <c r="C270" s="101">
        <f>'B) D RI'!U272</f>
        <v>22869.43104477612</v>
      </c>
      <c r="D270" s="117">
        <f>'E) Fact soc'!G276/C270</f>
        <v>17.401997056701401</v>
      </c>
      <c r="E270" s="144">
        <f>'H) Péréquation directe'!I281/C270</f>
        <v>16.457110927545433</v>
      </c>
      <c r="F270" s="117">
        <f>+'I) Dépenses thématiques'!O270/'K) Plafonnement aide'!C270</f>
        <v>-12.05924775876252</v>
      </c>
      <c r="G270" s="144">
        <f t="shared" si="17"/>
        <v>21.799860225484313</v>
      </c>
      <c r="H270" s="117">
        <f t="shared" si="18"/>
        <v>33.859107984246833</v>
      </c>
      <c r="I270" s="144">
        <f t="shared" si="19"/>
        <v>0</v>
      </c>
      <c r="J270" s="59">
        <f t="shared" si="16"/>
        <v>0</v>
      </c>
      <c r="K270" s="38"/>
    </row>
    <row r="271" spans="1:11" x14ac:dyDescent="0.25">
      <c r="A271" s="51">
        <f>'A) Base RI'!A273</f>
        <v>5871</v>
      </c>
      <c r="B271" s="321" t="str">
        <f>'A) Base RI'!B273</f>
        <v>L'Abbaye</v>
      </c>
      <c r="C271" s="101">
        <f>'B) D RI'!U273</f>
        <v>47794.781759379046</v>
      </c>
      <c r="D271" s="117">
        <f>'E) Fact soc'!G277/C271</f>
        <v>22.125964277416124</v>
      </c>
      <c r="E271" s="144">
        <f>'H) Péréquation directe'!I282/C271</f>
        <v>3.4120841117689578</v>
      </c>
      <c r="F271" s="117">
        <f>+'I) Dépenses thématiques'!O271/'K) Plafonnement aide'!C271</f>
        <v>-7.5518949335520684</v>
      </c>
      <c r="G271" s="144">
        <f t="shared" si="17"/>
        <v>17.986153455633016</v>
      </c>
      <c r="H271" s="117">
        <f t="shared" si="18"/>
        <v>25.538048389185086</v>
      </c>
      <c r="I271" s="144">
        <f t="shared" si="19"/>
        <v>0</v>
      </c>
      <c r="J271" s="59">
        <f t="shared" si="16"/>
        <v>0</v>
      </c>
      <c r="K271" s="38"/>
    </row>
    <row r="272" spans="1:11" x14ac:dyDescent="0.25">
      <c r="A272" s="51">
        <f>'A) Base RI'!A274</f>
        <v>5872</v>
      </c>
      <c r="B272" s="321" t="str">
        <f>'A) Base RI'!B274</f>
        <v>Le Chenit</v>
      </c>
      <c r="C272" s="101">
        <f>'B) D RI'!U274</f>
        <v>222566.8809866097</v>
      </c>
      <c r="D272" s="117">
        <f>'E) Fact soc'!G278/C272</f>
        <v>23.30496524507782</v>
      </c>
      <c r="E272" s="144">
        <f>'H) Péréquation directe'!I283/C272</f>
        <v>11.359334083365413</v>
      </c>
      <c r="F272" s="117">
        <f>+'I) Dépenses thématiques'!O272/'K) Plafonnement aide'!C272</f>
        <v>-7.9912988707768795</v>
      </c>
      <c r="G272" s="144">
        <f t="shared" si="17"/>
        <v>26.673000457666355</v>
      </c>
      <c r="H272" s="117">
        <f t="shared" si="18"/>
        <v>34.664299328443235</v>
      </c>
      <c r="I272" s="144">
        <f t="shared" si="19"/>
        <v>0</v>
      </c>
      <c r="J272" s="59">
        <f t="shared" si="16"/>
        <v>0</v>
      </c>
      <c r="K272" s="38"/>
    </row>
    <row r="273" spans="1:11" x14ac:dyDescent="0.25">
      <c r="A273" s="51">
        <f>'A) Base RI'!A275</f>
        <v>5873</v>
      </c>
      <c r="B273" s="321" t="str">
        <f>'A) Base RI'!B275</f>
        <v>Le Lieu</v>
      </c>
      <c r="C273" s="101">
        <f>'B) D RI'!U275</f>
        <v>33457.98871794872</v>
      </c>
      <c r="D273" s="117">
        <f>'E) Fact soc'!G279/C273</f>
        <v>23.426684146623451</v>
      </c>
      <c r="E273" s="144">
        <f>'H) Péréquation directe'!I284/C273</f>
        <v>13.180992767038338</v>
      </c>
      <c r="F273" s="117">
        <f>+'I) Dépenses thématiques'!O273/'K) Plafonnement aide'!C273</f>
        <v>-21.893504770517392</v>
      </c>
      <c r="G273" s="144">
        <f t="shared" si="17"/>
        <v>14.714172143144399</v>
      </c>
      <c r="H273" s="117">
        <f t="shared" si="18"/>
        <v>36.607676913661791</v>
      </c>
      <c r="I273" s="144">
        <f t="shared" si="19"/>
        <v>0</v>
      </c>
      <c r="J273" s="59">
        <f t="shared" si="16"/>
        <v>0</v>
      </c>
      <c r="K273" s="38"/>
    </row>
    <row r="274" spans="1:11" x14ac:dyDescent="0.25">
      <c r="A274" s="51">
        <f>'A) Base RI'!A276</f>
        <v>5881</v>
      </c>
      <c r="B274" s="321" t="str">
        <f>'A) Base RI'!B276</f>
        <v>Blonay</v>
      </c>
      <c r="C274" s="101">
        <f>'B) D RI'!U276</f>
        <v>339692.04942857131</v>
      </c>
      <c r="D274" s="117">
        <f>'E) Fact soc'!G280/C274</f>
        <v>16.921418193072789</v>
      </c>
      <c r="E274" s="144">
        <f>'H) Péréquation directe'!I285/C274</f>
        <v>11.188770200316831</v>
      </c>
      <c r="F274" s="117">
        <f>+'I) Dépenses thématiques'!O274/'K) Plafonnement aide'!C274</f>
        <v>-2.5846281939591509</v>
      </c>
      <c r="G274" s="144">
        <f t="shared" si="17"/>
        <v>25.525560199430469</v>
      </c>
      <c r="H274" s="117">
        <f t="shared" si="18"/>
        <v>28.11018839338962</v>
      </c>
      <c r="I274" s="144">
        <f t="shared" si="19"/>
        <v>0</v>
      </c>
      <c r="J274" s="59">
        <f t="shared" si="16"/>
        <v>0</v>
      </c>
      <c r="K274" s="38"/>
    </row>
    <row r="275" spans="1:11" x14ac:dyDescent="0.25">
      <c r="A275" s="51">
        <f>'A) Base RI'!A277</f>
        <v>5882</v>
      </c>
      <c r="B275" s="321" t="str">
        <f>'A) Base RI'!B277</f>
        <v>Chardonne</v>
      </c>
      <c r="C275" s="101">
        <f>'B) D RI'!U277</f>
        <v>157386.77911764712</v>
      </c>
      <c r="D275" s="117">
        <f>'E) Fact soc'!G281/C275</f>
        <v>23.164658591832101</v>
      </c>
      <c r="E275" s="144">
        <f>'H) Péréquation directe'!I286/C275</f>
        <v>13.639936526245185</v>
      </c>
      <c r="F275" s="117">
        <f>+'I) Dépenses thématiques'!O275/'K) Plafonnement aide'!C275</f>
        <v>-1.7276929832741466</v>
      </c>
      <c r="G275" s="144">
        <f t="shared" si="17"/>
        <v>35.076902134803142</v>
      </c>
      <c r="H275" s="117">
        <f t="shared" si="18"/>
        <v>36.804595118077287</v>
      </c>
      <c r="I275" s="144">
        <f t="shared" si="19"/>
        <v>0</v>
      </c>
      <c r="J275" s="59">
        <f t="shared" si="16"/>
        <v>0</v>
      </c>
      <c r="K275" s="38"/>
    </row>
    <row r="276" spans="1:11" x14ac:dyDescent="0.25">
      <c r="A276" s="51">
        <f>'A) Base RI'!A278</f>
        <v>5883</v>
      </c>
      <c r="B276" s="321" t="str">
        <f>'A) Base RI'!B278</f>
        <v>Corseaux</v>
      </c>
      <c r="C276" s="101">
        <f>'B) D RI'!U278</f>
        <v>151056.33637681158</v>
      </c>
      <c r="D276" s="117">
        <f>'E) Fact soc'!G282/C276</f>
        <v>21.249759492537031</v>
      </c>
      <c r="E276" s="144">
        <f>'H) Péréquation directe'!I287/C276</f>
        <v>14.198271130607912</v>
      </c>
      <c r="F276" s="117">
        <f>+'I) Dépenses thématiques'!O276/'K) Plafonnement aide'!C276</f>
        <v>0</v>
      </c>
      <c r="G276" s="144">
        <f t="shared" si="17"/>
        <v>35.448030623144945</v>
      </c>
      <c r="H276" s="117">
        <f t="shared" si="18"/>
        <v>35.448030623144945</v>
      </c>
      <c r="I276" s="144">
        <f t="shared" si="19"/>
        <v>0</v>
      </c>
      <c r="J276" s="59">
        <f t="shared" si="16"/>
        <v>0</v>
      </c>
      <c r="K276" s="38"/>
    </row>
    <row r="277" spans="1:11" x14ac:dyDescent="0.25">
      <c r="A277" s="51">
        <f>'A) Base RI'!A279</f>
        <v>5884</v>
      </c>
      <c r="B277" s="321" t="str">
        <f>'A) Base RI'!B279</f>
        <v>Corsier-sur-Vevey</v>
      </c>
      <c r="C277" s="101">
        <f>'B) D RI'!U279</f>
        <v>131937.87883838385</v>
      </c>
      <c r="D277" s="117">
        <f>'E) Fact soc'!G283/C277</f>
        <v>18.214651393533977</v>
      </c>
      <c r="E277" s="144">
        <f>'H) Péréquation directe'!I288/C277</f>
        <v>8.3699727899151277</v>
      </c>
      <c r="F277" s="117">
        <f>+'I) Dépenses thématiques'!O277/'K) Plafonnement aide'!C277</f>
        <v>-7.755254386342517</v>
      </c>
      <c r="G277" s="144">
        <f t="shared" si="17"/>
        <v>18.829369797106587</v>
      </c>
      <c r="H277" s="117">
        <f t="shared" si="18"/>
        <v>26.584624183449105</v>
      </c>
      <c r="I277" s="144">
        <f t="shared" si="19"/>
        <v>0</v>
      </c>
      <c r="J277" s="59">
        <f t="shared" si="16"/>
        <v>0</v>
      </c>
      <c r="K277" s="38"/>
    </row>
    <row r="278" spans="1:11" x14ac:dyDescent="0.25">
      <c r="A278" s="51">
        <f>'A) Base RI'!A280</f>
        <v>5885</v>
      </c>
      <c r="B278" s="321" t="str">
        <f>'A) Base RI'!B280</f>
        <v>Jongny</v>
      </c>
      <c r="C278" s="101">
        <f>'B) D RI'!U280</f>
        <v>94073.949178403767</v>
      </c>
      <c r="D278" s="117">
        <f>'E) Fact soc'!G284/C278</f>
        <v>20.417492628133907</v>
      </c>
      <c r="E278" s="144">
        <f>'H) Péréquation directe'!I289/C278</f>
        <v>15.0501809987447</v>
      </c>
      <c r="F278" s="117">
        <f>+'I) Dépenses thématiques'!O278/'K) Plafonnement aide'!C278</f>
        <v>-0.20526377549721828</v>
      </c>
      <c r="G278" s="144">
        <f t="shared" si="17"/>
        <v>35.262409851381392</v>
      </c>
      <c r="H278" s="117">
        <f t="shared" si="18"/>
        <v>35.467673626878607</v>
      </c>
      <c r="I278" s="144">
        <f t="shared" si="19"/>
        <v>0</v>
      </c>
      <c r="J278" s="59">
        <f t="shared" si="16"/>
        <v>0</v>
      </c>
      <c r="K278" s="38"/>
    </row>
    <row r="279" spans="1:11" x14ac:dyDescent="0.25">
      <c r="A279" s="51">
        <f>'A) Base RI'!A281</f>
        <v>5886</v>
      </c>
      <c r="B279" s="321" t="str">
        <f>'A) Base RI'!B281</f>
        <v>Montreux</v>
      </c>
      <c r="C279" s="101">
        <f>'B) D RI'!U281</f>
        <v>1128562.492051282</v>
      </c>
      <c r="D279" s="117">
        <f>'E) Fact soc'!G285/C279</f>
        <v>22.221786611902782</v>
      </c>
      <c r="E279" s="144">
        <f>'H) Péréquation directe'!I290/C279</f>
        <v>-1.7285550771758791</v>
      </c>
      <c r="F279" s="117">
        <f>+'I) Dépenses thématiques'!O279/'K) Plafonnement aide'!C279</f>
        <v>-5.0211654544518094</v>
      </c>
      <c r="G279" s="144">
        <f t="shared" si="17"/>
        <v>15.472066080275093</v>
      </c>
      <c r="H279" s="117">
        <f t="shared" si="18"/>
        <v>20.493231534726903</v>
      </c>
      <c r="I279" s="144">
        <f t="shared" si="19"/>
        <v>0</v>
      </c>
      <c r="J279" s="59">
        <f t="shared" si="16"/>
        <v>0</v>
      </c>
      <c r="K279" s="38"/>
    </row>
    <row r="280" spans="1:11" x14ac:dyDescent="0.25">
      <c r="A280" s="51">
        <f>'A) Base RI'!A282</f>
        <v>5888</v>
      </c>
      <c r="B280" s="321" t="str">
        <f>'A) Base RI'!B282</f>
        <v>Saint-Légier-La Chiésaz</v>
      </c>
      <c r="C280" s="101">
        <f>'B) D RI'!U282</f>
        <v>294301.72840796027</v>
      </c>
      <c r="D280" s="117">
        <f>'E) Fact soc'!G286/C280</f>
        <v>18.94289047629373</v>
      </c>
      <c r="E280" s="144">
        <f>'H) Péréquation directe'!I291/C280</f>
        <v>12.001689081069655</v>
      </c>
      <c r="F280" s="117">
        <f>+'I) Dépenses thématiques'!O280/'K) Plafonnement aide'!C280</f>
        <v>-1.0121744478503296</v>
      </c>
      <c r="G280" s="144">
        <f t="shared" si="17"/>
        <v>29.932405109513052</v>
      </c>
      <c r="H280" s="117">
        <f t="shared" si="18"/>
        <v>30.944579557363383</v>
      </c>
      <c r="I280" s="144">
        <f t="shared" si="19"/>
        <v>0</v>
      </c>
      <c r="J280" s="59">
        <f t="shared" si="16"/>
        <v>0</v>
      </c>
      <c r="K280" s="38"/>
    </row>
    <row r="281" spans="1:11" x14ac:dyDescent="0.25">
      <c r="A281" s="51">
        <f>'A) Base RI'!A283</f>
        <v>5889</v>
      </c>
      <c r="B281" s="321" t="str">
        <f>'A) Base RI'!B283</f>
        <v>La Tour-de-Peilz</v>
      </c>
      <c r="C281" s="101">
        <f>'B) D RI'!U283</f>
        <v>666166.0371614584</v>
      </c>
      <c r="D281" s="117">
        <f>'E) Fact soc'!G287/C281</f>
        <v>18.062355999204758</v>
      </c>
      <c r="E281" s="144">
        <f>'H) Péréquation directe'!I292/C281</f>
        <v>8.6787063200980885</v>
      </c>
      <c r="F281" s="117">
        <f>+'I) Dépenses thématiques'!O281/'K) Plafonnement aide'!C281</f>
        <v>0</v>
      </c>
      <c r="G281" s="144">
        <f t="shared" si="17"/>
        <v>26.741062319302848</v>
      </c>
      <c r="H281" s="117">
        <f t="shared" si="18"/>
        <v>26.741062319302848</v>
      </c>
      <c r="I281" s="144">
        <f t="shared" si="19"/>
        <v>0</v>
      </c>
      <c r="J281" s="59">
        <f t="shared" si="16"/>
        <v>0</v>
      </c>
      <c r="K281" s="38"/>
    </row>
    <row r="282" spans="1:11" x14ac:dyDescent="0.25">
      <c r="A282" s="51">
        <f>'A) Base RI'!A284</f>
        <v>5890</v>
      </c>
      <c r="B282" s="321" t="str">
        <f>'A) Base RI'!B284</f>
        <v>Vevey</v>
      </c>
      <c r="C282" s="101">
        <f>'B) D RI'!U284</f>
        <v>976058.24146118714</v>
      </c>
      <c r="D282" s="117">
        <f>'E) Fact soc'!G288/C282</f>
        <v>18.157903912218774</v>
      </c>
      <c r="E282" s="144">
        <f>'H) Péréquation directe'!I293/C282</f>
        <v>3.4873566526407718</v>
      </c>
      <c r="F282" s="117">
        <f>+'I) Dépenses thématiques'!O282/'K) Plafonnement aide'!C282</f>
        <v>-1.8107659839959833</v>
      </c>
      <c r="G282" s="144">
        <f t="shared" si="17"/>
        <v>19.834494580863563</v>
      </c>
      <c r="H282" s="117">
        <f t="shared" si="18"/>
        <v>21.645260564859548</v>
      </c>
      <c r="I282" s="144">
        <f t="shared" si="19"/>
        <v>0</v>
      </c>
      <c r="J282" s="59">
        <f t="shared" si="16"/>
        <v>0</v>
      </c>
      <c r="K282" s="38"/>
    </row>
    <row r="283" spans="1:11" x14ac:dyDescent="0.25">
      <c r="A283" s="51">
        <f>'A) Base RI'!A285</f>
        <v>5891</v>
      </c>
      <c r="B283" s="321" t="str">
        <f>'A) Base RI'!B285</f>
        <v>Veytaux</v>
      </c>
      <c r="C283" s="101">
        <f>'B) D RI'!U285</f>
        <v>35228.276473429949</v>
      </c>
      <c r="D283" s="117">
        <f>'E) Fact soc'!G289/C283</f>
        <v>18.469021770519241</v>
      </c>
      <c r="E283" s="144">
        <f>'H) Péréquation directe'!I294/C283</f>
        <v>14.04052681196938</v>
      </c>
      <c r="F283" s="117">
        <f>+'I) Dépenses thématiques'!O283/'K) Plafonnement aide'!C283</f>
        <v>-8.6223618270393185</v>
      </c>
      <c r="G283" s="144">
        <f t="shared" si="17"/>
        <v>23.887186755449299</v>
      </c>
      <c r="H283" s="117">
        <f t="shared" si="18"/>
        <v>32.50954858248862</v>
      </c>
      <c r="I283" s="144">
        <f t="shared" si="19"/>
        <v>0</v>
      </c>
      <c r="J283" s="59">
        <f t="shared" si="16"/>
        <v>0</v>
      </c>
      <c r="K283" s="38"/>
    </row>
    <row r="284" spans="1:11" x14ac:dyDescent="0.25">
      <c r="A284" s="51">
        <f>'A) Base RI'!A286</f>
        <v>5902</v>
      </c>
      <c r="B284" s="321" t="str">
        <f>'A) Base RI'!B286</f>
        <v>Belmont-sur-Yverdon</v>
      </c>
      <c r="C284" s="101">
        <f>'B) D RI'!U286</f>
        <v>9905.4513157894726</v>
      </c>
      <c r="D284" s="117">
        <f>'E) Fact soc'!G290/C284</f>
        <v>18.217067130286363</v>
      </c>
      <c r="E284" s="144">
        <f>'H) Péréquation directe'!I295/C284</f>
        <v>-1.5497845388243947</v>
      </c>
      <c r="F284" s="117">
        <f>+'I) Dépenses thématiques'!O284/'K) Plafonnement aide'!C284</f>
        <v>-34.797005184965634</v>
      </c>
      <c r="G284" s="144">
        <f t="shared" si="17"/>
        <v>-18.129722593503665</v>
      </c>
      <c r="H284" s="117">
        <f t="shared" si="18"/>
        <v>16.667282591461969</v>
      </c>
      <c r="I284" s="144">
        <f t="shared" si="19"/>
        <v>0</v>
      </c>
      <c r="J284" s="59">
        <f t="shared" si="16"/>
        <v>0</v>
      </c>
      <c r="K284" s="38"/>
    </row>
    <row r="285" spans="1:11" x14ac:dyDescent="0.25">
      <c r="A285" s="51">
        <f>'A) Base RI'!A287</f>
        <v>5903</v>
      </c>
      <c r="B285" s="321" t="str">
        <f>'A) Base RI'!B287</f>
        <v>Bioley-Magnoux</v>
      </c>
      <c r="C285" s="101">
        <f>'B) D RI'!U287</f>
        <v>5979.8765830115835</v>
      </c>
      <c r="D285" s="117">
        <f>'E) Fact soc'!G291/C285</f>
        <v>17.606526368221694</v>
      </c>
      <c r="E285" s="144">
        <f>'H) Péréquation directe'!I296/C285</f>
        <v>-0.13136358027508885</v>
      </c>
      <c r="F285" s="117">
        <f>+'I) Dépenses thématiques'!O285/'K) Plafonnement aide'!C285</f>
        <v>-46.93506494985612</v>
      </c>
      <c r="G285" s="144">
        <f t="shared" si="17"/>
        <v>-29.459902161909515</v>
      </c>
      <c r="H285" s="117">
        <f t="shared" si="18"/>
        <v>17.475162787946605</v>
      </c>
      <c r="I285" s="144">
        <f t="shared" si="19"/>
        <v>0</v>
      </c>
      <c r="J285" s="59">
        <f t="shared" si="16"/>
        <v>0</v>
      </c>
      <c r="K285" s="38"/>
    </row>
    <row r="286" spans="1:11" x14ac:dyDescent="0.25">
      <c r="A286" s="51">
        <f>'A) Base RI'!A288</f>
        <v>5904</v>
      </c>
      <c r="B286" s="321" t="str">
        <f>'A) Base RI'!B288</f>
        <v>Chamblon</v>
      </c>
      <c r="C286" s="101">
        <f>'B) D RI'!U288</f>
        <v>21723.445757575762</v>
      </c>
      <c r="D286" s="117">
        <f>'E) Fact soc'!G292/C286</f>
        <v>17.376210272945841</v>
      </c>
      <c r="E286" s="144">
        <f>'H) Péréquation directe'!I297/C286</f>
        <v>14.311189118162979</v>
      </c>
      <c r="F286" s="117">
        <f>+'I) Dépenses thématiques'!O286/'K) Plafonnement aide'!C286</f>
        <v>0</v>
      </c>
      <c r="G286" s="144">
        <f t="shared" si="17"/>
        <v>31.687399391108819</v>
      </c>
      <c r="H286" s="117">
        <f t="shared" si="18"/>
        <v>31.687399391108819</v>
      </c>
      <c r="I286" s="144">
        <f t="shared" si="19"/>
        <v>0</v>
      </c>
      <c r="J286" s="59">
        <f t="shared" si="16"/>
        <v>0</v>
      </c>
      <c r="K286" s="38"/>
    </row>
    <row r="287" spans="1:11" x14ac:dyDescent="0.25">
      <c r="A287" s="51">
        <f>'A) Base RI'!A289</f>
        <v>5905</v>
      </c>
      <c r="B287" s="321" t="str">
        <f>'A) Base RI'!B289</f>
        <v>Champvent</v>
      </c>
      <c r="C287" s="101">
        <f>'B) D RI'!U289</f>
        <v>23277.051267605631</v>
      </c>
      <c r="D287" s="117">
        <f>'E) Fact soc'!G293/C287</f>
        <v>17.507541640031494</v>
      </c>
      <c r="E287" s="144">
        <f>'H) Péréquation directe'!I298/C287</f>
        <v>9.8965687493665548</v>
      </c>
      <c r="F287" s="117">
        <f>+'I) Dépenses thématiques'!O287/'K) Plafonnement aide'!C287</f>
        <v>-2.8770578967686768</v>
      </c>
      <c r="G287" s="144">
        <f t="shared" si="17"/>
        <v>24.527052492629373</v>
      </c>
      <c r="H287" s="117">
        <f t="shared" si="18"/>
        <v>27.404110389398049</v>
      </c>
      <c r="I287" s="144">
        <f t="shared" si="19"/>
        <v>0</v>
      </c>
      <c r="J287" s="59">
        <f t="shared" si="16"/>
        <v>0</v>
      </c>
      <c r="K287" s="38"/>
    </row>
    <row r="288" spans="1:11" x14ac:dyDescent="0.25">
      <c r="A288" s="51">
        <f>'A) Base RI'!A290</f>
        <v>5907</v>
      </c>
      <c r="B288" s="321" t="str">
        <f>'A) Base RI'!B290</f>
        <v>Chavannes-le-Chêne</v>
      </c>
      <c r="C288" s="101">
        <f>'B) D RI'!U290</f>
        <v>8647.1699999999983</v>
      </c>
      <c r="D288" s="117">
        <f>'E) Fact soc'!G294/C288</f>
        <v>15.77490996179997</v>
      </c>
      <c r="E288" s="144">
        <f>'H) Péréquation directe'!I299/C288</f>
        <v>1.950326351252244</v>
      </c>
      <c r="F288" s="117">
        <f>+'I) Dépenses thématiques'!O288/'K) Plafonnement aide'!C288</f>
        <v>-9.0205340075736</v>
      </c>
      <c r="G288" s="144">
        <f t="shared" si="17"/>
        <v>8.7047023054786141</v>
      </c>
      <c r="H288" s="117">
        <f t="shared" si="18"/>
        <v>17.725236313052214</v>
      </c>
      <c r="I288" s="144">
        <f t="shared" si="19"/>
        <v>0</v>
      </c>
      <c r="J288" s="59">
        <f t="shared" si="16"/>
        <v>0</v>
      </c>
      <c r="K288" s="38"/>
    </row>
    <row r="289" spans="1:11" x14ac:dyDescent="0.25">
      <c r="A289" s="51">
        <f>'A) Base RI'!A291</f>
        <v>5908</v>
      </c>
      <c r="B289" s="321" t="str">
        <f>'A) Base RI'!B291</f>
        <v>Chêne-Pâquier</v>
      </c>
      <c r="C289" s="101">
        <f>'B) D RI'!U291</f>
        <v>2751.637341772152</v>
      </c>
      <c r="D289" s="117">
        <f>'E) Fact soc'!G295/C289</f>
        <v>15.531151284986123</v>
      </c>
      <c r="E289" s="144">
        <f>'H) Péréquation directe'!I300/C289</f>
        <v>-17.793340110872201</v>
      </c>
      <c r="F289" s="117">
        <f>+'I) Dépenses thématiques'!O289/'K) Plafonnement aide'!C289</f>
        <v>-12.246644126799588</v>
      </c>
      <c r="G289" s="144">
        <f t="shared" si="17"/>
        <v>-14.508832952685665</v>
      </c>
      <c r="H289" s="117">
        <f t="shared" si="18"/>
        <v>-2.2621888258860778</v>
      </c>
      <c r="I289" s="144">
        <f t="shared" si="19"/>
        <v>0</v>
      </c>
      <c r="J289" s="59">
        <f t="shared" si="16"/>
        <v>0</v>
      </c>
      <c r="K289" s="38"/>
    </row>
    <row r="290" spans="1:11" x14ac:dyDescent="0.25">
      <c r="A290" s="51">
        <f>'A) Base RI'!A292</f>
        <v>5909</v>
      </c>
      <c r="B290" s="321" t="str">
        <f>'A) Base RI'!B292</f>
        <v>Cheseaux-Noréaz</v>
      </c>
      <c r="C290" s="101">
        <f>'B) D RI'!U292</f>
        <v>27973.27357142857</v>
      </c>
      <c r="D290" s="117">
        <f>'E) Fact soc'!G296/C290</f>
        <v>19.921317402161417</v>
      </c>
      <c r="E290" s="144">
        <f>'H) Péréquation directe'!I301/C290</f>
        <v>13.490411148031457</v>
      </c>
      <c r="F290" s="117">
        <f>+'I) Dépenses thématiques'!O290/'K) Plafonnement aide'!C290</f>
        <v>-4.0990241672616294</v>
      </c>
      <c r="G290" s="144">
        <f t="shared" si="17"/>
        <v>29.312704382931248</v>
      </c>
      <c r="H290" s="117">
        <f t="shared" si="18"/>
        <v>33.411728550192876</v>
      </c>
      <c r="I290" s="144">
        <f t="shared" si="19"/>
        <v>0</v>
      </c>
      <c r="J290" s="59">
        <f t="shared" si="16"/>
        <v>0</v>
      </c>
      <c r="K290" s="38"/>
    </row>
    <row r="291" spans="1:11" x14ac:dyDescent="0.25">
      <c r="A291" s="51">
        <f>'A) Base RI'!A293</f>
        <v>5910</v>
      </c>
      <c r="B291" s="321" t="str">
        <f>'A) Base RI'!B293</f>
        <v>Cronay</v>
      </c>
      <c r="C291" s="101">
        <f>'B) D RI'!U293</f>
        <v>10127.988607594936</v>
      </c>
      <c r="D291" s="117">
        <f>'E) Fact soc'!G297/C291</f>
        <v>15.432336601185151</v>
      </c>
      <c r="E291" s="144">
        <f>'H) Péréquation directe'!I302/C291</f>
        <v>-2.0845883324866401</v>
      </c>
      <c r="F291" s="117">
        <f>+'I) Dépenses thématiques'!O291/'K) Plafonnement aide'!C291</f>
        <v>-8.858815530567929</v>
      </c>
      <c r="G291" s="144">
        <f t="shared" si="17"/>
        <v>4.4889327381305808</v>
      </c>
      <c r="H291" s="117">
        <f t="shared" si="18"/>
        <v>13.34774826869851</v>
      </c>
      <c r="I291" s="144">
        <f t="shared" si="19"/>
        <v>0</v>
      </c>
      <c r="J291" s="59">
        <f t="shared" si="16"/>
        <v>0</v>
      </c>
      <c r="K291" s="38"/>
    </row>
    <row r="292" spans="1:11" x14ac:dyDescent="0.25">
      <c r="A292" s="51">
        <f>'A) Base RI'!A294</f>
        <v>5911</v>
      </c>
      <c r="B292" s="321" t="str">
        <f>'A) Base RI'!B294</f>
        <v>Cuarny</v>
      </c>
      <c r="C292" s="101">
        <f>'B) D RI'!U294</f>
        <v>7075.4874683544303</v>
      </c>
      <c r="D292" s="117">
        <f>'E) Fact soc'!G298/C292</f>
        <v>15.763421437769296</v>
      </c>
      <c r="E292" s="144">
        <f>'H) Péréquation directe'!I303/C292</f>
        <v>2.0960012183673018</v>
      </c>
      <c r="F292" s="117">
        <f>+'I) Dépenses thématiques'!O292/'K) Plafonnement aide'!C292</f>
        <v>-2.837496473594102</v>
      </c>
      <c r="G292" s="144">
        <f t="shared" si="17"/>
        <v>15.021926182542495</v>
      </c>
      <c r="H292" s="117">
        <f t="shared" si="18"/>
        <v>17.859422656136598</v>
      </c>
      <c r="I292" s="144">
        <f t="shared" si="19"/>
        <v>0</v>
      </c>
      <c r="J292" s="59">
        <f t="shared" si="16"/>
        <v>0</v>
      </c>
      <c r="K292" s="38"/>
    </row>
    <row r="293" spans="1:11" x14ac:dyDescent="0.25">
      <c r="A293" s="51">
        <f>'A) Base RI'!A295</f>
        <v>5912</v>
      </c>
      <c r="B293" s="321" t="str">
        <f>'A) Base RI'!B295</f>
        <v>Démoret</v>
      </c>
      <c r="C293" s="101">
        <f>'B) D RI'!U295</f>
        <v>3190.0809876543208</v>
      </c>
      <c r="D293" s="117">
        <f>'E) Fact soc'!G299/C293</f>
        <v>17.250266337474073</v>
      </c>
      <c r="E293" s="144">
        <f>'H) Péréquation directe'!I304/C293</f>
        <v>-13.38759838158632</v>
      </c>
      <c r="F293" s="117">
        <f>+'I) Dépenses thématiques'!O293/'K) Plafonnement aide'!C293</f>
        <v>-4.580605441282918</v>
      </c>
      <c r="G293" s="144">
        <f t="shared" si="17"/>
        <v>-0.717937485395165</v>
      </c>
      <c r="H293" s="117">
        <f t="shared" si="18"/>
        <v>3.862667955887753</v>
      </c>
      <c r="I293" s="144">
        <f t="shared" si="19"/>
        <v>0</v>
      </c>
      <c r="J293" s="59">
        <f t="shared" si="16"/>
        <v>0</v>
      </c>
      <c r="K293" s="38"/>
    </row>
    <row r="294" spans="1:11" x14ac:dyDescent="0.25">
      <c r="A294" s="51">
        <f>'A) Base RI'!A296</f>
        <v>5913</v>
      </c>
      <c r="B294" s="321" t="str">
        <f>'A) Base RI'!B296</f>
        <v>Donneloye</v>
      </c>
      <c r="C294" s="101">
        <f>'B) D RI'!U296</f>
        <v>20217.518082191778</v>
      </c>
      <c r="D294" s="117">
        <f>'E) Fact soc'!G300/C294</f>
        <v>17.235264347295153</v>
      </c>
      <c r="E294" s="144">
        <f>'H) Péréquation directe'!I305/C294</f>
        <v>-2.4382394609173517</v>
      </c>
      <c r="F294" s="117">
        <f>+'I) Dépenses thématiques'!O294/'K) Plafonnement aide'!C294</f>
        <v>-6.0238880395019763</v>
      </c>
      <c r="G294" s="144">
        <f t="shared" si="17"/>
        <v>8.7731368468758255</v>
      </c>
      <c r="H294" s="117">
        <f t="shared" si="18"/>
        <v>14.797024886377802</v>
      </c>
      <c r="I294" s="144">
        <f t="shared" si="19"/>
        <v>0</v>
      </c>
      <c r="J294" s="59">
        <f t="shared" si="16"/>
        <v>0</v>
      </c>
      <c r="K294" s="38"/>
    </row>
    <row r="295" spans="1:11" x14ac:dyDescent="0.25">
      <c r="A295" s="51">
        <f>'A) Base RI'!A297</f>
        <v>5914</v>
      </c>
      <c r="B295" s="321" t="str">
        <f>'A) Base RI'!B297</f>
        <v>Ependes</v>
      </c>
      <c r="C295" s="101">
        <f>'B) D RI'!U297</f>
        <v>9998.8652000000002</v>
      </c>
      <c r="D295" s="117">
        <f>'E) Fact soc'!G301/C295</f>
        <v>16.901367552545839</v>
      </c>
      <c r="E295" s="144">
        <f>'H) Péréquation directe'!I306/C295</f>
        <v>1.1362699752411503</v>
      </c>
      <c r="F295" s="117">
        <f>+'I) Dépenses thématiques'!O295/'K) Plafonnement aide'!C295</f>
        <v>-6.6581056890149473</v>
      </c>
      <c r="G295" s="144">
        <f t="shared" si="17"/>
        <v>11.37953183877204</v>
      </c>
      <c r="H295" s="117">
        <f t="shared" si="18"/>
        <v>18.037637527786988</v>
      </c>
      <c r="I295" s="144">
        <f t="shared" si="19"/>
        <v>0</v>
      </c>
      <c r="J295" s="59">
        <f t="shared" si="16"/>
        <v>0</v>
      </c>
      <c r="K295" s="38"/>
    </row>
    <row r="296" spans="1:11" x14ac:dyDescent="0.25">
      <c r="A296" s="51">
        <f>'A) Base RI'!A298</f>
        <v>5919</v>
      </c>
      <c r="B296" s="321" t="str">
        <f>'A) Base RI'!B298</f>
        <v>Mathod</v>
      </c>
      <c r="C296" s="101">
        <f>'B) D RI'!U298</f>
        <v>15974.205138888889</v>
      </c>
      <c r="D296" s="117">
        <f>'E) Fact soc'!G302/C296</f>
        <v>15.79408834222772</v>
      </c>
      <c r="E296" s="144">
        <f>'H) Péréquation directe'!I307/C296</f>
        <v>-0.35605533207030521</v>
      </c>
      <c r="F296" s="117">
        <f>+'I) Dépenses thématiques'!O296/'K) Plafonnement aide'!C296</f>
        <v>-15.331766966848857</v>
      </c>
      <c r="G296" s="144">
        <f t="shared" si="17"/>
        <v>0.10626604330855827</v>
      </c>
      <c r="H296" s="117">
        <f t="shared" si="18"/>
        <v>15.438033010157415</v>
      </c>
      <c r="I296" s="144">
        <f t="shared" si="19"/>
        <v>0</v>
      </c>
      <c r="J296" s="59">
        <f t="shared" si="16"/>
        <v>0</v>
      </c>
      <c r="K296" s="38"/>
    </row>
    <row r="297" spans="1:11" x14ac:dyDescent="0.25">
      <c r="A297" s="51">
        <f>'A) Base RI'!A299</f>
        <v>5921</v>
      </c>
      <c r="B297" s="321" t="str">
        <f>'A) Base RI'!B299</f>
        <v>Molondin</v>
      </c>
      <c r="C297" s="101">
        <f>'B) D RI'!U299</f>
        <v>5428.3767901234569</v>
      </c>
      <c r="D297" s="117">
        <f>'E) Fact soc'!G303/C297</f>
        <v>17.22063363427457</v>
      </c>
      <c r="E297" s="144">
        <f>'H) Péréquation directe'!I308/C297</f>
        <v>-9.5544741529125687</v>
      </c>
      <c r="F297" s="117">
        <f>+'I) Dépenses thématiques'!O297/'K) Plafonnement aide'!C297</f>
        <v>-6.7327614676285661</v>
      </c>
      <c r="G297" s="144">
        <f t="shared" si="17"/>
        <v>0.93339801373343523</v>
      </c>
      <c r="H297" s="117">
        <f t="shared" si="18"/>
        <v>7.6661594813620013</v>
      </c>
      <c r="I297" s="144">
        <f t="shared" si="19"/>
        <v>0</v>
      </c>
      <c r="J297" s="59">
        <f t="shared" si="16"/>
        <v>0</v>
      </c>
      <c r="K297" s="38"/>
    </row>
    <row r="298" spans="1:11" x14ac:dyDescent="0.25">
      <c r="A298" s="51">
        <f>'A) Base RI'!A300</f>
        <v>5922</v>
      </c>
      <c r="B298" s="321" t="str">
        <f>'A) Base RI'!B300</f>
        <v>Montagny-près-Yverdon</v>
      </c>
      <c r="C298" s="101">
        <f>'B) D RI'!U300</f>
        <v>48081.180040983607</v>
      </c>
      <c r="D298" s="117">
        <f>'E) Fact soc'!G304/C298</f>
        <v>20.801941841091139</v>
      </c>
      <c r="E298" s="144">
        <f>'H) Péréquation directe'!I309/C298</f>
        <v>16.27172749117398</v>
      </c>
      <c r="F298" s="117">
        <f>+'I) Dépenses thématiques'!O298/'K) Plafonnement aide'!C298</f>
        <v>-3.516141058255156</v>
      </c>
      <c r="G298" s="144">
        <f t="shared" si="17"/>
        <v>33.557528274009961</v>
      </c>
      <c r="H298" s="117">
        <f t="shared" si="18"/>
        <v>37.073669332265119</v>
      </c>
      <c r="I298" s="144">
        <f t="shared" si="19"/>
        <v>0</v>
      </c>
      <c r="J298" s="59">
        <f t="shared" si="16"/>
        <v>0</v>
      </c>
      <c r="K298" s="38"/>
    </row>
    <row r="299" spans="1:11" x14ac:dyDescent="0.25">
      <c r="A299" s="51">
        <f>'A) Base RI'!A301</f>
        <v>5923</v>
      </c>
      <c r="B299" s="321" t="str">
        <f>'A) Base RI'!B301</f>
        <v>Oppens</v>
      </c>
      <c r="C299" s="101">
        <f>'B) D RI'!U301</f>
        <v>4655.3639506172849</v>
      </c>
      <c r="D299" s="117">
        <f>'E) Fact soc'!G305/C299</f>
        <v>17.161682409152267</v>
      </c>
      <c r="E299" s="144">
        <f>'H) Péréquation directe'!I310/C299</f>
        <v>-6.3020882588860045</v>
      </c>
      <c r="F299" s="117">
        <f>+'I) Dépenses thématiques'!O299/'K) Plafonnement aide'!C299</f>
        <v>-9.1566366510607917</v>
      </c>
      <c r="G299" s="144">
        <f t="shared" si="17"/>
        <v>1.7029574992054695</v>
      </c>
      <c r="H299" s="117">
        <f t="shared" si="18"/>
        <v>10.859594150266261</v>
      </c>
      <c r="I299" s="144">
        <f t="shared" si="19"/>
        <v>0</v>
      </c>
      <c r="J299" s="59">
        <f t="shared" si="16"/>
        <v>0</v>
      </c>
      <c r="K299" s="38"/>
    </row>
    <row r="300" spans="1:11" x14ac:dyDescent="0.25">
      <c r="A300" s="51">
        <f>'A) Base RI'!A302</f>
        <v>5924</v>
      </c>
      <c r="B300" s="321" t="str">
        <f>'A) Base RI'!B302</f>
        <v>Orges</v>
      </c>
      <c r="C300" s="101">
        <f>'B) D RI'!U302</f>
        <v>10584.548243243244</v>
      </c>
      <c r="D300" s="117">
        <f>'E) Fact soc'!G306/C300</f>
        <v>16.013287547729195</v>
      </c>
      <c r="E300" s="144">
        <f>'H) Péréquation directe'!I311/C300</f>
        <v>6.1781561913275578</v>
      </c>
      <c r="F300" s="117">
        <f>+'I) Dépenses thématiques'!O300/'K) Plafonnement aide'!C300</f>
        <v>0</v>
      </c>
      <c r="G300" s="144">
        <f t="shared" si="17"/>
        <v>22.191443739056751</v>
      </c>
      <c r="H300" s="117">
        <f t="shared" si="18"/>
        <v>22.191443739056751</v>
      </c>
      <c r="I300" s="144">
        <f t="shared" si="19"/>
        <v>0</v>
      </c>
      <c r="J300" s="59">
        <f t="shared" si="16"/>
        <v>0</v>
      </c>
      <c r="K300" s="38"/>
    </row>
    <row r="301" spans="1:11" x14ac:dyDescent="0.25">
      <c r="A301" s="51">
        <f>'A) Base RI'!A303</f>
        <v>5925</v>
      </c>
      <c r="B301" s="321" t="str">
        <f>'A) Base RI'!B303</f>
        <v>Orzens</v>
      </c>
      <c r="C301" s="101">
        <f>'B) D RI'!U303</f>
        <v>4781.2708860759494</v>
      </c>
      <c r="D301" s="117">
        <f>'E) Fact soc'!G307/C301</f>
        <v>15.866396617119896</v>
      </c>
      <c r="E301" s="144">
        <f>'H) Péréquation directe'!I312/C301</f>
        <v>-6.0304506863089014</v>
      </c>
      <c r="F301" s="117">
        <f>+'I) Dépenses thématiques'!O301/'K) Plafonnement aide'!C301</f>
        <v>-2.172338562556392</v>
      </c>
      <c r="G301" s="144">
        <f t="shared" si="17"/>
        <v>7.6636073682546026</v>
      </c>
      <c r="H301" s="117">
        <f t="shared" si="18"/>
        <v>9.8359459308109951</v>
      </c>
      <c r="I301" s="144">
        <f t="shared" si="19"/>
        <v>0</v>
      </c>
      <c r="J301" s="59">
        <f t="shared" si="16"/>
        <v>0</v>
      </c>
      <c r="K301" s="38"/>
    </row>
    <row r="302" spans="1:11" x14ac:dyDescent="0.25">
      <c r="A302" s="51">
        <f>'A) Base RI'!A304</f>
        <v>5926</v>
      </c>
      <c r="B302" s="321" t="str">
        <f>'A) Base RI'!B304</f>
        <v>Pomy</v>
      </c>
      <c r="C302" s="101">
        <f>'B) D RI'!U304</f>
        <v>23350.72985915493</v>
      </c>
      <c r="D302" s="117">
        <f>'E) Fact soc'!G308/C302</f>
        <v>16.946065174069549</v>
      </c>
      <c r="E302" s="144">
        <f>'H) Péréquation directe'!I313/C302</f>
        <v>5.0421998018330676</v>
      </c>
      <c r="F302" s="117">
        <f>+'I) Dépenses thématiques'!O302/'K) Plafonnement aide'!C302</f>
        <v>-1.4729511442239855</v>
      </c>
      <c r="G302" s="144">
        <f t="shared" si="17"/>
        <v>20.515313831678633</v>
      </c>
      <c r="H302" s="117">
        <f t="shared" si="18"/>
        <v>21.988264975902617</v>
      </c>
      <c r="I302" s="144">
        <f t="shared" si="19"/>
        <v>0</v>
      </c>
      <c r="J302" s="59">
        <f t="shared" si="16"/>
        <v>0</v>
      </c>
      <c r="K302" s="38"/>
    </row>
    <row r="303" spans="1:11" x14ac:dyDescent="0.25">
      <c r="A303" s="51">
        <f>'A) Base RI'!A305</f>
        <v>5928</v>
      </c>
      <c r="B303" s="321" t="str">
        <f>'A) Base RI'!B305</f>
        <v>Rovray</v>
      </c>
      <c r="C303" s="101">
        <f>'B) D RI'!U305</f>
        <v>4495.7758904109587</v>
      </c>
      <c r="D303" s="117">
        <f>'E) Fact soc'!G309/C303</f>
        <v>16.168764718669149</v>
      </c>
      <c r="E303" s="144">
        <f>'H) Péréquation directe'!I314/C303</f>
        <v>-3.8845505457301019</v>
      </c>
      <c r="F303" s="117">
        <f>+'I) Dépenses thématiques'!O303/'K) Plafonnement aide'!C303</f>
        <v>-2.8642372468186248</v>
      </c>
      <c r="G303" s="144">
        <f t="shared" si="17"/>
        <v>9.4199769261204214</v>
      </c>
      <c r="H303" s="117">
        <f t="shared" si="18"/>
        <v>12.284214172939047</v>
      </c>
      <c r="I303" s="144">
        <f t="shared" si="19"/>
        <v>0</v>
      </c>
      <c r="J303" s="59">
        <f t="shared" si="16"/>
        <v>0</v>
      </c>
      <c r="K303" s="38"/>
    </row>
    <row r="304" spans="1:11" x14ac:dyDescent="0.25">
      <c r="A304" s="51">
        <f>'A) Base RI'!A306</f>
        <v>5929</v>
      </c>
      <c r="B304" s="321" t="str">
        <f>'A) Base RI'!B306</f>
        <v>Suchy</v>
      </c>
      <c r="C304" s="101">
        <f>'B) D RI'!U306</f>
        <v>17118.434321428569</v>
      </c>
      <c r="D304" s="117">
        <f>'E) Fact soc'!G310/C304</f>
        <v>17.607358771454937</v>
      </c>
      <c r="E304" s="144">
        <f>'H) Péréquation directe'!I315/C304</f>
        <v>3.6524217631259028</v>
      </c>
      <c r="F304" s="117">
        <f>+'I) Dépenses thématiques'!O304/'K) Plafonnement aide'!C304</f>
        <v>-1.0821294473758316</v>
      </c>
      <c r="G304" s="144">
        <f t="shared" si="17"/>
        <v>20.17765108720501</v>
      </c>
      <c r="H304" s="117">
        <f t="shared" si="18"/>
        <v>21.259780534580841</v>
      </c>
      <c r="I304" s="144">
        <f t="shared" si="19"/>
        <v>0</v>
      </c>
      <c r="J304" s="59">
        <f t="shared" si="16"/>
        <v>0</v>
      </c>
      <c r="K304" s="38"/>
    </row>
    <row r="305" spans="1:13" x14ac:dyDescent="0.25">
      <c r="A305" s="51">
        <f>'A) Base RI'!A307</f>
        <v>5930</v>
      </c>
      <c r="B305" s="321" t="str">
        <f>'A) Base RI'!B307</f>
        <v>Suscévaz</v>
      </c>
      <c r="C305" s="101">
        <f>'B) D RI'!U307</f>
        <v>5362.7113888888889</v>
      </c>
      <c r="D305" s="117">
        <f>'E) Fact soc'!G311/C305</f>
        <v>18.886488415822299</v>
      </c>
      <c r="E305" s="144">
        <f>'H) Péréquation directe'!I316/C305</f>
        <v>1.0017954184246172</v>
      </c>
      <c r="F305" s="117">
        <f>+'I) Dépenses thématiques'!O305/'K) Plafonnement aide'!C305</f>
        <v>-6.1472180457002894</v>
      </c>
      <c r="G305" s="144">
        <f t="shared" si="17"/>
        <v>13.741065788546628</v>
      </c>
      <c r="H305" s="117">
        <f t="shared" si="18"/>
        <v>19.888283834246916</v>
      </c>
      <c r="I305" s="144">
        <f t="shared" si="19"/>
        <v>0</v>
      </c>
      <c r="J305" s="59">
        <f t="shared" si="16"/>
        <v>0</v>
      </c>
      <c r="K305" s="38"/>
    </row>
    <row r="306" spans="1:13" x14ac:dyDescent="0.25">
      <c r="A306" s="51">
        <f>'A) Base RI'!A308</f>
        <v>5931</v>
      </c>
      <c r="B306" s="321" t="str">
        <f>'A) Base RI'!B308</f>
        <v>Treycovagnes</v>
      </c>
      <c r="C306" s="101">
        <f>'B) D RI'!U308</f>
        <v>13288.6564</v>
      </c>
      <c r="D306" s="117">
        <f>'E) Fact soc'!G312/C306</f>
        <v>19.233625618591574</v>
      </c>
      <c r="E306" s="144">
        <f>'H) Péréquation directe'!I317/C306</f>
        <v>3.1028979880617249</v>
      </c>
      <c r="F306" s="117">
        <f>+'I) Dépenses thématiques'!O306/'K) Plafonnement aide'!C306</f>
        <v>-1.1185470426509507</v>
      </c>
      <c r="G306" s="144">
        <f t="shared" si="17"/>
        <v>21.217976564002349</v>
      </c>
      <c r="H306" s="117">
        <f t="shared" si="18"/>
        <v>22.336523606653301</v>
      </c>
      <c r="I306" s="144">
        <f t="shared" si="19"/>
        <v>0</v>
      </c>
      <c r="J306" s="59">
        <f t="shared" si="16"/>
        <v>0</v>
      </c>
      <c r="K306" s="38"/>
    </row>
    <row r="307" spans="1:13" x14ac:dyDescent="0.25">
      <c r="A307" s="51">
        <f>'A) Base RI'!A309</f>
        <v>5932</v>
      </c>
      <c r="B307" s="321" t="str">
        <f>'A) Base RI'!B309</f>
        <v>Ursins</v>
      </c>
      <c r="C307" s="101">
        <f>'B) D RI'!U309</f>
        <v>6858.6807692307693</v>
      </c>
      <c r="D307" s="117">
        <f>'E) Fact soc'!G313/C307</f>
        <v>16.939726865572052</v>
      </c>
      <c r="E307" s="144">
        <f>'H) Péréquation directe'!I318/C307</f>
        <v>5.1121822395091581</v>
      </c>
      <c r="F307" s="117">
        <f>+'I) Dépenses thématiques'!O307/'K) Plafonnement aide'!C307</f>
        <v>-0.86770967898657236</v>
      </c>
      <c r="G307" s="144">
        <f t="shared" si="17"/>
        <v>21.184199426094636</v>
      </c>
      <c r="H307" s="117">
        <f t="shared" si="18"/>
        <v>22.051909105081208</v>
      </c>
      <c r="I307" s="144">
        <f t="shared" si="19"/>
        <v>0</v>
      </c>
      <c r="J307" s="59">
        <f t="shared" si="16"/>
        <v>0</v>
      </c>
      <c r="K307" s="38"/>
    </row>
    <row r="308" spans="1:13" x14ac:dyDescent="0.25">
      <c r="A308" s="51">
        <f>'A) Base RI'!A310</f>
        <v>5933</v>
      </c>
      <c r="B308" s="321" t="str">
        <f>'A) Base RI'!B310</f>
        <v>Valeyres-sous-Montagny</v>
      </c>
      <c r="C308" s="101">
        <f>'B) D RI'!U310</f>
        <v>20763.196805555559</v>
      </c>
      <c r="D308" s="117">
        <f>'E) Fact soc'!G314/C308</f>
        <v>18.220870064477619</v>
      </c>
      <c r="E308" s="144">
        <f>'H) Péréquation directe'!I319/C308</f>
        <v>4.4114798316998511</v>
      </c>
      <c r="F308" s="117">
        <f>+'I) Dépenses thématiques'!O308/'K) Plafonnement aide'!C308</f>
        <v>-13.046815162413772</v>
      </c>
      <c r="G308" s="144">
        <f t="shared" si="17"/>
        <v>9.5855347337636978</v>
      </c>
      <c r="H308" s="117">
        <f t="shared" si="18"/>
        <v>22.63234989617747</v>
      </c>
      <c r="I308" s="144">
        <f t="shared" si="19"/>
        <v>0</v>
      </c>
      <c r="J308" s="59">
        <f t="shared" si="16"/>
        <v>0</v>
      </c>
      <c r="K308" s="38"/>
    </row>
    <row r="309" spans="1:13" x14ac:dyDescent="0.25">
      <c r="A309" s="51">
        <f>'A) Base RI'!A311</f>
        <v>5934</v>
      </c>
      <c r="B309" s="321" t="str">
        <f>'A) Base RI'!B311</f>
        <v>Valeyres-sous-Ursins</v>
      </c>
      <c r="C309" s="101">
        <f>'B) D RI'!U311</f>
        <v>6895.611012658228</v>
      </c>
      <c r="D309" s="117">
        <f>'E) Fact soc'!G315/C309</f>
        <v>15.015158505543184</v>
      </c>
      <c r="E309" s="144">
        <f>'H) Péréquation directe'!I320/C309</f>
        <v>1.5478812621234304</v>
      </c>
      <c r="F309" s="117">
        <f>+'I) Dépenses thématiques'!O309/'K) Plafonnement aide'!C309</f>
        <v>-0.77221367098854388</v>
      </c>
      <c r="G309" s="144">
        <f t="shared" si="17"/>
        <v>15.790826096678069</v>
      </c>
      <c r="H309" s="117">
        <f t="shared" si="18"/>
        <v>16.563039767666613</v>
      </c>
      <c r="I309" s="144">
        <f t="shared" si="19"/>
        <v>0</v>
      </c>
      <c r="J309" s="59">
        <f t="shared" si="16"/>
        <v>0</v>
      </c>
      <c r="K309" s="38"/>
    </row>
    <row r="310" spans="1:13" x14ac:dyDescent="0.25">
      <c r="A310" s="51">
        <f>'A) Base RI'!A312</f>
        <v>5935</v>
      </c>
      <c r="B310" s="321" t="str">
        <f>'A) Base RI'!B312</f>
        <v>Villars-Epeney</v>
      </c>
      <c r="C310" s="101">
        <f>'B) D RI'!U312</f>
        <v>5507.9496666666664</v>
      </c>
      <c r="D310" s="117">
        <f>'E) Fact soc'!G316/C310</f>
        <v>15.873917260842871</v>
      </c>
      <c r="E310" s="144">
        <f>'H) Péréquation directe'!I321/C310</f>
        <v>16.586772457389415</v>
      </c>
      <c r="F310" s="117">
        <f>+'I) Dépenses thématiques'!O310/'K) Plafonnement aide'!C310</f>
        <v>-2.7684392130935338</v>
      </c>
      <c r="G310" s="144">
        <f t="shared" si="17"/>
        <v>29.692250505138755</v>
      </c>
      <c r="H310" s="117">
        <f t="shared" si="18"/>
        <v>32.460689718232288</v>
      </c>
      <c r="I310" s="144">
        <f t="shared" si="19"/>
        <v>0</v>
      </c>
      <c r="J310" s="59">
        <f t="shared" si="16"/>
        <v>0</v>
      </c>
      <c r="K310" s="38"/>
    </row>
    <row r="311" spans="1:13" x14ac:dyDescent="0.25">
      <c r="A311" s="51">
        <f>'A) Base RI'!A313</f>
        <v>5937</v>
      </c>
      <c r="B311" s="321" t="str">
        <f>'A) Base RI'!B313</f>
        <v>Vugelles-La Mothe</v>
      </c>
      <c r="C311" s="101">
        <f>'B) D RI'!U313</f>
        <v>2890.9266938775513</v>
      </c>
      <c r="D311" s="117">
        <f>'E) Fact soc'!G317/C311</f>
        <v>17.087011455908478</v>
      </c>
      <c r="E311" s="144">
        <f>'H) Péréquation directe'!I322/C311</f>
        <v>-3.0026741046969216</v>
      </c>
      <c r="F311" s="117">
        <f>+'I) Dépenses thématiques'!O311/'K) Plafonnement aide'!C311</f>
        <v>-9.4686964799185294</v>
      </c>
      <c r="G311" s="144">
        <f t="shared" si="17"/>
        <v>4.6156408712930261</v>
      </c>
      <c r="H311" s="117">
        <f t="shared" si="18"/>
        <v>14.084337351211556</v>
      </c>
      <c r="I311" s="144">
        <f t="shared" si="19"/>
        <v>0</v>
      </c>
      <c r="J311" s="59">
        <f t="shared" si="16"/>
        <v>0</v>
      </c>
      <c r="K311" s="38"/>
    </row>
    <row r="312" spans="1:13" x14ac:dyDescent="0.25">
      <c r="A312" s="51">
        <f>'A) Base RI'!A314</f>
        <v>5938</v>
      </c>
      <c r="B312" s="321" t="str">
        <f>'A) Base RI'!B314</f>
        <v>Yverdon-les-Bains</v>
      </c>
      <c r="C312" s="101">
        <f>'B) D RI'!U314</f>
        <v>801914.63490196085</v>
      </c>
      <c r="D312" s="117">
        <f>'E) Fact soc'!G318/C312</f>
        <v>18.565840343826515</v>
      </c>
      <c r="E312" s="144">
        <f>'H) Péréquation directe'!I323/C312</f>
        <v>-29.167581214371836</v>
      </c>
      <c r="F312" s="117">
        <f>+'I) Dépenses thématiques'!O312/'K) Plafonnement aide'!C312</f>
        <v>-9.2363208482691785</v>
      </c>
      <c r="G312" s="144">
        <f t="shared" si="17"/>
        <v>-19.838061718814501</v>
      </c>
      <c r="H312" s="117">
        <f t="shared" si="18"/>
        <v>-10.601740870545322</v>
      </c>
      <c r="I312" s="144">
        <f t="shared" si="19"/>
        <v>-4.1017408705453224</v>
      </c>
      <c r="J312" s="59">
        <f t="shared" si="16"/>
        <v>3289246.0326658031</v>
      </c>
      <c r="K312" s="38"/>
    </row>
    <row r="313" spans="1:13" x14ac:dyDescent="0.25">
      <c r="A313" s="51">
        <f>'A) Base RI'!A315</f>
        <v>5939</v>
      </c>
      <c r="B313" s="321" t="str">
        <f>'A) Base RI'!B315</f>
        <v>Yvonand</v>
      </c>
      <c r="C313" s="101">
        <f>'B) D RI'!U315</f>
        <v>93413.424931506845</v>
      </c>
      <c r="D313" s="117">
        <f>'E) Fact soc'!G319/C313</f>
        <v>21.76597184380141</v>
      </c>
      <c r="E313" s="144">
        <f>'H) Péréquation directe'!I324/C313</f>
        <v>-4.6690367130033374</v>
      </c>
      <c r="F313" s="117">
        <f>+'I) Dépenses thématiques'!O313/'K) Plafonnement aide'!C313</f>
        <v>-3.6197287592176552</v>
      </c>
      <c r="G313" s="144">
        <f t="shared" si="17"/>
        <v>13.477206371580419</v>
      </c>
      <c r="H313" s="117">
        <f t="shared" si="18"/>
        <v>17.096935130798073</v>
      </c>
      <c r="I313" s="144">
        <f t="shared" si="19"/>
        <v>0</v>
      </c>
      <c r="J313" s="59">
        <f t="shared" si="16"/>
        <v>0</v>
      </c>
      <c r="K313" s="38"/>
    </row>
    <row r="314" spans="1:13" x14ac:dyDescent="0.25">
      <c r="A314" s="32"/>
      <c r="B314" s="328">
        <f>COUNTA(B5:B313)</f>
        <v>309</v>
      </c>
      <c r="C314" s="103">
        <f>'B) D RI'!U316</f>
        <v>36767173.359367341</v>
      </c>
      <c r="D314" s="337">
        <f>'E) Fact soc'!G320/C314</f>
        <v>21.014151630537388</v>
      </c>
      <c r="E314" s="116">
        <f>'H) Péréquation directe'!I325/C314</f>
        <v>3.7452537016413592</v>
      </c>
      <c r="F314" s="337">
        <f>'I) Dépenses thématiques'!P314</f>
        <v>-3.8711355449077378</v>
      </c>
      <c r="G314" s="116">
        <f t="shared" ref="G314" si="20">SUM(D314:F314)</f>
        <v>20.88826978727101</v>
      </c>
      <c r="H314" s="337">
        <f t="shared" ref="H314" si="21">G314-F314</f>
        <v>24.759405332178748</v>
      </c>
      <c r="I314" s="116"/>
      <c r="J314" s="39">
        <f>SUM(J5:J313)</f>
        <v>5831117.4763329998</v>
      </c>
      <c r="L314" s="13"/>
      <c r="M314" s="13"/>
    </row>
    <row r="315" spans="1:13" x14ac:dyDescent="0.25">
      <c r="I315" s="30"/>
    </row>
    <row r="316" spans="1:13" x14ac:dyDescent="0.25">
      <c r="I316" s="30"/>
    </row>
  </sheetData>
  <mergeCells count="9">
    <mergeCell ref="C3:C4"/>
    <mergeCell ref="B3:B4"/>
    <mergeCell ref="A3:A4"/>
    <mergeCell ref="J3:J4"/>
    <mergeCell ref="H3:H4"/>
    <mergeCell ref="G3:G4"/>
    <mergeCell ref="F3:F4"/>
    <mergeCell ref="E3:E4"/>
    <mergeCell ref="D3:D4"/>
  </mergeCells>
  <phoneticPr fontId="8"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00B050"/>
  </sheetPr>
  <dimension ref="A1:V320"/>
  <sheetViews>
    <sheetView workbookViewId="0">
      <pane ySplit="5" topLeftCell="A264" activePane="bottomLeft" state="frozen"/>
      <selection pane="bottomLeft" activeCell="G295" sqref="G295"/>
    </sheetView>
  </sheetViews>
  <sheetFormatPr baseColWidth="10" defaultColWidth="10.75" defaultRowHeight="15" x14ac:dyDescent="0.25"/>
  <cols>
    <col min="1" max="1" width="7.25" style="14" customWidth="1"/>
    <col min="2" max="2" width="18" style="14" customWidth="1"/>
    <col min="3" max="3" width="11.125" style="14" customWidth="1"/>
    <col min="4" max="4" width="11.25" style="14" customWidth="1"/>
    <col min="5" max="6" width="10.125" style="14" customWidth="1"/>
    <col min="7" max="8" width="11" style="14" customWidth="1"/>
    <col min="9" max="9" width="8.625" style="14" bestFit="1" customWidth="1"/>
    <col min="10" max="10" width="12.125" style="14" bestFit="1" customWidth="1"/>
    <col min="11" max="11" width="10" style="14" customWidth="1"/>
    <col min="12" max="12" width="8.875" style="16" bestFit="1" customWidth="1"/>
    <col min="13" max="14" width="10.375" style="16" customWidth="1"/>
    <col min="15" max="15" width="6.75" style="14" customWidth="1"/>
    <col min="16" max="16" width="12.25" style="14" customWidth="1"/>
    <col min="17" max="17" width="12.625" style="14" customWidth="1"/>
    <col min="18" max="18" width="8.25" style="14" customWidth="1"/>
    <col min="19" max="19" width="8.125" style="14" customWidth="1"/>
    <col min="20" max="20" width="9.625" style="14" customWidth="1"/>
    <col min="21" max="21" width="11.25" style="6" bestFit="1" customWidth="1"/>
    <col min="22" max="16384" width="10.75" style="14"/>
  </cols>
  <sheetData>
    <row r="1" spans="1:22" s="45" customFormat="1" ht="21" x14ac:dyDescent="0.25">
      <c r="A1" s="53" t="s">
        <v>131</v>
      </c>
      <c r="B1" s="44"/>
      <c r="C1" s="74"/>
      <c r="D1" s="74"/>
      <c r="E1" s="74"/>
      <c r="F1" s="74"/>
      <c r="G1" s="74"/>
      <c r="H1" s="74"/>
      <c r="I1" s="74"/>
      <c r="J1" s="74"/>
      <c r="K1" s="74"/>
      <c r="L1" s="142"/>
      <c r="M1" s="142"/>
      <c r="N1" s="142"/>
      <c r="O1" s="74"/>
      <c r="P1" s="74"/>
      <c r="Q1" s="74"/>
      <c r="R1" s="74"/>
      <c r="S1" s="74"/>
      <c r="T1" s="74"/>
      <c r="U1" s="6"/>
    </row>
    <row r="2" spans="1:22" x14ac:dyDescent="0.25">
      <c r="C2" s="150"/>
      <c r="D2" s="150"/>
      <c r="E2" s="150"/>
      <c r="F2" s="150"/>
      <c r="G2" s="150"/>
      <c r="H2" s="150"/>
      <c r="I2" s="150"/>
    </row>
    <row r="3" spans="1:22" x14ac:dyDescent="0.25">
      <c r="C3" s="595">
        <f>Paramètres!B6</f>
        <v>2016</v>
      </c>
      <c r="D3" s="596"/>
      <c r="E3" s="596"/>
      <c r="F3" s="596"/>
      <c r="G3" s="596"/>
      <c r="H3" s="596"/>
      <c r="I3" s="597"/>
    </row>
    <row r="4" spans="1:22" ht="30" x14ac:dyDescent="0.25">
      <c r="A4" s="568" t="s">
        <v>50</v>
      </c>
      <c r="B4" s="568" t="s">
        <v>101</v>
      </c>
      <c r="C4" s="568" t="s">
        <v>98</v>
      </c>
      <c r="D4" s="598" t="s">
        <v>150</v>
      </c>
      <c r="E4" s="568" t="s">
        <v>452</v>
      </c>
      <c r="F4" s="568" t="s">
        <v>258</v>
      </c>
      <c r="G4" s="568" t="s">
        <v>259</v>
      </c>
      <c r="H4" s="568" t="s">
        <v>366</v>
      </c>
      <c r="I4" s="67" t="s">
        <v>377</v>
      </c>
      <c r="J4" s="67" t="s">
        <v>377</v>
      </c>
      <c r="K4" s="581" t="s">
        <v>471</v>
      </c>
      <c r="L4" s="588" t="s">
        <v>365</v>
      </c>
      <c r="M4" s="588" t="s">
        <v>268</v>
      </c>
      <c r="N4" s="588" t="s">
        <v>269</v>
      </c>
      <c r="O4" s="583" t="s">
        <v>130</v>
      </c>
      <c r="P4" s="119" t="s">
        <v>131</v>
      </c>
      <c r="Q4" s="581" t="s">
        <v>378</v>
      </c>
      <c r="R4" s="568" t="s">
        <v>132</v>
      </c>
      <c r="S4" s="568" t="s">
        <v>262</v>
      </c>
      <c r="T4" s="151"/>
    </row>
    <row r="5" spans="1:22" x14ac:dyDescent="0.25">
      <c r="A5" s="570"/>
      <c r="B5" s="570"/>
      <c r="C5" s="569"/>
      <c r="D5" s="599"/>
      <c r="E5" s="569"/>
      <c r="F5" s="570"/>
      <c r="G5" s="569"/>
      <c r="H5" s="570"/>
      <c r="I5" s="463">
        <f>Paramètres!B6</f>
        <v>2016</v>
      </c>
      <c r="J5" s="496">
        <f>Paramètres!B5</f>
        <v>2017</v>
      </c>
      <c r="K5" s="582"/>
      <c r="L5" s="594"/>
      <c r="M5" s="594"/>
      <c r="N5" s="594"/>
      <c r="O5" s="584"/>
      <c r="P5" s="124">
        <f>Paramètres!B50</f>
        <v>92.002438415899093</v>
      </c>
      <c r="Q5" s="582"/>
      <c r="R5" s="570"/>
      <c r="S5" s="570"/>
      <c r="T5" s="145"/>
    </row>
    <row r="6" spans="1:22" x14ac:dyDescent="0.25">
      <c r="A6" s="48">
        <f>'A) Base RI'!A7</f>
        <v>5401</v>
      </c>
      <c r="B6" s="488" t="str">
        <f>'A) Base RI'!B7</f>
        <v>Aigle</v>
      </c>
      <c r="C6" s="492">
        <v>5461045.809481631</v>
      </c>
      <c r="D6" s="487">
        <v>-2499537.4250204796</v>
      </c>
      <c r="E6" s="492">
        <v>0</v>
      </c>
      <c r="F6" s="487">
        <v>0</v>
      </c>
      <c r="G6" s="492">
        <v>0</v>
      </c>
      <c r="H6" s="487">
        <v>2961508.3844611514</v>
      </c>
      <c r="I6" s="158">
        <v>274204.16723456793</v>
      </c>
      <c r="J6" s="489">
        <f>'B) D RI'!U7</f>
        <v>280807.53491358022</v>
      </c>
      <c r="K6" s="73">
        <f>H6/I6</f>
        <v>10.800377012241865</v>
      </c>
      <c r="L6" s="93">
        <f>'B) D RI'!S7</f>
        <v>67.5</v>
      </c>
      <c r="M6" s="93">
        <f>L6-K6</f>
        <v>56.699622987758133</v>
      </c>
      <c r="N6" s="93">
        <f>'J) Plafonnement effort'!G5+'J) Plafonnement effort'!H5-'K) Plafonnement aide'!I5</f>
        <v>0.74494979051471333</v>
      </c>
      <c r="O6" s="131">
        <f>M6+N6</f>
        <v>57.444572778272843</v>
      </c>
      <c r="P6" s="49">
        <f>IF(O6&gt;$P$5,$P$5-O6,0)</f>
        <v>0</v>
      </c>
      <c r="Q6" s="106">
        <f>P6*J6</f>
        <v>0</v>
      </c>
      <c r="R6" s="152">
        <f>O6+P6</f>
        <v>57.444572778272843</v>
      </c>
      <c r="S6" s="131">
        <f>R6-L6</f>
        <v>-10.055427221727157</v>
      </c>
      <c r="T6" s="153">
        <f>+C6+D6+E6+F6+G6-H6</f>
        <v>0</v>
      </c>
      <c r="V6" s="13"/>
    </row>
    <row r="7" spans="1:22" x14ac:dyDescent="0.25">
      <c r="A7" s="51">
        <f>'A) Base RI'!A8</f>
        <v>5402</v>
      </c>
      <c r="B7" s="484" t="str">
        <f>'A) Base RI'!B8</f>
        <v>Bex</v>
      </c>
      <c r="C7" s="493">
        <v>3076452.4027602822</v>
      </c>
      <c r="D7" s="487">
        <v>-3277266.5547407595</v>
      </c>
      <c r="E7" s="493">
        <v>0</v>
      </c>
      <c r="F7" s="487">
        <v>0</v>
      </c>
      <c r="G7" s="493">
        <v>0</v>
      </c>
      <c r="H7" s="487">
        <v>-200814.15198047739</v>
      </c>
      <c r="I7" s="159">
        <v>168618.65154929578</v>
      </c>
      <c r="J7" s="490">
        <f>'B) D RI'!U8</f>
        <v>178888.62591549297</v>
      </c>
      <c r="K7" s="68">
        <f t="shared" ref="K7:K61" si="0">H7/I7</f>
        <v>-1.1909367684734997</v>
      </c>
      <c r="L7" s="35">
        <f>'B) D RI'!S8</f>
        <v>71</v>
      </c>
      <c r="M7" s="35">
        <f t="shared" ref="M7:M60" si="1">L7-K7</f>
        <v>72.190936768473506</v>
      </c>
      <c r="N7" s="35">
        <f>'J) Plafonnement effort'!G6+'J) Plafonnement effort'!H6-'K) Plafonnement aide'!I6</f>
        <v>-9.0500053154944649</v>
      </c>
      <c r="O7" s="133">
        <f t="shared" ref="O7:O60" si="2">M7+N7</f>
        <v>63.140931452979039</v>
      </c>
      <c r="P7" s="49">
        <f t="shared" ref="P7:P60" si="3">IF(O7&gt;$P$5,$P$5-O7,0)</f>
        <v>0</v>
      </c>
      <c r="Q7" s="59">
        <f t="shared" ref="Q7:Q62" si="4">P7*J7</f>
        <v>0</v>
      </c>
      <c r="R7" s="154">
        <f t="shared" ref="R7:R60" si="5">O7+P7</f>
        <v>63.140931452979039</v>
      </c>
      <c r="S7" s="133">
        <f t="shared" ref="S7:S60" si="6">R7-L7</f>
        <v>-7.8590685470209607</v>
      </c>
      <c r="T7" s="153">
        <f t="shared" ref="T7:T70" si="7">+C7+D7+E7+F7+G7-H7</f>
        <v>0</v>
      </c>
      <c r="V7" s="13"/>
    </row>
    <row r="8" spans="1:22" x14ac:dyDescent="0.25">
      <c r="A8" s="51">
        <f>'A) Base RI'!A9</f>
        <v>5403</v>
      </c>
      <c r="B8" s="484" t="str">
        <f>'A) Base RI'!B9</f>
        <v>Chessel</v>
      </c>
      <c r="C8" s="493">
        <v>148916.83921541114</v>
      </c>
      <c r="D8" s="487">
        <v>-93837.405762349314</v>
      </c>
      <c r="E8" s="493">
        <v>0</v>
      </c>
      <c r="F8" s="487">
        <v>0</v>
      </c>
      <c r="G8" s="493">
        <v>0</v>
      </c>
      <c r="H8" s="487">
        <v>55079.433453061822</v>
      </c>
      <c r="I8" s="159">
        <v>8336.8572368421064</v>
      </c>
      <c r="J8" s="490">
        <f>'B) D RI'!U9</f>
        <v>9797.3922972972978</v>
      </c>
      <c r="K8" s="68">
        <f t="shared" si="0"/>
        <v>6.6067382334023508</v>
      </c>
      <c r="L8" s="35">
        <f>'B) D RI'!S9</f>
        <v>74</v>
      </c>
      <c r="M8" s="35">
        <f t="shared" si="1"/>
        <v>67.393261766597647</v>
      </c>
      <c r="N8" s="35">
        <f>'J) Plafonnement effort'!G7+'J) Plafonnement effort'!H7-'K) Plafonnement aide'!I7</f>
        <v>11.426404411873531</v>
      </c>
      <c r="O8" s="133">
        <f t="shared" si="2"/>
        <v>78.819666178471181</v>
      </c>
      <c r="P8" s="49">
        <f t="shared" si="3"/>
        <v>0</v>
      </c>
      <c r="Q8" s="59">
        <f t="shared" si="4"/>
        <v>0</v>
      </c>
      <c r="R8" s="154">
        <f t="shared" si="5"/>
        <v>78.819666178471181</v>
      </c>
      <c r="S8" s="133">
        <f t="shared" si="6"/>
        <v>4.8196661784711807</v>
      </c>
      <c r="T8" s="153">
        <f t="shared" si="7"/>
        <v>0</v>
      </c>
      <c r="V8" s="13"/>
    </row>
    <row r="9" spans="1:22" x14ac:dyDescent="0.25">
      <c r="A9" s="51">
        <f>'A) Base RI'!A10</f>
        <v>5404</v>
      </c>
      <c r="B9" s="484" t="str">
        <f>'A) Base RI'!B10</f>
        <v>Corbeyrier</v>
      </c>
      <c r="C9" s="493">
        <v>984086.94595979468</v>
      </c>
      <c r="D9" s="487">
        <v>578850.42916669184</v>
      </c>
      <c r="E9" s="493">
        <v>0</v>
      </c>
      <c r="F9" s="487">
        <v>0</v>
      </c>
      <c r="G9" s="493">
        <v>-68870.333007649868</v>
      </c>
      <c r="H9" s="487">
        <v>1494067.0421188367</v>
      </c>
      <c r="I9" s="159">
        <v>39921.252857142863</v>
      </c>
      <c r="J9" s="490">
        <f>'B) D RI'!U10</f>
        <v>10965.354952380952</v>
      </c>
      <c r="K9" s="68">
        <f t="shared" si="0"/>
        <v>37.425354546494709</v>
      </c>
      <c r="L9" s="35">
        <f>'B) D RI'!S10</f>
        <v>70</v>
      </c>
      <c r="M9" s="35">
        <f t="shared" si="1"/>
        <v>32.574645453505291</v>
      </c>
      <c r="N9" s="35">
        <f>'J) Plafonnement effort'!G8+'J) Plafonnement effort'!H8-'K) Plafonnement aide'!I8</f>
        <v>12.943176392616376</v>
      </c>
      <c r="O9" s="133">
        <f t="shared" si="2"/>
        <v>45.517821846121663</v>
      </c>
      <c r="P9" s="49">
        <f t="shared" si="3"/>
        <v>0</v>
      </c>
      <c r="Q9" s="59">
        <f t="shared" si="4"/>
        <v>0</v>
      </c>
      <c r="R9" s="154">
        <f t="shared" si="5"/>
        <v>45.517821846121663</v>
      </c>
      <c r="S9" s="133">
        <f t="shared" si="6"/>
        <v>-24.482178153878337</v>
      </c>
      <c r="T9" s="153">
        <f t="shared" si="7"/>
        <v>0</v>
      </c>
      <c r="V9" s="13"/>
    </row>
    <row r="10" spans="1:22" x14ac:dyDescent="0.25">
      <c r="A10" s="51">
        <f>'A) Base RI'!A11</f>
        <v>5405</v>
      </c>
      <c r="B10" s="484" t="str">
        <f>'A) Base RI'!B11</f>
        <v>Gryon</v>
      </c>
      <c r="C10" s="493">
        <v>1254853.7123839322</v>
      </c>
      <c r="D10" s="487">
        <v>987237.72019874421</v>
      </c>
      <c r="E10" s="493">
        <v>0</v>
      </c>
      <c r="F10" s="487">
        <v>0</v>
      </c>
      <c r="G10" s="493">
        <v>0</v>
      </c>
      <c r="H10" s="487">
        <v>2242091.4325826764</v>
      </c>
      <c r="I10" s="159">
        <v>64864.951911111115</v>
      </c>
      <c r="J10" s="490">
        <f>'B) D RI'!U11</f>
        <v>69949.839511111102</v>
      </c>
      <c r="K10" s="68">
        <f t="shared" si="0"/>
        <v>34.565529866655382</v>
      </c>
      <c r="L10" s="35">
        <f>'B) D RI'!S11</f>
        <v>75</v>
      </c>
      <c r="M10" s="35">
        <f t="shared" si="1"/>
        <v>40.434470133344618</v>
      </c>
      <c r="N10" s="35">
        <f>'J) Plafonnement effort'!G9+'J) Plafonnement effort'!H9-'K) Plafonnement aide'!I9</f>
        <v>23.662750534455114</v>
      </c>
      <c r="O10" s="133">
        <f t="shared" si="2"/>
        <v>64.097220667799732</v>
      </c>
      <c r="P10" s="49">
        <f t="shared" si="3"/>
        <v>0</v>
      </c>
      <c r="Q10" s="59">
        <f t="shared" si="4"/>
        <v>0</v>
      </c>
      <c r="R10" s="154">
        <f t="shared" si="5"/>
        <v>64.097220667799732</v>
      </c>
      <c r="S10" s="133">
        <f t="shared" si="6"/>
        <v>-10.902779332200268</v>
      </c>
      <c r="T10" s="153">
        <f t="shared" si="7"/>
        <v>0</v>
      </c>
      <c r="V10" s="13"/>
    </row>
    <row r="11" spans="1:22" x14ac:dyDescent="0.25">
      <c r="A11" s="51">
        <f>'A) Base RI'!A12</f>
        <v>5406</v>
      </c>
      <c r="B11" s="484" t="str">
        <f>'A) Base RI'!B12</f>
        <v>Lavey-Morcles</v>
      </c>
      <c r="C11" s="493">
        <v>310298.45489932544</v>
      </c>
      <c r="D11" s="487">
        <v>-126224.74822445965</v>
      </c>
      <c r="E11" s="493">
        <v>0</v>
      </c>
      <c r="F11" s="487">
        <v>0</v>
      </c>
      <c r="G11" s="493">
        <v>0</v>
      </c>
      <c r="H11" s="487">
        <v>184073.7066748658</v>
      </c>
      <c r="I11" s="159">
        <v>20248.886901408452</v>
      </c>
      <c r="J11" s="490">
        <f>'B) D RI'!U12</f>
        <v>22205.009750812569</v>
      </c>
      <c r="K11" s="68">
        <f t="shared" si="0"/>
        <v>9.090559277214501</v>
      </c>
      <c r="L11" s="35">
        <f>'B) D RI'!S12</f>
        <v>71</v>
      </c>
      <c r="M11" s="35">
        <f t="shared" si="1"/>
        <v>61.909440722785497</v>
      </c>
      <c r="N11" s="35">
        <f>'J) Plafonnement effort'!G10+'J) Plafonnement effort'!H10-'K) Plafonnement aide'!I10</f>
        <v>8.8030895955084265</v>
      </c>
      <c r="O11" s="133">
        <f t="shared" si="2"/>
        <v>70.712530318293929</v>
      </c>
      <c r="P11" s="49">
        <f t="shared" si="3"/>
        <v>0</v>
      </c>
      <c r="Q11" s="59">
        <f t="shared" si="4"/>
        <v>0</v>
      </c>
      <c r="R11" s="154">
        <f t="shared" si="5"/>
        <v>70.712530318293929</v>
      </c>
      <c r="S11" s="133">
        <f t="shared" si="6"/>
        <v>-0.2874696817060709</v>
      </c>
      <c r="T11" s="153">
        <f t="shared" si="7"/>
        <v>0</v>
      </c>
      <c r="V11" s="13"/>
    </row>
    <row r="12" spans="1:22" x14ac:dyDescent="0.25">
      <c r="A12" s="51">
        <f>'A) Base RI'!A13</f>
        <v>5407</v>
      </c>
      <c r="B12" s="484" t="str">
        <f>'A) Base RI'!B13</f>
        <v>Leysin</v>
      </c>
      <c r="C12" s="493">
        <v>1477606.7843782261</v>
      </c>
      <c r="D12" s="487">
        <v>-2166226.6483549266</v>
      </c>
      <c r="E12" s="493">
        <v>234259.50288695731</v>
      </c>
      <c r="F12" s="487">
        <v>0</v>
      </c>
      <c r="G12" s="493">
        <v>0</v>
      </c>
      <c r="H12" s="487">
        <v>-454360.36108974315</v>
      </c>
      <c r="I12" s="159">
        <v>82610.97474358973</v>
      </c>
      <c r="J12" s="490">
        <f>'B) D RI'!U13</f>
        <v>89269.724615384606</v>
      </c>
      <c r="K12" s="68">
        <f t="shared" si="0"/>
        <v>-5.4999999999999956</v>
      </c>
      <c r="L12" s="35">
        <f>'B) D RI'!S13</f>
        <v>78</v>
      </c>
      <c r="M12" s="35">
        <f t="shared" si="1"/>
        <v>83.5</v>
      </c>
      <c r="N12" s="35">
        <f>'J) Plafonnement effort'!G11+'J) Plafonnement effort'!H11-'K) Plafonnement aide'!I11</f>
        <v>-22.863197457527797</v>
      </c>
      <c r="O12" s="133">
        <f t="shared" si="2"/>
        <v>60.636802542472203</v>
      </c>
      <c r="P12" s="49">
        <f t="shared" si="3"/>
        <v>0</v>
      </c>
      <c r="Q12" s="59">
        <f t="shared" si="4"/>
        <v>0</v>
      </c>
      <c r="R12" s="154">
        <f t="shared" si="5"/>
        <v>60.636802542472203</v>
      </c>
      <c r="S12" s="133">
        <f t="shared" si="6"/>
        <v>-17.363197457527797</v>
      </c>
      <c r="T12" s="153">
        <f t="shared" si="7"/>
        <v>0</v>
      </c>
      <c r="V12" s="13"/>
    </row>
    <row r="13" spans="1:22" x14ac:dyDescent="0.25">
      <c r="A13" s="51">
        <f>'A) Base RI'!A14</f>
        <v>5408</v>
      </c>
      <c r="B13" s="484" t="str">
        <f>'A) Base RI'!B14</f>
        <v>Noville</v>
      </c>
      <c r="C13" s="493">
        <v>632898.81813312578</v>
      </c>
      <c r="D13" s="487">
        <v>178598.36226882041</v>
      </c>
      <c r="E13" s="493">
        <v>0</v>
      </c>
      <c r="F13" s="487">
        <v>0</v>
      </c>
      <c r="G13" s="493">
        <v>0</v>
      </c>
      <c r="H13" s="487">
        <v>811497.18040194619</v>
      </c>
      <c r="I13" s="159">
        <v>33419.560339702759</v>
      </c>
      <c r="J13" s="490">
        <f>'B) D RI'!U14</f>
        <v>34371.486709129509</v>
      </c>
      <c r="K13" s="68">
        <f t="shared" si="0"/>
        <v>24.282102222568131</v>
      </c>
      <c r="L13" s="35">
        <f>'B) D RI'!S14</f>
        <v>78.5</v>
      </c>
      <c r="M13" s="35">
        <f t="shared" si="1"/>
        <v>54.217897777431872</v>
      </c>
      <c r="N13" s="35">
        <f>'J) Plafonnement effort'!G12+'J) Plafonnement effort'!H12-'K) Plafonnement aide'!I12</f>
        <v>20.060548546107739</v>
      </c>
      <c r="O13" s="133">
        <f t="shared" si="2"/>
        <v>74.278446323539612</v>
      </c>
      <c r="P13" s="49">
        <f t="shared" si="3"/>
        <v>0</v>
      </c>
      <c r="Q13" s="59">
        <f t="shared" si="4"/>
        <v>0</v>
      </c>
      <c r="R13" s="154">
        <f t="shared" si="5"/>
        <v>74.278446323539612</v>
      </c>
      <c r="S13" s="133">
        <f t="shared" si="6"/>
        <v>-4.2215536764603883</v>
      </c>
      <c r="T13" s="153">
        <f t="shared" si="7"/>
        <v>0</v>
      </c>
      <c r="V13" s="13"/>
    </row>
    <row r="14" spans="1:22" x14ac:dyDescent="0.25">
      <c r="A14" s="51">
        <f>'A) Base RI'!A15</f>
        <v>5409</v>
      </c>
      <c r="B14" s="484" t="str">
        <f>'A) Base RI'!B15</f>
        <v>Ollon</v>
      </c>
      <c r="C14" s="493">
        <v>7319120.9057379616</v>
      </c>
      <c r="D14" s="487">
        <v>3555772.449650256</v>
      </c>
      <c r="E14" s="493">
        <v>0</v>
      </c>
      <c r="F14" s="487">
        <v>0</v>
      </c>
      <c r="G14" s="493">
        <v>0</v>
      </c>
      <c r="H14" s="487">
        <v>10874893.355388217</v>
      </c>
      <c r="I14" s="159">
        <v>366034.73937782802</v>
      </c>
      <c r="J14" s="490">
        <f>'B) D RI'!U15</f>
        <v>372011.63303167425</v>
      </c>
      <c r="K14" s="68">
        <f t="shared" si="0"/>
        <v>29.710003410804529</v>
      </c>
      <c r="L14" s="35">
        <f>'B) D RI'!S15</f>
        <v>68</v>
      </c>
      <c r="M14" s="35">
        <f t="shared" si="1"/>
        <v>38.289996589195468</v>
      </c>
      <c r="N14" s="35">
        <f>'J) Plafonnement effort'!G13+'J) Plafonnement effort'!H13-'K) Plafonnement aide'!I13</f>
        <v>23.490569855678363</v>
      </c>
      <c r="O14" s="133">
        <f t="shared" si="2"/>
        <v>61.780566444873827</v>
      </c>
      <c r="P14" s="49">
        <f t="shared" si="3"/>
        <v>0</v>
      </c>
      <c r="Q14" s="59">
        <f t="shared" si="4"/>
        <v>0</v>
      </c>
      <c r="R14" s="154">
        <f t="shared" si="5"/>
        <v>61.780566444873827</v>
      </c>
      <c r="S14" s="133">
        <f t="shared" si="6"/>
        <v>-6.219433555126173</v>
      </c>
      <c r="T14" s="153">
        <f t="shared" si="7"/>
        <v>0</v>
      </c>
      <c r="V14" s="13"/>
    </row>
    <row r="15" spans="1:22" x14ac:dyDescent="0.25">
      <c r="A15" s="51">
        <f>'A) Base RI'!A16</f>
        <v>5410</v>
      </c>
      <c r="B15" s="484" t="str">
        <f>'A) Base RI'!B16</f>
        <v>Ormont-Dessous</v>
      </c>
      <c r="C15" s="493">
        <v>652669.197608324</v>
      </c>
      <c r="D15" s="487">
        <v>239448.74110721052</v>
      </c>
      <c r="E15" s="493">
        <v>0</v>
      </c>
      <c r="F15" s="487">
        <v>0</v>
      </c>
      <c r="G15" s="493">
        <v>0</v>
      </c>
      <c r="H15" s="487">
        <v>892117.93871553452</v>
      </c>
      <c r="I15" s="159">
        <v>36452.210276008496</v>
      </c>
      <c r="J15" s="490">
        <f>'B) D RI'!U16</f>
        <v>38315.886284501066</v>
      </c>
      <c r="K15" s="68">
        <f t="shared" si="0"/>
        <v>24.473630870682587</v>
      </c>
      <c r="L15" s="35">
        <f>'B) D RI'!S16</f>
        <v>78.5</v>
      </c>
      <c r="M15" s="35">
        <f t="shared" si="1"/>
        <v>54.026369129317416</v>
      </c>
      <c r="N15" s="35">
        <f>'J) Plafonnement effort'!G14+'J) Plafonnement effort'!H14-'K) Plafonnement aide'!I14</f>
        <v>5.0345513460768032</v>
      </c>
      <c r="O15" s="133">
        <f t="shared" si="2"/>
        <v>59.060920475394219</v>
      </c>
      <c r="P15" s="49">
        <f t="shared" si="3"/>
        <v>0</v>
      </c>
      <c r="Q15" s="59">
        <f t="shared" si="4"/>
        <v>0</v>
      </c>
      <c r="R15" s="154">
        <f t="shared" si="5"/>
        <v>59.060920475394219</v>
      </c>
      <c r="S15" s="133">
        <f t="shared" si="6"/>
        <v>-19.439079524605781</v>
      </c>
      <c r="T15" s="153">
        <f t="shared" si="7"/>
        <v>0</v>
      </c>
      <c r="V15" s="13"/>
    </row>
    <row r="16" spans="1:22" x14ac:dyDescent="0.25">
      <c r="A16" s="51">
        <f>'A) Base RI'!A17</f>
        <v>5411</v>
      </c>
      <c r="B16" s="484" t="str">
        <f>'A) Base RI'!B17</f>
        <v>Ormont-Dessus</v>
      </c>
      <c r="C16" s="493">
        <v>1321221.6174278462</v>
      </c>
      <c r="D16" s="487">
        <v>1110391.9501402802</v>
      </c>
      <c r="E16" s="493">
        <v>0</v>
      </c>
      <c r="F16" s="487">
        <v>0</v>
      </c>
      <c r="G16" s="493">
        <v>0</v>
      </c>
      <c r="H16" s="487">
        <v>2431613.5675681261</v>
      </c>
      <c r="I16" s="159">
        <v>74047.924868421047</v>
      </c>
      <c r="J16" s="490">
        <f>'B) D RI'!U17</f>
        <v>79923.40364035088</v>
      </c>
      <c r="K16" s="68">
        <f t="shared" si="0"/>
        <v>32.838375577559603</v>
      </c>
      <c r="L16" s="35">
        <f>'B) D RI'!S17</f>
        <v>76</v>
      </c>
      <c r="M16" s="35">
        <f t="shared" si="1"/>
        <v>43.161624422440397</v>
      </c>
      <c r="N16" s="35">
        <f>'J) Plafonnement effort'!G15+'J) Plafonnement effort'!H15-'K) Plafonnement aide'!I15</f>
        <v>22.603035407810829</v>
      </c>
      <c r="O16" s="133">
        <f t="shared" si="2"/>
        <v>65.764659830251219</v>
      </c>
      <c r="P16" s="49">
        <f t="shared" si="3"/>
        <v>0</v>
      </c>
      <c r="Q16" s="59">
        <f t="shared" si="4"/>
        <v>0</v>
      </c>
      <c r="R16" s="154">
        <f t="shared" si="5"/>
        <v>65.764659830251219</v>
      </c>
      <c r="S16" s="133">
        <f t="shared" si="6"/>
        <v>-10.235340169748781</v>
      </c>
      <c r="T16" s="153">
        <f t="shared" si="7"/>
        <v>0</v>
      </c>
      <c r="V16" s="13"/>
    </row>
    <row r="17" spans="1:22" x14ac:dyDescent="0.25">
      <c r="A17" s="51">
        <f>'A) Base RI'!A18</f>
        <v>5412</v>
      </c>
      <c r="B17" s="484" t="str">
        <f>'A) Base RI'!B18</f>
        <v>Rennaz</v>
      </c>
      <c r="C17" s="493">
        <v>488583.24623196508</v>
      </c>
      <c r="D17" s="487">
        <v>204235.16512820043</v>
      </c>
      <c r="E17" s="493">
        <v>0</v>
      </c>
      <c r="F17" s="487">
        <v>0</v>
      </c>
      <c r="G17" s="493">
        <v>0</v>
      </c>
      <c r="H17" s="487">
        <v>692818.41136016557</v>
      </c>
      <c r="I17" s="159">
        <v>26224.228148148151</v>
      </c>
      <c r="J17" s="490">
        <f>'B) D RI'!U18</f>
        <v>31498.582370370365</v>
      </c>
      <c r="K17" s="68">
        <f t="shared" si="0"/>
        <v>26.419020130782748</v>
      </c>
      <c r="L17" s="35">
        <f>'B) D RI'!S18</f>
        <v>67.5</v>
      </c>
      <c r="M17" s="35">
        <f t="shared" si="1"/>
        <v>41.080979869217252</v>
      </c>
      <c r="N17" s="35">
        <f>'J) Plafonnement effort'!G16+'J) Plafonnement effort'!H16-'K) Plafonnement aide'!I16</f>
        <v>29.803407700129007</v>
      </c>
      <c r="O17" s="133">
        <f t="shared" si="2"/>
        <v>70.884387569346259</v>
      </c>
      <c r="P17" s="49">
        <f t="shared" si="3"/>
        <v>0</v>
      </c>
      <c r="Q17" s="59">
        <f t="shared" si="4"/>
        <v>0</v>
      </c>
      <c r="R17" s="154">
        <f t="shared" si="5"/>
        <v>70.884387569346259</v>
      </c>
      <c r="S17" s="133">
        <f t="shared" si="6"/>
        <v>3.3843875693462593</v>
      </c>
      <c r="T17" s="153">
        <f t="shared" si="7"/>
        <v>0</v>
      </c>
      <c r="V17" s="13"/>
    </row>
    <row r="18" spans="1:22" x14ac:dyDescent="0.25">
      <c r="A18" s="51">
        <f>'A) Base RI'!A19</f>
        <v>5413</v>
      </c>
      <c r="B18" s="484" t="str">
        <f>'A) Base RI'!B19</f>
        <v>Roche</v>
      </c>
      <c r="C18" s="493">
        <v>748418.471832813</v>
      </c>
      <c r="D18" s="487">
        <v>-164234.93573165871</v>
      </c>
      <c r="E18" s="493">
        <v>0</v>
      </c>
      <c r="F18" s="487">
        <v>0</v>
      </c>
      <c r="G18" s="493">
        <v>0</v>
      </c>
      <c r="H18" s="487">
        <v>584183.53610115428</v>
      </c>
      <c r="I18" s="159">
        <v>38924.228382352943</v>
      </c>
      <c r="J18" s="490">
        <f>'B) D RI'!U19</f>
        <v>37711.950000000012</v>
      </c>
      <c r="K18" s="68">
        <f t="shared" si="0"/>
        <v>15.008223936071788</v>
      </c>
      <c r="L18" s="35">
        <f>'B) D RI'!S19</f>
        <v>68</v>
      </c>
      <c r="M18" s="35">
        <f t="shared" si="1"/>
        <v>52.991776063928214</v>
      </c>
      <c r="N18" s="35">
        <f>'J) Plafonnement effort'!G17+'J) Plafonnement effort'!H17-'K) Plafonnement aide'!I17</f>
        <v>10.727400177301243</v>
      </c>
      <c r="O18" s="133">
        <f t="shared" si="2"/>
        <v>63.719176241229455</v>
      </c>
      <c r="P18" s="49">
        <f t="shared" si="3"/>
        <v>0</v>
      </c>
      <c r="Q18" s="59">
        <f t="shared" si="4"/>
        <v>0</v>
      </c>
      <c r="R18" s="154">
        <f t="shared" si="5"/>
        <v>63.719176241229455</v>
      </c>
      <c r="S18" s="133">
        <f t="shared" si="6"/>
        <v>-4.2808237587705449</v>
      </c>
      <c r="T18" s="153">
        <f t="shared" si="7"/>
        <v>0</v>
      </c>
      <c r="V18" s="13"/>
    </row>
    <row r="19" spans="1:22" x14ac:dyDescent="0.25">
      <c r="A19" s="51">
        <f>'A) Base RI'!A20</f>
        <v>5414</v>
      </c>
      <c r="B19" s="484" t="str">
        <f>'A) Base RI'!B20</f>
        <v>Villeneuve</v>
      </c>
      <c r="C19" s="493">
        <v>3066231.672072202</v>
      </c>
      <c r="D19" s="487">
        <v>-614772.90011420008</v>
      </c>
      <c r="E19" s="493">
        <v>0</v>
      </c>
      <c r="F19" s="487">
        <v>0</v>
      </c>
      <c r="G19" s="493">
        <v>0</v>
      </c>
      <c r="H19" s="487">
        <v>2451458.7719580019</v>
      </c>
      <c r="I19" s="159">
        <v>159863.47130434786</v>
      </c>
      <c r="J19" s="490">
        <f>'B) D RI'!U20</f>
        <v>168706.05608695652</v>
      </c>
      <c r="K19" s="68">
        <f t="shared" si="0"/>
        <v>15.334702493047446</v>
      </c>
      <c r="L19" s="35">
        <f>'B) D RI'!S20</f>
        <v>69</v>
      </c>
      <c r="M19" s="35">
        <f t="shared" si="1"/>
        <v>53.665297506952555</v>
      </c>
      <c r="N19" s="35">
        <f>'J) Plafonnement effort'!G18+'J) Plafonnement effort'!H18-'K) Plafonnement aide'!I18</f>
        <v>7.7884650950589158</v>
      </c>
      <c r="O19" s="133">
        <f t="shared" si="2"/>
        <v>61.453762602011473</v>
      </c>
      <c r="P19" s="49">
        <f t="shared" si="3"/>
        <v>0</v>
      </c>
      <c r="Q19" s="59">
        <f t="shared" si="4"/>
        <v>0</v>
      </c>
      <c r="R19" s="154">
        <f t="shared" si="5"/>
        <v>61.453762602011473</v>
      </c>
      <c r="S19" s="133">
        <f t="shared" si="6"/>
        <v>-7.5462373979885271</v>
      </c>
      <c r="T19" s="153">
        <f t="shared" si="7"/>
        <v>0</v>
      </c>
      <c r="V19" s="13"/>
    </row>
    <row r="20" spans="1:22" x14ac:dyDescent="0.25">
      <c r="A20" s="51">
        <f>'A) Base RI'!A21</f>
        <v>5415</v>
      </c>
      <c r="B20" s="484" t="str">
        <f>'A) Base RI'!B21</f>
        <v>Yvorne</v>
      </c>
      <c r="C20" s="493">
        <v>645972.77497196989</v>
      </c>
      <c r="D20" s="487">
        <v>336049.13287704356</v>
      </c>
      <c r="E20" s="493">
        <v>0</v>
      </c>
      <c r="F20" s="487">
        <v>0</v>
      </c>
      <c r="G20" s="493">
        <v>0</v>
      </c>
      <c r="H20" s="487">
        <v>982021.90784901346</v>
      </c>
      <c r="I20" s="159">
        <v>35726.744476885644</v>
      </c>
      <c r="J20" s="490">
        <f>'B) D RI'!U21</f>
        <v>35013.467459207466</v>
      </c>
      <c r="K20" s="68">
        <f t="shared" si="0"/>
        <v>27.487024698943905</v>
      </c>
      <c r="L20" s="35">
        <f>'B) D RI'!S21</f>
        <v>71.5</v>
      </c>
      <c r="M20" s="35">
        <f t="shared" si="1"/>
        <v>44.012975301056095</v>
      </c>
      <c r="N20" s="35">
        <f>'J) Plafonnement effort'!G19+'J) Plafonnement effort'!H19-'K) Plafonnement aide'!I19</f>
        <v>23.789092540668584</v>
      </c>
      <c r="O20" s="133">
        <f t="shared" si="2"/>
        <v>67.802067841724678</v>
      </c>
      <c r="P20" s="49">
        <f t="shared" si="3"/>
        <v>0</v>
      </c>
      <c r="Q20" s="59">
        <f t="shared" si="4"/>
        <v>0</v>
      </c>
      <c r="R20" s="154">
        <f t="shared" si="5"/>
        <v>67.802067841724678</v>
      </c>
      <c r="S20" s="133">
        <f t="shared" si="6"/>
        <v>-3.6979321582753215</v>
      </c>
      <c r="T20" s="153">
        <f t="shared" si="7"/>
        <v>0</v>
      </c>
      <c r="V20" s="13"/>
    </row>
    <row r="21" spans="1:22" x14ac:dyDescent="0.25">
      <c r="A21" s="51">
        <f>'A) Base RI'!A22</f>
        <v>5421</v>
      </c>
      <c r="B21" s="484" t="str">
        <f>'A) Base RI'!B22</f>
        <v>Apples</v>
      </c>
      <c r="C21" s="493">
        <v>896089.69796731276</v>
      </c>
      <c r="D21" s="487">
        <v>779160.00862090511</v>
      </c>
      <c r="E21" s="493">
        <v>0</v>
      </c>
      <c r="F21" s="487">
        <v>0</v>
      </c>
      <c r="G21" s="493">
        <v>0</v>
      </c>
      <c r="H21" s="487">
        <v>1675249.706588218</v>
      </c>
      <c r="I21" s="159">
        <v>59005.563421052633</v>
      </c>
      <c r="J21" s="490">
        <f>'B) D RI'!U22</f>
        <v>59328.525131578965</v>
      </c>
      <c r="K21" s="68">
        <f t="shared" si="0"/>
        <v>28.391385650094556</v>
      </c>
      <c r="L21" s="35">
        <f>'B) D RI'!S22</f>
        <v>76</v>
      </c>
      <c r="M21" s="35">
        <f t="shared" si="1"/>
        <v>47.608614349905444</v>
      </c>
      <c r="N21" s="35">
        <f>'J) Plafonnement effort'!G20+'J) Plafonnement effort'!H20-'K) Plafonnement aide'!I20</f>
        <v>26.731042715372077</v>
      </c>
      <c r="O21" s="133">
        <f t="shared" si="2"/>
        <v>74.339657065277521</v>
      </c>
      <c r="P21" s="49">
        <f t="shared" si="3"/>
        <v>0</v>
      </c>
      <c r="Q21" s="59">
        <f t="shared" si="4"/>
        <v>0</v>
      </c>
      <c r="R21" s="154">
        <f t="shared" si="5"/>
        <v>74.339657065277521</v>
      </c>
      <c r="S21" s="133">
        <f t="shared" si="6"/>
        <v>-1.660342934722479</v>
      </c>
      <c r="T21" s="153">
        <f t="shared" si="7"/>
        <v>0</v>
      </c>
      <c r="V21" s="13"/>
    </row>
    <row r="22" spans="1:22" x14ac:dyDescent="0.25">
      <c r="A22" s="51">
        <f>'A) Base RI'!A23</f>
        <v>5422</v>
      </c>
      <c r="B22" s="484" t="str">
        <f>'A) Base RI'!B23</f>
        <v>Aubonne</v>
      </c>
      <c r="C22" s="493">
        <v>4383390.7289111996</v>
      </c>
      <c r="D22" s="487">
        <v>2904470.1157098152</v>
      </c>
      <c r="E22" s="493">
        <v>0</v>
      </c>
      <c r="F22" s="487">
        <v>0</v>
      </c>
      <c r="G22" s="493">
        <v>0</v>
      </c>
      <c r="H22" s="487">
        <v>7287860.8446210148</v>
      </c>
      <c r="I22" s="159">
        <v>218988.17661764708</v>
      </c>
      <c r="J22" s="490">
        <f>'B) D RI'!U23</f>
        <v>265098.93749999994</v>
      </c>
      <c r="K22" s="68">
        <f t="shared" si="0"/>
        <v>33.27970010611854</v>
      </c>
      <c r="L22" s="35">
        <f>'B) D RI'!S23</f>
        <v>68</v>
      </c>
      <c r="M22" s="35">
        <f t="shared" si="1"/>
        <v>34.72029989388146</v>
      </c>
      <c r="N22" s="35">
        <f>'J) Plafonnement effort'!G21+'J) Plafonnement effort'!H21-'K) Plafonnement aide'!I21</f>
        <v>38.476293146225089</v>
      </c>
      <c r="O22" s="133">
        <f t="shared" si="2"/>
        <v>73.196593040106549</v>
      </c>
      <c r="P22" s="49">
        <f t="shared" si="3"/>
        <v>0</v>
      </c>
      <c r="Q22" s="59">
        <f t="shared" si="4"/>
        <v>0</v>
      </c>
      <c r="R22" s="154">
        <f t="shared" si="5"/>
        <v>73.196593040106549</v>
      </c>
      <c r="S22" s="133">
        <f t="shared" si="6"/>
        <v>5.1965930401065492</v>
      </c>
      <c r="T22" s="153">
        <f t="shared" si="7"/>
        <v>0</v>
      </c>
      <c r="V22" s="13"/>
    </row>
    <row r="23" spans="1:22" x14ac:dyDescent="0.25">
      <c r="A23" s="51">
        <f>'A) Base RI'!A24</f>
        <v>5423</v>
      </c>
      <c r="B23" s="484" t="str">
        <f>'A) Base RI'!B24</f>
        <v>Ballens</v>
      </c>
      <c r="C23" s="493">
        <v>235476.04804394406</v>
      </c>
      <c r="D23" s="487">
        <v>100952.44972924615</v>
      </c>
      <c r="E23" s="493">
        <v>0</v>
      </c>
      <c r="F23" s="487">
        <v>0</v>
      </c>
      <c r="G23" s="493">
        <v>0</v>
      </c>
      <c r="H23" s="487">
        <v>336428.4977731902</v>
      </c>
      <c r="I23" s="159">
        <v>15358.055362318841</v>
      </c>
      <c r="J23" s="490">
        <f>'B) D RI'!U24</f>
        <v>16703.466521739134</v>
      </c>
      <c r="K23" s="68">
        <f t="shared" si="0"/>
        <v>21.905670336273253</v>
      </c>
      <c r="L23" s="35">
        <f>'B) D RI'!S24</f>
        <v>69</v>
      </c>
      <c r="M23" s="35">
        <f t="shared" si="1"/>
        <v>47.094329663726747</v>
      </c>
      <c r="N23" s="35">
        <f>'J) Plafonnement effort'!G22+'J) Plafonnement effort'!H22-'K) Plafonnement aide'!I22</f>
        <v>23.559841351799875</v>
      </c>
      <c r="O23" s="133">
        <f t="shared" si="2"/>
        <v>70.654171015526629</v>
      </c>
      <c r="P23" s="49">
        <f t="shared" si="3"/>
        <v>0</v>
      </c>
      <c r="Q23" s="59">
        <f t="shared" si="4"/>
        <v>0</v>
      </c>
      <c r="R23" s="154">
        <f t="shared" si="5"/>
        <v>70.654171015526629</v>
      </c>
      <c r="S23" s="133">
        <f t="shared" si="6"/>
        <v>1.6541710155266287</v>
      </c>
      <c r="T23" s="153">
        <f t="shared" si="7"/>
        <v>0</v>
      </c>
      <c r="V23" s="13"/>
    </row>
    <row r="24" spans="1:22" x14ac:dyDescent="0.25">
      <c r="A24" s="51">
        <f>'A) Base RI'!A25</f>
        <v>5424</v>
      </c>
      <c r="B24" s="484" t="str">
        <f>'A) Base RI'!B25</f>
        <v>Berolle</v>
      </c>
      <c r="C24" s="493">
        <v>156474.83332575159</v>
      </c>
      <c r="D24" s="487">
        <v>38576.112240428731</v>
      </c>
      <c r="E24" s="493">
        <v>0</v>
      </c>
      <c r="F24" s="487">
        <v>0</v>
      </c>
      <c r="G24" s="493">
        <v>0</v>
      </c>
      <c r="H24" s="487">
        <v>195050.94556618034</v>
      </c>
      <c r="I24" s="159">
        <v>9058.2428571428572</v>
      </c>
      <c r="J24" s="490">
        <f>'B) D RI'!U25</f>
        <v>11342.941168831172</v>
      </c>
      <c r="K24" s="68">
        <f t="shared" si="0"/>
        <v>21.532978155070477</v>
      </c>
      <c r="L24" s="35">
        <f>'B) D RI'!S25</f>
        <v>77</v>
      </c>
      <c r="M24" s="35">
        <f t="shared" si="1"/>
        <v>55.467021844929519</v>
      </c>
      <c r="N24" s="35">
        <f>'J) Plafonnement effort'!G23+'J) Plafonnement effort'!H23-'K) Plafonnement aide'!I23</f>
        <v>27.221516477914243</v>
      </c>
      <c r="O24" s="133">
        <f t="shared" si="2"/>
        <v>82.688538322843755</v>
      </c>
      <c r="P24" s="49">
        <f t="shared" si="3"/>
        <v>0</v>
      </c>
      <c r="Q24" s="59">
        <f t="shared" si="4"/>
        <v>0</v>
      </c>
      <c r="R24" s="154">
        <f t="shared" si="5"/>
        <v>82.688538322843755</v>
      </c>
      <c r="S24" s="133">
        <f t="shared" si="6"/>
        <v>5.6885383228437547</v>
      </c>
      <c r="T24" s="153">
        <f t="shared" si="7"/>
        <v>0</v>
      </c>
      <c r="V24" s="13"/>
    </row>
    <row r="25" spans="1:22" x14ac:dyDescent="0.25">
      <c r="A25" s="51">
        <f>'A) Base RI'!A26</f>
        <v>5425</v>
      </c>
      <c r="B25" s="484" t="str">
        <f>'A) Base RI'!B26</f>
        <v>Bière</v>
      </c>
      <c r="C25" s="493">
        <v>765374.40565724554</v>
      </c>
      <c r="D25" s="487">
        <v>-86972.239878664608</v>
      </c>
      <c r="E25" s="493">
        <v>0</v>
      </c>
      <c r="F25" s="487">
        <v>0</v>
      </c>
      <c r="G25" s="493">
        <v>0</v>
      </c>
      <c r="H25" s="487">
        <v>678402.16577858094</v>
      </c>
      <c r="I25" s="159">
        <v>39413.041470588236</v>
      </c>
      <c r="J25" s="490">
        <f>'B) D RI'!U26</f>
        <v>41451.382114604457</v>
      </c>
      <c r="K25" s="68">
        <f t="shared" si="0"/>
        <v>17.212631668754486</v>
      </c>
      <c r="L25" s="35">
        <f>'B) D RI'!S26</f>
        <v>68</v>
      </c>
      <c r="M25" s="35">
        <f t="shared" si="1"/>
        <v>50.787368331245517</v>
      </c>
      <c r="N25" s="35">
        <f>'J) Plafonnement effort'!G24+'J) Plafonnement effort'!H24-'K) Plafonnement aide'!I24</f>
        <v>2.2790346373582953</v>
      </c>
      <c r="O25" s="133">
        <f t="shared" si="2"/>
        <v>53.066402968603811</v>
      </c>
      <c r="P25" s="49">
        <f t="shared" si="3"/>
        <v>0</v>
      </c>
      <c r="Q25" s="59">
        <f t="shared" si="4"/>
        <v>0</v>
      </c>
      <c r="R25" s="154">
        <f t="shared" si="5"/>
        <v>53.066402968603811</v>
      </c>
      <c r="S25" s="133">
        <f t="shared" si="6"/>
        <v>-14.933597031396189</v>
      </c>
      <c r="T25" s="153">
        <f t="shared" si="7"/>
        <v>0</v>
      </c>
      <c r="V25" s="13"/>
    </row>
    <row r="26" spans="1:22" x14ac:dyDescent="0.25">
      <c r="A26" s="51">
        <f>'A) Base RI'!A27</f>
        <v>5426</v>
      </c>
      <c r="B26" s="484" t="str">
        <f>'A) Base RI'!B27</f>
        <v>Bougy-Villars</v>
      </c>
      <c r="C26" s="493">
        <v>3787280.8476168825</v>
      </c>
      <c r="D26" s="487">
        <v>616342.645993746</v>
      </c>
      <c r="E26" s="493">
        <v>0</v>
      </c>
      <c r="F26" s="487">
        <v>-2014242.2475740064</v>
      </c>
      <c r="G26" s="493">
        <v>0</v>
      </c>
      <c r="H26" s="487">
        <v>2389381.2460366227</v>
      </c>
      <c r="I26" s="159">
        <v>42567.7185483871</v>
      </c>
      <c r="J26" s="490">
        <f>'B) D RI'!U27</f>
        <v>47933.807222222218</v>
      </c>
      <c r="K26" s="68">
        <f t="shared" si="0"/>
        <v>56.131296849291843</v>
      </c>
      <c r="L26" s="35">
        <f>'B) D RI'!S27</f>
        <v>66</v>
      </c>
      <c r="M26" s="35">
        <f t="shared" si="1"/>
        <v>9.8687031507081571</v>
      </c>
      <c r="N26" s="35">
        <f>'J) Plafonnement effort'!G25+'J) Plafonnement effort'!H25-'K) Plafonnement aide'!I25</f>
        <v>49.875415522764868</v>
      </c>
      <c r="O26" s="133">
        <f t="shared" si="2"/>
        <v>59.744118673473025</v>
      </c>
      <c r="P26" s="49">
        <f t="shared" si="3"/>
        <v>0</v>
      </c>
      <c r="Q26" s="59">
        <f t="shared" si="4"/>
        <v>0</v>
      </c>
      <c r="R26" s="154">
        <f t="shared" si="5"/>
        <v>59.744118673473025</v>
      </c>
      <c r="S26" s="133">
        <f t="shared" si="6"/>
        <v>-6.2558813265269748</v>
      </c>
      <c r="T26" s="153">
        <f t="shared" si="7"/>
        <v>0</v>
      </c>
      <c r="V26" s="13"/>
    </row>
    <row r="27" spans="1:22" x14ac:dyDescent="0.25">
      <c r="A27" s="51">
        <f>'A) Base RI'!A28</f>
        <v>5427</v>
      </c>
      <c r="B27" s="484" t="str">
        <f>'A) Base RI'!B28</f>
        <v>Féchy</v>
      </c>
      <c r="C27" s="493">
        <v>1554818.4716064897</v>
      </c>
      <c r="D27" s="487">
        <v>1049743.4691397685</v>
      </c>
      <c r="E27" s="493">
        <v>0</v>
      </c>
      <c r="F27" s="487">
        <v>0</v>
      </c>
      <c r="G27" s="493">
        <v>0</v>
      </c>
      <c r="H27" s="487">
        <v>2604561.940746258</v>
      </c>
      <c r="I27" s="159">
        <v>68786.678798076915</v>
      </c>
      <c r="J27" s="490">
        <f>'B) D RI'!U28</f>
        <v>79760.38769230769</v>
      </c>
      <c r="K27" s="68">
        <f t="shared" si="0"/>
        <v>37.864336325815955</v>
      </c>
      <c r="L27" s="35">
        <f>'B) D RI'!S28</f>
        <v>64</v>
      </c>
      <c r="M27" s="35">
        <f t="shared" si="1"/>
        <v>26.135663674184045</v>
      </c>
      <c r="N27" s="35">
        <f>'J) Plafonnement effort'!G26+'J) Plafonnement effort'!H26-'K) Plafonnement aide'!I26</f>
        <v>42.123735728484995</v>
      </c>
      <c r="O27" s="133">
        <f t="shared" si="2"/>
        <v>68.259399402669032</v>
      </c>
      <c r="P27" s="49">
        <f t="shared" si="3"/>
        <v>0</v>
      </c>
      <c r="Q27" s="59">
        <f t="shared" si="4"/>
        <v>0</v>
      </c>
      <c r="R27" s="154">
        <f t="shared" si="5"/>
        <v>68.259399402669032</v>
      </c>
      <c r="S27" s="133">
        <f t="shared" si="6"/>
        <v>4.2593994026690325</v>
      </c>
      <c r="T27" s="153">
        <f t="shared" si="7"/>
        <v>0</v>
      </c>
      <c r="V27" s="13"/>
    </row>
    <row r="28" spans="1:22" x14ac:dyDescent="0.25">
      <c r="A28" s="51">
        <f>'A) Base RI'!A29</f>
        <v>5428</v>
      </c>
      <c r="B28" s="484" t="str">
        <f>'A) Base RI'!B29</f>
        <v>Gimel</v>
      </c>
      <c r="C28" s="493">
        <v>1165431.2310440191</v>
      </c>
      <c r="D28" s="487">
        <v>80919.654844470089</v>
      </c>
      <c r="E28" s="493">
        <v>0</v>
      </c>
      <c r="F28" s="487">
        <v>0</v>
      </c>
      <c r="G28" s="493">
        <v>0</v>
      </c>
      <c r="H28" s="487">
        <v>1246350.8858884892</v>
      </c>
      <c r="I28" s="159">
        <v>58004.622727272719</v>
      </c>
      <c r="J28" s="490">
        <f>'B) D RI'!U29</f>
        <v>62694.643076923086</v>
      </c>
      <c r="K28" s="68">
        <f t="shared" si="0"/>
        <v>21.487095808701426</v>
      </c>
      <c r="L28" s="35">
        <f>'B) D RI'!S29</f>
        <v>71.5</v>
      </c>
      <c r="M28" s="35">
        <f t="shared" si="1"/>
        <v>50.012904191298574</v>
      </c>
      <c r="N28" s="35">
        <f>'J) Plafonnement effort'!G27+'J) Plafonnement effort'!H27-'K) Plafonnement aide'!I27</f>
        <v>15.834438547697431</v>
      </c>
      <c r="O28" s="133">
        <f t="shared" si="2"/>
        <v>65.847342738996005</v>
      </c>
      <c r="P28" s="49">
        <f t="shared" si="3"/>
        <v>0</v>
      </c>
      <c r="Q28" s="59">
        <f t="shared" si="4"/>
        <v>0</v>
      </c>
      <c r="R28" s="154">
        <f t="shared" si="5"/>
        <v>65.847342738996005</v>
      </c>
      <c r="S28" s="133">
        <f t="shared" si="6"/>
        <v>-5.6526572610039949</v>
      </c>
      <c r="T28" s="153">
        <f t="shared" si="7"/>
        <v>0</v>
      </c>
      <c r="V28" s="13"/>
    </row>
    <row r="29" spans="1:22" x14ac:dyDescent="0.25">
      <c r="A29" s="51">
        <f>'A) Base RI'!A30</f>
        <v>5429</v>
      </c>
      <c r="B29" s="484" t="str">
        <f>'A) Base RI'!B30</f>
        <v>Longirod</v>
      </c>
      <c r="C29" s="493">
        <v>262000.46521027939</v>
      </c>
      <c r="D29" s="487">
        <v>-32178.930156263727</v>
      </c>
      <c r="E29" s="493">
        <v>0</v>
      </c>
      <c r="F29" s="487">
        <v>0</v>
      </c>
      <c r="G29" s="493">
        <v>0</v>
      </c>
      <c r="H29" s="487">
        <v>229821.53505401567</v>
      </c>
      <c r="I29" s="159">
        <v>12171.349506172839</v>
      </c>
      <c r="J29" s="490">
        <f>'B) D RI'!U30</f>
        <v>14895.063209876542</v>
      </c>
      <c r="K29" s="68">
        <f t="shared" si="0"/>
        <v>18.882173660156504</v>
      </c>
      <c r="L29" s="35">
        <f>'B) D RI'!S30</f>
        <v>81</v>
      </c>
      <c r="M29" s="35">
        <f t="shared" si="1"/>
        <v>62.117826339843496</v>
      </c>
      <c r="N29" s="35">
        <f>'J) Plafonnement effort'!G28+'J) Plafonnement effort'!H28-'K) Plafonnement aide'!I28</f>
        <v>16.117815402566503</v>
      </c>
      <c r="O29" s="133">
        <f t="shared" si="2"/>
        <v>78.235641742409996</v>
      </c>
      <c r="P29" s="49">
        <f t="shared" si="3"/>
        <v>0</v>
      </c>
      <c r="Q29" s="59">
        <f t="shared" si="4"/>
        <v>0</v>
      </c>
      <c r="R29" s="154">
        <f t="shared" si="5"/>
        <v>78.235641742409996</v>
      </c>
      <c r="S29" s="133">
        <f t="shared" si="6"/>
        <v>-2.7643582575900041</v>
      </c>
      <c r="T29" s="153">
        <f t="shared" si="7"/>
        <v>0</v>
      </c>
      <c r="V29" s="13"/>
    </row>
    <row r="30" spans="1:22" x14ac:dyDescent="0.25">
      <c r="A30" s="51">
        <f>'A) Base RI'!A31</f>
        <v>5430</v>
      </c>
      <c r="B30" s="484" t="str">
        <f>'A) Base RI'!B31</f>
        <v>Marchissy</v>
      </c>
      <c r="C30" s="493">
        <v>202647.17670431596</v>
      </c>
      <c r="D30" s="487">
        <v>-55374.831307351298</v>
      </c>
      <c r="E30" s="493">
        <v>0</v>
      </c>
      <c r="F30" s="487">
        <v>0</v>
      </c>
      <c r="G30" s="493">
        <v>0</v>
      </c>
      <c r="H30" s="487">
        <v>147272.34539696467</v>
      </c>
      <c r="I30" s="159">
        <v>10573.165189873416</v>
      </c>
      <c r="J30" s="490">
        <f>'B) D RI'!U31</f>
        <v>13624.129113924049</v>
      </c>
      <c r="K30" s="68">
        <f t="shared" si="0"/>
        <v>13.928879645048641</v>
      </c>
      <c r="L30" s="35">
        <f>'B) D RI'!S31</f>
        <v>79</v>
      </c>
      <c r="M30" s="35">
        <f t="shared" si="1"/>
        <v>65.071120354951361</v>
      </c>
      <c r="N30" s="35">
        <f>'J) Plafonnement effort'!G29+'J) Plafonnement effort'!H29-'K) Plafonnement aide'!I29</f>
        <v>7.0030412050336341</v>
      </c>
      <c r="O30" s="133">
        <f t="shared" si="2"/>
        <v>72.074161559985001</v>
      </c>
      <c r="P30" s="49">
        <f t="shared" si="3"/>
        <v>0</v>
      </c>
      <c r="Q30" s="59">
        <f t="shared" si="4"/>
        <v>0</v>
      </c>
      <c r="R30" s="154">
        <f t="shared" si="5"/>
        <v>72.074161559985001</v>
      </c>
      <c r="S30" s="133">
        <f t="shared" si="6"/>
        <v>-6.9258384400149993</v>
      </c>
      <c r="T30" s="153">
        <f t="shared" si="7"/>
        <v>0</v>
      </c>
      <c r="V30" s="13"/>
    </row>
    <row r="31" spans="1:22" x14ac:dyDescent="0.25">
      <c r="A31" s="51">
        <f>'A) Base RI'!A32</f>
        <v>5431</v>
      </c>
      <c r="B31" s="484" t="str">
        <f>'A) Base RI'!B32</f>
        <v>Mollens</v>
      </c>
      <c r="C31" s="493">
        <v>189219.73880831711</v>
      </c>
      <c r="D31" s="487">
        <v>139453.5345291952</v>
      </c>
      <c r="E31" s="493">
        <v>0</v>
      </c>
      <c r="F31" s="487">
        <v>0</v>
      </c>
      <c r="G31" s="493">
        <v>0</v>
      </c>
      <c r="H31" s="487">
        <v>328673.27333751228</v>
      </c>
      <c r="I31" s="159">
        <v>11206.031081081082</v>
      </c>
      <c r="J31" s="490">
        <f>'B) D RI'!U32</f>
        <v>8975.9641891891897</v>
      </c>
      <c r="K31" s="68">
        <f t="shared" si="0"/>
        <v>29.330034064639065</v>
      </c>
      <c r="L31" s="35">
        <f>'B) D RI'!S32</f>
        <v>74</v>
      </c>
      <c r="M31" s="35">
        <f t="shared" si="1"/>
        <v>44.669965935360935</v>
      </c>
      <c r="N31" s="35">
        <f>'J) Plafonnement effort'!G30+'J) Plafonnement effort'!H30-'K) Plafonnement aide'!I30</f>
        <v>18.519858691607091</v>
      </c>
      <c r="O31" s="133">
        <f t="shared" si="2"/>
        <v>63.189824626968026</v>
      </c>
      <c r="P31" s="49">
        <f t="shared" si="3"/>
        <v>0</v>
      </c>
      <c r="Q31" s="59">
        <f t="shared" si="4"/>
        <v>0</v>
      </c>
      <c r="R31" s="154">
        <f t="shared" si="5"/>
        <v>63.189824626968026</v>
      </c>
      <c r="S31" s="133">
        <f t="shared" si="6"/>
        <v>-10.810175373031974</v>
      </c>
      <c r="T31" s="153">
        <f t="shared" si="7"/>
        <v>0</v>
      </c>
      <c r="V31" s="13"/>
    </row>
    <row r="32" spans="1:22" x14ac:dyDescent="0.25">
      <c r="A32" s="51">
        <f>'A) Base RI'!A33</f>
        <v>5432</v>
      </c>
      <c r="B32" s="484" t="str">
        <f>'A) Base RI'!B33</f>
        <v>Montherod</v>
      </c>
      <c r="C32" s="493">
        <v>318794.43177137681</v>
      </c>
      <c r="D32" s="487">
        <v>148825.31238780817</v>
      </c>
      <c r="E32" s="493">
        <v>0</v>
      </c>
      <c r="F32" s="487">
        <v>0</v>
      </c>
      <c r="G32" s="493">
        <v>0</v>
      </c>
      <c r="H32" s="487">
        <v>467619.74415918498</v>
      </c>
      <c r="I32" s="159">
        <v>17725.419230769232</v>
      </c>
      <c r="J32" s="490">
        <f>'B) D RI'!U33</f>
        <v>18019.761538461538</v>
      </c>
      <c r="K32" s="68">
        <f t="shared" si="0"/>
        <v>26.381308000177079</v>
      </c>
      <c r="L32" s="35">
        <f>'B) D RI'!S33</f>
        <v>78</v>
      </c>
      <c r="M32" s="35">
        <f t="shared" si="1"/>
        <v>51.618691999822921</v>
      </c>
      <c r="N32" s="35">
        <f>'J) Plafonnement effort'!G31+'J) Plafonnement effort'!H31-'K) Plafonnement aide'!I31</f>
        <v>26.003952560710168</v>
      </c>
      <c r="O32" s="133">
        <f t="shared" si="2"/>
        <v>77.622644560533089</v>
      </c>
      <c r="P32" s="49">
        <f t="shared" si="3"/>
        <v>0</v>
      </c>
      <c r="Q32" s="59">
        <f t="shared" si="4"/>
        <v>0</v>
      </c>
      <c r="R32" s="154">
        <f t="shared" si="5"/>
        <v>77.622644560533089</v>
      </c>
      <c r="S32" s="133">
        <f t="shared" si="6"/>
        <v>-0.37735543946691052</v>
      </c>
      <c r="T32" s="153">
        <f t="shared" si="7"/>
        <v>0</v>
      </c>
      <c r="V32" s="13"/>
    </row>
    <row r="33" spans="1:22" x14ac:dyDescent="0.25">
      <c r="A33" s="51">
        <f>'A) Base RI'!A34</f>
        <v>5434</v>
      </c>
      <c r="B33" s="484" t="str">
        <f>'A) Base RI'!B34</f>
        <v>Saint-George</v>
      </c>
      <c r="C33" s="493">
        <v>630368.1586157016</v>
      </c>
      <c r="D33" s="487">
        <v>422174.43813443056</v>
      </c>
      <c r="E33" s="493">
        <v>0</v>
      </c>
      <c r="F33" s="487">
        <v>0</v>
      </c>
      <c r="G33" s="493">
        <v>0</v>
      </c>
      <c r="H33" s="487">
        <v>1052542.5967501323</v>
      </c>
      <c r="I33" s="159">
        <v>35895.731094890507</v>
      </c>
      <c r="J33" s="490">
        <f>'B) D RI'!U34</f>
        <v>37243.682394366202</v>
      </c>
      <c r="K33" s="68">
        <f t="shared" si="0"/>
        <v>29.322222020432786</v>
      </c>
      <c r="L33" s="35">
        <f>'B) D RI'!S34</f>
        <v>71</v>
      </c>
      <c r="M33" s="35">
        <f t="shared" si="1"/>
        <v>41.67777797956721</v>
      </c>
      <c r="N33" s="35">
        <f>'J) Plafonnement effort'!G32+'J) Plafonnement effort'!H32-'K) Plafonnement aide'!I32</f>
        <v>30.115450273626841</v>
      </c>
      <c r="O33" s="133">
        <f t="shared" si="2"/>
        <v>71.793228253194059</v>
      </c>
      <c r="P33" s="49">
        <f t="shared" si="3"/>
        <v>0</v>
      </c>
      <c r="Q33" s="59">
        <f t="shared" si="4"/>
        <v>0</v>
      </c>
      <c r="R33" s="154">
        <f t="shared" si="5"/>
        <v>71.793228253194059</v>
      </c>
      <c r="S33" s="133">
        <f t="shared" si="6"/>
        <v>0.79322825319405865</v>
      </c>
      <c r="T33" s="153">
        <f t="shared" si="7"/>
        <v>0</v>
      </c>
      <c r="V33" s="13"/>
    </row>
    <row r="34" spans="1:22" x14ac:dyDescent="0.25">
      <c r="A34" s="51">
        <f>'A) Base RI'!A35</f>
        <v>5435</v>
      </c>
      <c r="B34" s="484" t="str">
        <f>'A) Base RI'!B35</f>
        <v>Saint-Livres</v>
      </c>
      <c r="C34" s="493">
        <v>338534.44392400485</v>
      </c>
      <c r="D34" s="487">
        <v>195858.25398668513</v>
      </c>
      <c r="E34" s="493">
        <v>0</v>
      </c>
      <c r="F34" s="487">
        <v>0</v>
      </c>
      <c r="G34" s="493">
        <v>0</v>
      </c>
      <c r="H34" s="487">
        <v>534392.69791068998</v>
      </c>
      <c r="I34" s="159">
        <v>22398.12956521739</v>
      </c>
      <c r="J34" s="490">
        <f>'B) D RI'!U35</f>
        <v>25784.308260869562</v>
      </c>
      <c r="K34" s="68">
        <f t="shared" si="0"/>
        <v>23.85880911862219</v>
      </c>
      <c r="L34" s="35">
        <f>'B) D RI'!S35</f>
        <v>69</v>
      </c>
      <c r="M34" s="35">
        <f t="shared" si="1"/>
        <v>45.14119088137781</v>
      </c>
      <c r="N34" s="35">
        <f>'J) Plafonnement effort'!G33+'J) Plafonnement effort'!H33-'K) Plafonnement aide'!I33</f>
        <v>26.09374148901502</v>
      </c>
      <c r="O34" s="133">
        <f t="shared" si="2"/>
        <v>71.234932370392826</v>
      </c>
      <c r="P34" s="49">
        <f t="shared" si="3"/>
        <v>0</v>
      </c>
      <c r="Q34" s="59">
        <f t="shared" si="4"/>
        <v>0</v>
      </c>
      <c r="R34" s="154">
        <f t="shared" si="5"/>
        <v>71.234932370392826</v>
      </c>
      <c r="S34" s="133">
        <f t="shared" si="6"/>
        <v>2.2349323703928263</v>
      </c>
      <c r="T34" s="153">
        <f t="shared" si="7"/>
        <v>0</v>
      </c>
      <c r="V34" s="13"/>
    </row>
    <row r="35" spans="1:22" x14ac:dyDescent="0.25">
      <c r="A35" s="51">
        <f>'A) Base RI'!A36</f>
        <v>5436</v>
      </c>
      <c r="B35" s="484" t="str">
        <f>'A) Base RI'!B36</f>
        <v>Saint-Oyens</v>
      </c>
      <c r="C35" s="493">
        <v>185866.6092759842</v>
      </c>
      <c r="D35" s="487">
        <v>29870.509188208409</v>
      </c>
      <c r="E35" s="493">
        <v>0</v>
      </c>
      <c r="F35" s="487">
        <v>0</v>
      </c>
      <c r="G35" s="493">
        <v>0</v>
      </c>
      <c r="H35" s="487">
        <v>215737.11846419261</v>
      </c>
      <c r="I35" s="159">
        <v>10474.604814814815</v>
      </c>
      <c r="J35" s="490">
        <f>'B) D RI'!U36</f>
        <v>11330.196234567902</v>
      </c>
      <c r="K35" s="68">
        <f t="shared" si="0"/>
        <v>20.596205993286127</v>
      </c>
      <c r="L35" s="35">
        <f>'B) D RI'!S36</f>
        <v>81</v>
      </c>
      <c r="M35" s="35">
        <f t="shared" si="1"/>
        <v>60.403794006713873</v>
      </c>
      <c r="N35" s="35">
        <f>'J) Plafonnement effort'!G34+'J) Plafonnement effort'!H34-'K) Plafonnement aide'!I34</f>
        <v>15.370878463698507</v>
      </c>
      <c r="O35" s="133">
        <f t="shared" si="2"/>
        <v>75.774672470412384</v>
      </c>
      <c r="P35" s="49">
        <f t="shared" si="3"/>
        <v>0</v>
      </c>
      <c r="Q35" s="59">
        <f t="shared" si="4"/>
        <v>0</v>
      </c>
      <c r="R35" s="154">
        <f t="shared" si="5"/>
        <v>75.774672470412384</v>
      </c>
      <c r="S35" s="133">
        <f t="shared" si="6"/>
        <v>-5.2253275295876165</v>
      </c>
      <c r="T35" s="153">
        <f t="shared" si="7"/>
        <v>0</v>
      </c>
      <c r="V35" s="13"/>
    </row>
    <row r="36" spans="1:22" x14ac:dyDescent="0.25">
      <c r="A36" s="51">
        <f>'A) Base RI'!A37</f>
        <v>5437</v>
      </c>
      <c r="B36" s="484" t="str">
        <f>'A) Base RI'!B37</f>
        <v>Saubraz</v>
      </c>
      <c r="C36" s="493">
        <v>200345.50484690437</v>
      </c>
      <c r="D36" s="487">
        <v>-67612.243400211126</v>
      </c>
      <c r="E36" s="493">
        <v>0</v>
      </c>
      <c r="F36" s="487">
        <v>0</v>
      </c>
      <c r="G36" s="493">
        <v>0</v>
      </c>
      <c r="H36" s="487">
        <v>132733.26144669324</v>
      </c>
      <c r="I36" s="159">
        <v>10138.793125</v>
      </c>
      <c r="J36" s="490">
        <f>'B) D RI'!U37</f>
        <v>9948.7022499999985</v>
      </c>
      <c r="K36" s="68">
        <f t="shared" si="0"/>
        <v>13.091623412199096</v>
      </c>
      <c r="L36" s="35">
        <f>'B) D RI'!S37</f>
        <v>80</v>
      </c>
      <c r="M36" s="35">
        <f t="shared" si="1"/>
        <v>66.908376587800902</v>
      </c>
      <c r="N36" s="35">
        <f>'J) Plafonnement effort'!G35+'J) Plafonnement effort'!H35-'K) Plafonnement aide'!I35</f>
        <v>2.3369739016948516</v>
      </c>
      <c r="O36" s="133">
        <f>M36+N36</f>
        <v>69.245350489495749</v>
      </c>
      <c r="P36" s="49">
        <f t="shared" si="3"/>
        <v>0</v>
      </c>
      <c r="Q36" s="59">
        <f t="shared" si="4"/>
        <v>0</v>
      </c>
      <c r="R36" s="154">
        <f t="shared" si="5"/>
        <v>69.245350489495749</v>
      </c>
      <c r="S36" s="133">
        <f t="shared" si="6"/>
        <v>-10.754649510504251</v>
      </c>
      <c r="T36" s="153">
        <f t="shared" si="7"/>
        <v>0</v>
      </c>
      <c r="V36" s="13"/>
    </row>
    <row r="37" spans="1:22" x14ac:dyDescent="0.25">
      <c r="A37" s="51">
        <f>'A) Base RI'!A38</f>
        <v>5451</v>
      </c>
      <c r="B37" s="484" t="str">
        <f>'A) Base RI'!B38</f>
        <v>Avenches</v>
      </c>
      <c r="C37" s="493">
        <v>2187018.9768558252</v>
      </c>
      <c r="D37" s="487">
        <v>-664937.89502392919</v>
      </c>
      <c r="E37" s="493">
        <v>0</v>
      </c>
      <c r="F37" s="487">
        <v>0</v>
      </c>
      <c r="G37" s="493">
        <v>0</v>
      </c>
      <c r="H37" s="487">
        <v>1522081.081831896</v>
      </c>
      <c r="I37" s="159">
        <v>109207.82382352941</v>
      </c>
      <c r="J37" s="490">
        <f>'B) D RI'!U38</f>
        <v>97584.0206372549</v>
      </c>
      <c r="K37" s="68">
        <f t="shared" si="0"/>
        <v>13.937472870913076</v>
      </c>
      <c r="L37" s="35">
        <f>'B) D RI'!S38</f>
        <v>68</v>
      </c>
      <c r="M37" s="35">
        <f t="shared" si="1"/>
        <v>54.062527129086924</v>
      </c>
      <c r="N37" s="35">
        <f>'J) Plafonnement effort'!G36+'J) Plafonnement effort'!H36-'K) Plafonnement aide'!I36</f>
        <v>-8.907254502678434</v>
      </c>
      <c r="O37" s="133">
        <f t="shared" si="2"/>
        <v>45.15527262640849</v>
      </c>
      <c r="P37" s="49">
        <f t="shared" si="3"/>
        <v>0</v>
      </c>
      <c r="Q37" s="59">
        <f t="shared" si="4"/>
        <v>0</v>
      </c>
      <c r="R37" s="154">
        <f t="shared" si="5"/>
        <v>45.15527262640849</v>
      </c>
      <c r="S37" s="133">
        <f t="shared" si="6"/>
        <v>-22.84472737359151</v>
      </c>
      <c r="T37" s="153">
        <f t="shared" si="7"/>
        <v>0</v>
      </c>
      <c r="V37" s="13"/>
    </row>
    <row r="38" spans="1:22" x14ac:dyDescent="0.25">
      <c r="A38" s="51">
        <f>'A) Base RI'!A39</f>
        <v>5456</v>
      </c>
      <c r="B38" s="484" t="str">
        <f>'A) Base RI'!B39</f>
        <v>Cudrefin</v>
      </c>
      <c r="C38" s="493">
        <v>840207.56612322386</v>
      </c>
      <c r="D38" s="487">
        <v>424149.91072163975</v>
      </c>
      <c r="E38" s="493">
        <v>0</v>
      </c>
      <c r="F38" s="487">
        <v>0</v>
      </c>
      <c r="G38" s="493">
        <v>0</v>
      </c>
      <c r="H38" s="487">
        <v>1264357.4768448635</v>
      </c>
      <c r="I38" s="159">
        <v>51373.818644067804</v>
      </c>
      <c r="J38" s="490">
        <f>'B) D RI'!U39</f>
        <v>55901.49875706216</v>
      </c>
      <c r="K38" s="68">
        <f t="shared" si="0"/>
        <v>24.610930435299856</v>
      </c>
      <c r="L38" s="35">
        <f>'B) D RI'!S39</f>
        <v>59</v>
      </c>
      <c r="M38" s="35">
        <f t="shared" si="1"/>
        <v>34.389069564700144</v>
      </c>
      <c r="N38" s="35">
        <f>'J) Plafonnement effort'!G37+'J) Plafonnement effort'!H37-'K) Plafonnement aide'!I37</f>
        <v>22.505607791791004</v>
      </c>
      <c r="O38" s="133">
        <f t="shared" si="2"/>
        <v>56.894677356491144</v>
      </c>
      <c r="P38" s="49">
        <f t="shared" si="3"/>
        <v>0</v>
      </c>
      <c r="Q38" s="59">
        <f t="shared" si="4"/>
        <v>0</v>
      </c>
      <c r="R38" s="154">
        <f t="shared" si="5"/>
        <v>56.894677356491144</v>
      </c>
      <c r="S38" s="133">
        <f t="shared" si="6"/>
        <v>-2.1053226435088561</v>
      </c>
      <c r="T38" s="153">
        <f t="shared" si="7"/>
        <v>0</v>
      </c>
      <c r="V38" s="13"/>
    </row>
    <row r="39" spans="1:22" x14ac:dyDescent="0.25">
      <c r="A39" s="51">
        <f>'A) Base RI'!A40</f>
        <v>5458</v>
      </c>
      <c r="B39" s="484" t="str">
        <f>'A) Base RI'!B40</f>
        <v>Faoug</v>
      </c>
      <c r="C39" s="493">
        <v>538626.43139395991</v>
      </c>
      <c r="D39" s="487">
        <v>393209.06719448941</v>
      </c>
      <c r="E39" s="493">
        <v>0</v>
      </c>
      <c r="F39" s="487">
        <v>0</v>
      </c>
      <c r="G39" s="493">
        <v>0</v>
      </c>
      <c r="H39" s="487">
        <v>931835.49858844932</v>
      </c>
      <c r="I39" s="159">
        <v>31692.092968750003</v>
      </c>
      <c r="J39" s="490">
        <f>'B) D RI'!U40</f>
        <v>34800.236562500002</v>
      </c>
      <c r="K39" s="68">
        <f t="shared" si="0"/>
        <v>29.402775623158938</v>
      </c>
      <c r="L39" s="35">
        <f>'B) D RI'!S40</f>
        <v>64</v>
      </c>
      <c r="M39" s="35">
        <f t="shared" si="1"/>
        <v>34.597224376841062</v>
      </c>
      <c r="N39" s="35">
        <f>'J) Plafonnement effort'!G38+'J) Plafonnement effort'!H38-'K) Plafonnement aide'!I38</f>
        <v>29.854366882273201</v>
      </c>
      <c r="O39" s="133">
        <f t="shared" si="2"/>
        <v>64.451591259114267</v>
      </c>
      <c r="P39" s="49">
        <f t="shared" si="3"/>
        <v>0</v>
      </c>
      <c r="Q39" s="59">
        <f t="shared" si="4"/>
        <v>0</v>
      </c>
      <c r="R39" s="154">
        <f t="shared" si="5"/>
        <v>64.451591259114267</v>
      </c>
      <c r="S39" s="133">
        <f t="shared" si="6"/>
        <v>0.45159125911426656</v>
      </c>
      <c r="T39" s="153">
        <f t="shared" si="7"/>
        <v>0</v>
      </c>
      <c r="V39" s="13"/>
    </row>
    <row r="40" spans="1:22" x14ac:dyDescent="0.25">
      <c r="A40" s="51">
        <f>'A) Base RI'!A41</f>
        <v>5464</v>
      </c>
      <c r="B40" s="484" t="str">
        <f>'A) Base RI'!B41</f>
        <v>Vully-les-Lacs</v>
      </c>
      <c r="C40" s="493">
        <v>1944069.0422891583</v>
      </c>
      <c r="D40" s="487">
        <v>427157.79620918771</v>
      </c>
      <c r="E40" s="493">
        <v>0</v>
      </c>
      <c r="F40" s="487">
        <v>0</v>
      </c>
      <c r="G40" s="493">
        <v>0</v>
      </c>
      <c r="H40" s="487">
        <v>2371226.838498346</v>
      </c>
      <c r="I40" s="159">
        <v>96310.385124378095</v>
      </c>
      <c r="J40" s="490">
        <f>'B) D RI'!U41</f>
        <v>98954.06119402984</v>
      </c>
      <c r="K40" s="68">
        <f t="shared" si="0"/>
        <v>24.62067652866379</v>
      </c>
      <c r="L40" s="35">
        <f>'B) D RI'!S41</f>
        <v>67</v>
      </c>
      <c r="M40" s="35">
        <f t="shared" si="1"/>
        <v>42.379323471336207</v>
      </c>
      <c r="N40" s="35">
        <f>'J) Plafonnement effort'!G39+'J) Plafonnement effort'!H39-'K) Plafonnement aide'!I39</f>
        <v>16.488554314201082</v>
      </c>
      <c r="O40" s="133">
        <f t="shared" si="2"/>
        <v>58.867877785537289</v>
      </c>
      <c r="P40" s="49">
        <f t="shared" si="3"/>
        <v>0</v>
      </c>
      <c r="Q40" s="59">
        <f t="shared" si="4"/>
        <v>0</v>
      </c>
      <c r="R40" s="154">
        <f t="shared" si="5"/>
        <v>58.867877785537289</v>
      </c>
      <c r="S40" s="133">
        <f t="shared" si="6"/>
        <v>-8.1321222144627114</v>
      </c>
      <c r="T40" s="153">
        <f t="shared" si="7"/>
        <v>0</v>
      </c>
      <c r="V40" s="13"/>
    </row>
    <row r="41" spans="1:22" x14ac:dyDescent="0.25">
      <c r="A41" s="51">
        <f>'A) Base RI'!A42</f>
        <v>5471</v>
      </c>
      <c r="B41" s="484" t="str">
        <f>'A) Base RI'!B42</f>
        <v>Bettens</v>
      </c>
      <c r="C41" s="493">
        <v>269060.82190243527</v>
      </c>
      <c r="D41" s="487">
        <v>65534.496227548283</v>
      </c>
      <c r="E41" s="493">
        <v>0</v>
      </c>
      <c r="F41" s="487">
        <v>0</v>
      </c>
      <c r="G41" s="493">
        <v>0</v>
      </c>
      <c r="H41" s="487">
        <v>334595.31812998356</v>
      </c>
      <c r="I41" s="159">
        <v>16449.086587301586</v>
      </c>
      <c r="J41" s="490">
        <f>'B) D RI'!U42</f>
        <v>19215.411857142855</v>
      </c>
      <c r="K41" s="68">
        <f t="shared" si="0"/>
        <v>20.341270401499706</v>
      </c>
      <c r="L41" s="35">
        <f>'B) D RI'!S42</f>
        <v>70</v>
      </c>
      <c r="M41" s="35">
        <f t="shared" si="1"/>
        <v>49.658729598500294</v>
      </c>
      <c r="N41" s="35">
        <f>'J) Plafonnement effort'!G40+'J) Plafonnement effort'!H40-'K) Plafonnement aide'!I40</f>
        <v>29.562189037778694</v>
      </c>
      <c r="O41" s="133">
        <f t="shared" si="2"/>
        <v>79.220918636278981</v>
      </c>
      <c r="P41" s="49">
        <f t="shared" si="3"/>
        <v>0</v>
      </c>
      <c r="Q41" s="59">
        <f t="shared" si="4"/>
        <v>0</v>
      </c>
      <c r="R41" s="154">
        <f t="shared" si="5"/>
        <v>79.220918636278981</v>
      </c>
      <c r="S41" s="133">
        <f t="shared" si="6"/>
        <v>9.2209186362789808</v>
      </c>
      <c r="T41" s="153">
        <f t="shared" si="7"/>
        <v>0</v>
      </c>
      <c r="V41" s="13"/>
    </row>
    <row r="42" spans="1:22" x14ac:dyDescent="0.25">
      <c r="A42" s="51">
        <f>'A) Base RI'!A43</f>
        <v>5472</v>
      </c>
      <c r="B42" s="484" t="str">
        <f>'A) Base RI'!B43</f>
        <v>Bournens</v>
      </c>
      <c r="C42" s="493">
        <v>263351.50104667601</v>
      </c>
      <c r="D42" s="487">
        <v>172598.54926765017</v>
      </c>
      <c r="E42" s="493">
        <v>0</v>
      </c>
      <c r="F42" s="487">
        <v>0</v>
      </c>
      <c r="G42" s="493">
        <v>0</v>
      </c>
      <c r="H42" s="487">
        <v>435950.05031432619</v>
      </c>
      <c r="I42" s="159">
        <v>14191.801124999998</v>
      </c>
      <c r="J42" s="490">
        <f>'B) D RI'!U43</f>
        <v>15134.969000000003</v>
      </c>
      <c r="K42" s="68">
        <f t="shared" si="0"/>
        <v>30.718444154799009</v>
      </c>
      <c r="L42" s="35">
        <f>'B) D RI'!S43</f>
        <v>80</v>
      </c>
      <c r="M42" s="35">
        <f t="shared" si="1"/>
        <v>49.281555845200991</v>
      </c>
      <c r="N42" s="35">
        <f>'J) Plafonnement effort'!G41+'J) Plafonnement effort'!H41-'K) Plafonnement aide'!I41</f>
        <v>24.021292572074525</v>
      </c>
      <c r="O42" s="133">
        <f t="shared" si="2"/>
        <v>73.302848417275513</v>
      </c>
      <c r="P42" s="49">
        <f t="shared" si="3"/>
        <v>0</v>
      </c>
      <c r="Q42" s="59">
        <f t="shared" si="4"/>
        <v>0</v>
      </c>
      <c r="R42" s="154">
        <f t="shared" si="5"/>
        <v>73.302848417275513</v>
      </c>
      <c r="S42" s="133">
        <f t="shared" si="6"/>
        <v>-6.6971515827244872</v>
      </c>
      <c r="T42" s="153">
        <f t="shared" si="7"/>
        <v>0</v>
      </c>
      <c r="V42" s="13"/>
    </row>
    <row r="43" spans="1:22" x14ac:dyDescent="0.25">
      <c r="A43" s="51">
        <f>'A) Base RI'!A44</f>
        <v>5473</v>
      </c>
      <c r="B43" s="484" t="str">
        <f>'A) Base RI'!B44</f>
        <v>Boussens</v>
      </c>
      <c r="C43" s="493">
        <v>537295.81938209338</v>
      </c>
      <c r="D43" s="487">
        <v>312371.48142519197</v>
      </c>
      <c r="E43" s="493">
        <v>0</v>
      </c>
      <c r="F43" s="487">
        <v>0</v>
      </c>
      <c r="G43" s="493">
        <v>0</v>
      </c>
      <c r="H43" s="487">
        <v>849667.30080728536</v>
      </c>
      <c r="I43" s="159">
        <v>32757.052898550723</v>
      </c>
      <c r="J43" s="490">
        <f>'B) D RI'!U44</f>
        <v>33278.780724637691</v>
      </c>
      <c r="K43" s="68">
        <f t="shared" si="0"/>
        <v>25.938453725941791</v>
      </c>
      <c r="L43" s="35">
        <f>'B) D RI'!S44</f>
        <v>69</v>
      </c>
      <c r="M43" s="35">
        <f t="shared" si="1"/>
        <v>43.061546274058209</v>
      </c>
      <c r="N43" s="35">
        <f>'J) Plafonnement effort'!G42+'J) Plafonnement effort'!H42-'K) Plafonnement aide'!I42</f>
        <v>25.913918154549705</v>
      </c>
      <c r="O43" s="133">
        <f t="shared" si="2"/>
        <v>68.975464428607921</v>
      </c>
      <c r="P43" s="49">
        <f t="shared" si="3"/>
        <v>0</v>
      </c>
      <c r="Q43" s="59">
        <f t="shared" si="4"/>
        <v>0</v>
      </c>
      <c r="R43" s="154">
        <f t="shared" si="5"/>
        <v>68.975464428607921</v>
      </c>
      <c r="S43" s="133">
        <f t="shared" si="6"/>
        <v>-2.4535571392078737E-2</v>
      </c>
      <c r="T43" s="153">
        <f t="shared" si="7"/>
        <v>0</v>
      </c>
      <c r="V43" s="13"/>
    </row>
    <row r="44" spans="1:22" x14ac:dyDescent="0.25">
      <c r="A44" s="51">
        <f>'A) Base RI'!A45</f>
        <v>5474</v>
      </c>
      <c r="B44" s="484" t="str">
        <f>'A) Base RI'!B45</f>
        <v>La Chaux (Cossonay)</v>
      </c>
      <c r="C44" s="493">
        <v>240669.13068747448</v>
      </c>
      <c r="D44" s="487">
        <v>64745.319268580177</v>
      </c>
      <c r="E44" s="493">
        <v>0</v>
      </c>
      <c r="F44" s="487">
        <v>0</v>
      </c>
      <c r="G44" s="493">
        <v>0</v>
      </c>
      <c r="H44" s="487">
        <v>305414.44995605468</v>
      </c>
      <c r="I44" s="159">
        <v>12924.858852813852</v>
      </c>
      <c r="J44" s="490">
        <f>'B) D RI'!U45</f>
        <v>13413.30380952381</v>
      </c>
      <c r="K44" s="68">
        <f t="shared" si="0"/>
        <v>23.630002728390597</v>
      </c>
      <c r="L44" s="35">
        <f>'B) D RI'!S45</f>
        <v>77</v>
      </c>
      <c r="M44" s="35">
        <f t="shared" si="1"/>
        <v>53.369997271609407</v>
      </c>
      <c r="N44" s="35">
        <f>'J) Plafonnement effort'!G43+'J) Plafonnement effort'!H43-'K) Plafonnement aide'!I43</f>
        <v>21.57111921227278</v>
      </c>
      <c r="O44" s="133">
        <f t="shared" si="2"/>
        <v>74.941116483882183</v>
      </c>
      <c r="P44" s="49">
        <f t="shared" si="3"/>
        <v>0</v>
      </c>
      <c r="Q44" s="59">
        <f t="shared" si="4"/>
        <v>0</v>
      </c>
      <c r="R44" s="154">
        <f t="shared" si="5"/>
        <v>74.941116483882183</v>
      </c>
      <c r="S44" s="133">
        <f t="shared" si="6"/>
        <v>-2.0588835161178167</v>
      </c>
      <c r="T44" s="153">
        <f t="shared" si="7"/>
        <v>0</v>
      </c>
      <c r="V44" s="13"/>
    </row>
    <row r="45" spans="1:22" x14ac:dyDescent="0.25">
      <c r="A45" s="51">
        <f>'A) Base RI'!A46</f>
        <v>5475</v>
      </c>
      <c r="B45" s="484" t="str">
        <f>'A) Base RI'!B46</f>
        <v>Chavannes-le-Veyron</v>
      </c>
      <c r="C45" s="493">
        <v>73241.627702732832</v>
      </c>
      <c r="D45" s="487">
        <v>-50574.754008562915</v>
      </c>
      <c r="E45" s="493">
        <v>0</v>
      </c>
      <c r="F45" s="487">
        <v>0</v>
      </c>
      <c r="G45" s="493">
        <v>0</v>
      </c>
      <c r="H45" s="487">
        <v>22666.873694169917</v>
      </c>
      <c r="I45" s="159">
        <v>2672.7945454545452</v>
      </c>
      <c r="J45" s="490">
        <f>'B) D RI'!U46</f>
        <v>3783.0914285714284</v>
      </c>
      <c r="K45" s="68">
        <f t="shared" si="0"/>
        <v>8.4805896258348969</v>
      </c>
      <c r="L45" s="35">
        <f>'B) D RI'!S46</f>
        <v>77</v>
      </c>
      <c r="M45" s="35">
        <f t="shared" si="1"/>
        <v>68.519410374165105</v>
      </c>
      <c r="N45" s="35">
        <f>'J) Plafonnement effort'!G44+'J) Plafonnement effort'!H44-'K) Plafonnement aide'!I44</f>
        <v>3.9880633246778192</v>
      </c>
      <c r="O45" s="133">
        <f t="shared" si="2"/>
        <v>72.507473698842929</v>
      </c>
      <c r="P45" s="49">
        <f t="shared" si="3"/>
        <v>0</v>
      </c>
      <c r="Q45" s="59">
        <f t="shared" si="4"/>
        <v>0</v>
      </c>
      <c r="R45" s="154">
        <f t="shared" si="5"/>
        <v>72.507473698842929</v>
      </c>
      <c r="S45" s="133">
        <f t="shared" si="6"/>
        <v>-4.4925263011570706</v>
      </c>
      <c r="T45" s="153">
        <f t="shared" si="7"/>
        <v>0</v>
      </c>
      <c r="V45" s="13"/>
    </row>
    <row r="46" spans="1:22" x14ac:dyDescent="0.25">
      <c r="A46" s="51">
        <f>'A) Base RI'!A47</f>
        <v>5476</v>
      </c>
      <c r="B46" s="484" t="str">
        <f>'A) Base RI'!B47</f>
        <v>Chevilly</v>
      </c>
      <c r="C46" s="493">
        <v>176985.90068982943</v>
      </c>
      <c r="D46" s="487">
        <v>96450.201977846154</v>
      </c>
      <c r="E46" s="493">
        <v>0</v>
      </c>
      <c r="F46" s="487">
        <v>0</v>
      </c>
      <c r="G46" s="493">
        <v>0</v>
      </c>
      <c r="H46" s="487">
        <v>273436.10266767559</v>
      </c>
      <c r="I46" s="159">
        <v>10247.952162162162</v>
      </c>
      <c r="J46" s="490">
        <f>'B) D RI'!U47</f>
        <v>10089.483198198201</v>
      </c>
      <c r="K46" s="68">
        <f t="shared" si="0"/>
        <v>26.682023719554984</v>
      </c>
      <c r="L46" s="35">
        <f>'B) D RI'!S47</f>
        <v>74</v>
      </c>
      <c r="M46" s="35">
        <f t="shared" si="1"/>
        <v>47.317976280445016</v>
      </c>
      <c r="N46" s="35">
        <f>'J) Plafonnement effort'!G45+'J) Plafonnement effort'!H45-'K) Plafonnement aide'!I45</f>
        <v>20.583412675077074</v>
      </c>
      <c r="O46" s="133">
        <f t="shared" si="2"/>
        <v>67.901388955522094</v>
      </c>
      <c r="P46" s="49">
        <f t="shared" si="3"/>
        <v>0</v>
      </c>
      <c r="Q46" s="59">
        <f t="shared" si="4"/>
        <v>0</v>
      </c>
      <c r="R46" s="154">
        <f t="shared" si="5"/>
        <v>67.901388955522094</v>
      </c>
      <c r="S46" s="133">
        <f t="shared" si="6"/>
        <v>-6.0986110444779058</v>
      </c>
      <c r="T46" s="153">
        <f t="shared" si="7"/>
        <v>0</v>
      </c>
      <c r="V46" s="13"/>
    </row>
    <row r="47" spans="1:22" x14ac:dyDescent="0.25">
      <c r="A47" s="51">
        <f>'A) Base RI'!A48</f>
        <v>5477</v>
      </c>
      <c r="B47" s="484" t="str">
        <f>'A) Base RI'!B48</f>
        <v>Cossonay</v>
      </c>
      <c r="C47" s="493">
        <v>2177004.2355464855</v>
      </c>
      <c r="D47" s="487">
        <v>580288.69996153354</v>
      </c>
      <c r="E47" s="493">
        <v>0</v>
      </c>
      <c r="F47" s="487">
        <v>0</v>
      </c>
      <c r="G47" s="493">
        <v>0</v>
      </c>
      <c r="H47" s="487">
        <v>2757292.9355080193</v>
      </c>
      <c r="I47" s="159">
        <v>125937.08528138528</v>
      </c>
      <c r="J47" s="490">
        <f>'B) D RI'!U48</f>
        <v>126013.2271830986</v>
      </c>
      <c r="K47" s="68">
        <f t="shared" si="0"/>
        <v>21.894209551914837</v>
      </c>
      <c r="L47" s="35">
        <f>'B) D RI'!S48</f>
        <v>71</v>
      </c>
      <c r="M47" s="35">
        <f t="shared" si="1"/>
        <v>49.105790448085159</v>
      </c>
      <c r="N47" s="35">
        <f>'J) Plafonnement effort'!G46+'J) Plafonnement effort'!H46-'K) Plafonnement aide'!I46</f>
        <v>17.442466542790168</v>
      </c>
      <c r="O47" s="133">
        <f t="shared" si="2"/>
        <v>66.548256990875331</v>
      </c>
      <c r="P47" s="49">
        <f t="shared" si="3"/>
        <v>0</v>
      </c>
      <c r="Q47" s="59">
        <f t="shared" si="4"/>
        <v>0</v>
      </c>
      <c r="R47" s="154">
        <f t="shared" si="5"/>
        <v>66.548256990875331</v>
      </c>
      <c r="S47" s="133">
        <f t="shared" si="6"/>
        <v>-4.4517430091246695</v>
      </c>
      <c r="T47" s="153">
        <f t="shared" si="7"/>
        <v>0</v>
      </c>
      <c r="V47" s="13"/>
    </row>
    <row r="48" spans="1:22" x14ac:dyDescent="0.25">
      <c r="A48" s="51">
        <f>'A) Base RI'!A49</f>
        <v>5478</v>
      </c>
      <c r="B48" s="484" t="str">
        <f>'A) Base RI'!B49</f>
        <v>Cottens</v>
      </c>
      <c r="C48" s="493">
        <v>222215.44271766313</v>
      </c>
      <c r="D48" s="487">
        <v>71313.263145698234</v>
      </c>
      <c r="E48" s="493">
        <v>0</v>
      </c>
      <c r="F48" s="487">
        <v>0</v>
      </c>
      <c r="G48" s="493">
        <v>0</v>
      </c>
      <c r="H48" s="487">
        <v>293528.70586336136</v>
      </c>
      <c r="I48" s="159">
        <v>14465.317702702703</v>
      </c>
      <c r="J48" s="490">
        <f>'B) D RI'!U49</f>
        <v>17030.362972972973</v>
      </c>
      <c r="K48" s="68">
        <f t="shared" si="0"/>
        <v>20.291894854719878</v>
      </c>
      <c r="L48" s="35">
        <f>'B) D RI'!S49</f>
        <v>74</v>
      </c>
      <c r="M48" s="35">
        <f t="shared" si="1"/>
        <v>53.708105145280122</v>
      </c>
      <c r="N48" s="35">
        <f>'J) Plafonnement effort'!G47+'J) Plafonnement effort'!H47-'K) Plafonnement aide'!I47</f>
        <v>25.919116284497242</v>
      </c>
      <c r="O48" s="133">
        <f t="shared" si="2"/>
        <v>79.627221429777364</v>
      </c>
      <c r="P48" s="49">
        <f t="shared" si="3"/>
        <v>0</v>
      </c>
      <c r="Q48" s="59">
        <f t="shared" si="4"/>
        <v>0</v>
      </c>
      <c r="R48" s="154">
        <f t="shared" si="5"/>
        <v>79.627221429777364</v>
      </c>
      <c r="S48" s="133">
        <f t="shared" si="6"/>
        <v>5.6272214297773644</v>
      </c>
      <c r="T48" s="153">
        <f t="shared" si="7"/>
        <v>0</v>
      </c>
      <c r="V48" s="13"/>
    </row>
    <row r="49" spans="1:22" x14ac:dyDescent="0.25">
      <c r="A49" s="51">
        <f>'A) Base RI'!A50</f>
        <v>5479</v>
      </c>
      <c r="B49" s="484" t="str">
        <f>'A) Base RI'!B50</f>
        <v>Cuarnens</v>
      </c>
      <c r="C49" s="493">
        <v>220453.51297341031</v>
      </c>
      <c r="D49" s="487">
        <v>-61414.237690181209</v>
      </c>
      <c r="E49" s="493">
        <v>0</v>
      </c>
      <c r="F49" s="487">
        <v>0</v>
      </c>
      <c r="G49" s="493">
        <v>0</v>
      </c>
      <c r="H49" s="487">
        <v>159039.2752832291</v>
      </c>
      <c r="I49" s="159">
        <v>11562.819350649352</v>
      </c>
      <c r="J49" s="490">
        <f>'B) D RI'!U50</f>
        <v>19628.392987012987</v>
      </c>
      <c r="K49" s="68">
        <f t="shared" si="0"/>
        <v>13.754368243615055</v>
      </c>
      <c r="L49" s="35">
        <f>'B) D RI'!S50</f>
        <v>77</v>
      </c>
      <c r="M49" s="35">
        <f t="shared" si="1"/>
        <v>63.245631756384945</v>
      </c>
      <c r="N49" s="35">
        <f>'J) Plafonnement effort'!G48+'J) Plafonnement effort'!H48-'K) Plafonnement aide'!I48</f>
        <v>26.711572208948446</v>
      </c>
      <c r="O49" s="133">
        <f t="shared" si="2"/>
        <v>89.957203965333392</v>
      </c>
      <c r="P49" s="49">
        <f t="shared" si="3"/>
        <v>0</v>
      </c>
      <c r="Q49" s="59">
        <f t="shared" si="4"/>
        <v>0</v>
      </c>
      <c r="R49" s="154">
        <f t="shared" si="5"/>
        <v>89.957203965333392</v>
      </c>
      <c r="S49" s="133">
        <f t="shared" si="6"/>
        <v>12.957203965333392</v>
      </c>
      <c r="T49" s="153">
        <f t="shared" si="7"/>
        <v>0</v>
      </c>
      <c r="V49" s="13"/>
    </row>
    <row r="50" spans="1:22" x14ac:dyDescent="0.25">
      <c r="A50" s="51">
        <f>'A) Base RI'!A51</f>
        <v>5480</v>
      </c>
      <c r="B50" s="484" t="str">
        <f>'A) Base RI'!B51</f>
        <v>Daillens</v>
      </c>
      <c r="C50" s="493">
        <v>607638.33391275525</v>
      </c>
      <c r="D50" s="487">
        <v>403474.10105978709</v>
      </c>
      <c r="E50" s="493">
        <v>0</v>
      </c>
      <c r="F50" s="487">
        <v>0</v>
      </c>
      <c r="G50" s="493">
        <v>0</v>
      </c>
      <c r="H50" s="487">
        <v>1011112.4349725423</v>
      </c>
      <c r="I50" s="159">
        <v>34852.093380281687</v>
      </c>
      <c r="J50" s="490">
        <f>'B) D RI'!U51</f>
        <v>41809.315211267603</v>
      </c>
      <c r="K50" s="68">
        <f t="shared" si="0"/>
        <v>29.011526623092337</v>
      </c>
      <c r="L50" s="35">
        <f>'B) D RI'!S51</f>
        <v>71</v>
      </c>
      <c r="M50" s="35">
        <f t="shared" si="1"/>
        <v>41.988473376907663</v>
      </c>
      <c r="N50" s="35">
        <f>'J) Plafonnement effort'!G49+'J) Plafonnement effort'!H49-'K) Plafonnement aide'!I49</f>
        <v>28.670586699098372</v>
      </c>
      <c r="O50" s="133">
        <f t="shared" si="2"/>
        <v>70.659060076006028</v>
      </c>
      <c r="P50" s="49">
        <f t="shared" si="3"/>
        <v>0</v>
      </c>
      <c r="Q50" s="59">
        <f t="shared" si="4"/>
        <v>0</v>
      </c>
      <c r="R50" s="154">
        <f t="shared" si="5"/>
        <v>70.659060076006028</v>
      </c>
      <c r="S50" s="133">
        <f t="shared" si="6"/>
        <v>-0.34093992399397166</v>
      </c>
      <c r="T50" s="153">
        <f t="shared" si="7"/>
        <v>0</v>
      </c>
      <c r="V50" s="13"/>
    </row>
    <row r="51" spans="1:22" x14ac:dyDescent="0.25">
      <c r="A51" s="51">
        <f>'A) Base RI'!A52</f>
        <v>5481</v>
      </c>
      <c r="B51" s="484" t="str">
        <f>'A) Base RI'!B52</f>
        <v>Dizy</v>
      </c>
      <c r="C51" s="493">
        <v>142370.52097895098</v>
      </c>
      <c r="D51" s="487">
        <v>121124.34412988572</v>
      </c>
      <c r="E51" s="493">
        <v>0</v>
      </c>
      <c r="F51" s="487">
        <v>0</v>
      </c>
      <c r="G51" s="493">
        <v>0</v>
      </c>
      <c r="H51" s="487">
        <v>263494.86510883668</v>
      </c>
      <c r="I51" s="159">
        <v>8900.2526582278479</v>
      </c>
      <c r="J51" s="490">
        <f>'B) D RI'!U52</f>
        <v>8477.634430379745</v>
      </c>
      <c r="K51" s="68">
        <f t="shared" si="0"/>
        <v>29.605324166303141</v>
      </c>
      <c r="L51" s="35">
        <f>'B) D RI'!S52</f>
        <v>79</v>
      </c>
      <c r="M51" s="35">
        <f t="shared" si="1"/>
        <v>49.394675833696859</v>
      </c>
      <c r="N51" s="35">
        <f>'J) Plafonnement effort'!G50+'J) Plafonnement effort'!H50-'K) Plafonnement aide'!I50</f>
        <v>25.878196540507773</v>
      </c>
      <c r="O51" s="133">
        <f t="shared" si="2"/>
        <v>75.272872374204638</v>
      </c>
      <c r="P51" s="49">
        <f t="shared" si="3"/>
        <v>0</v>
      </c>
      <c r="Q51" s="59">
        <f t="shared" si="4"/>
        <v>0</v>
      </c>
      <c r="R51" s="154">
        <f t="shared" si="5"/>
        <v>75.272872374204638</v>
      </c>
      <c r="S51" s="133">
        <f t="shared" si="6"/>
        <v>-3.7271276257953616</v>
      </c>
      <c r="T51" s="153">
        <f t="shared" si="7"/>
        <v>0</v>
      </c>
      <c r="V51" s="13"/>
    </row>
    <row r="52" spans="1:22" x14ac:dyDescent="0.25">
      <c r="A52" s="51">
        <f>'A) Base RI'!A53</f>
        <v>5482</v>
      </c>
      <c r="B52" s="484" t="str">
        <f>'A) Base RI'!B53</f>
        <v>Eclépens</v>
      </c>
      <c r="C52" s="493">
        <v>586004.54927445936</v>
      </c>
      <c r="D52" s="487">
        <v>221447.97684145957</v>
      </c>
      <c r="E52" s="493">
        <v>0</v>
      </c>
      <c r="F52" s="487">
        <v>0</v>
      </c>
      <c r="G52" s="493">
        <v>0</v>
      </c>
      <c r="H52" s="487">
        <v>807452.526115919</v>
      </c>
      <c r="I52" s="159">
        <v>26792.007391304349</v>
      </c>
      <c r="J52" s="490">
        <f>'B) D RI'!U53</f>
        <v>50368.719782608692</v>
      </c>
      <c r="K52" s="68">
        <f t="shared" si="0"/>
        <v>30.13781365176791</v>
      </c>
      <c r="L52" s="35">
        <f>'B) D RI'!S53</f>
        <v>46</v>
      </c>
      <c r="M52" s="35">
        <f t="shared" si="1"/>
        <v>15.86218634823209</v>
      </c>
      <c r="N52" s="35">
        <f>'J) Plafonnement effort'!G51+'J) Plafonnement effort'!H51-'K) Plafonnement aide'!I51</f>
        <v>34.519248703691119</v>
      </c>
      <c r="O52" s="133">
        <f t="shared" si="2"/>
        <v>50.381435051923205</v>
      </c>
      <c r="P52" s="49">
        <f t="shared" si="3"/>
        <v>0</v>
      </c>
      <c r="Q52" s="59">
        <f t="shared" si="4"/>
        <v>0</v>
      </c>
      <c r="R52" s="154">
        <f t="shared" si="5"/>
        <v>50.381435051923205</v>
      </c>
      <c r="S52" s="133">
        <f t="shared" si="6"/>
        <v>4.381435051923205</v>
      </c>
      <c r="T52" s="153">
        <f t="shared" si="7"/>
        <v>0</v>
      </c>
      <c r="V52" s="13"/>
    </row>
    <row r="53" spans="1:22" x14ac:dyDescent="0.25">
      <c r="A53" s="51">
        <f>'A) Base RI'!A54</f>
        <v>5483</v>
      </c>
      <c r="B53" s="484" t="str">
        <f>'A) Base RI'!B54</f>
        <v>Ferreyres</v>
      </c>
      <c r="C53" s="493">
        <v>148195.59035694387</v>
      </c>
      <c r="D53" s="487">
        <v>54206.278103172328</v>
      </c>
      <c r="E53" s="493">
        <v>0</v>
      </c>
      <c r="F53" s="487">
        <v>0</v>
      </c>
      <c r="G53" s="493">
        <v>0</v>
      </c>
      <c r="H53" s="487">
        <v>202401.86846011621</v>
      </c>
      <c r="I53" s="159">
        <v>9773.8555263157887</v>
      </c>
      <c r="J53" s="490">
        <f>'B) D RI'!U54</f>
        <v>12305.209605263159</v>
      </c>
      <c r="K53" s="68">
        <f t="shared" si="0"/>
        <v>20.708498086057826</v>
      </c>
      <c r="L53" s="35">
        <f>'B) D RI'!S54</f>
        <v>76</v>
      </c>
      <c r="M53" s="35">
        <f t="shared" si="1"/>
        <v>55.29150191394217</v>
      </c>
      <c r="N53" s="35">
        <f>'J) Plafonnement effort'!G52+'J) Plafonnement effort'!H52-'K) Plafonnement aide'!I52</f>
        <v>27.474206481230322</v>
      </c>
      <c r="O53" s="133">
        <f t="shared" si="2"/>
        <v>82.765708395172496</v>
      </c>
      <c r="P53" s="49">
        <f t="shared" si="3"/>
        <v>0</v>
      </c>
      <c r="Q53" s="59">
        <f t="shared" si="4"/>
        <v>0</v>
      </c>
      <c r="R53" s="154">
        <f t="shared" si="5"/>
        <v>82.765708395172496</v>
      </c>
      <c r="S53" s="133">
        <f t="shared" si="6"/>
        <v>6.7657083951724957</v>
      </c>
      <c r="T53" s="153">
        <f t="shared" si="7"/>
        <v>0</v>
      </c>
      <c r="V53" s="13"/>
    </row>
    <row r="54" spans="1:22" x14ac:dyDescent="0.25">
      <c r="A54" s="51">
        <f>'A) Base RI'!A55</f>
        <v>5484</v>
      </c>
      <c r="B54" s="484" t="str">
        <f>'A) Base RI'!B55</f>
        <v>Gollion</v>
      </c>
      <c r="C54" s="493">
        <v>536593.40092898579</v>
      </c>
      <c r="D54" s="487">
        <v>216080.57258398825</v>
      </c>
      <c r="E54" s="493">
        <v>0</v>
      </c>
      <c r="F54" s="487">
        <v>0</v>
      </c>
      <c r="G54" s="493">
        <v>0</v>
      </c>
      <c r="H54" s="487">
        <v>752673.9735129741</v>
      </c>
      <c r="I54" s="159">
        <v>29063.721351351356</v>
      </c>
      <c r="J54" s="490">
        <f>'B) D RI'!U55</f>
        <v>34769.525540540541</v>
      </c>
      <c r="K54" s="68">
        <f t="shared" si="0"/>
        <v>25.897370966845493</v>
      </c>
      <c r="L54" s="35">
        <f>'B) D RI'!S55</f>
        <v>74</v>
      </c>
      <c r="M54" s="35">
        <f t="shared" si="1"/>
        <v>48.102629033154507</v>
      </c>
      <c r="N54" s="35">
        <f>'J) Plafonnement effort'!G53+'J) Plafonnement effort'!H53-'K) Plafonnement aide'!I53</f>
        <v>28.308797914511032</v>
      </c>
      <c r="O54" s="133">
        <f t="shared" si="2"/>
        <v>76.411426947665547</v>
      </c>
      <c r="P54" s="49">
        <f t="shared" si="3"/>
        <v>0</v>
      </c>
      <c r="Q54" s="59">
        <f t="shared" si="4"/>
        <v>0</v>
      </c>
      <c r="R54" s="154">
        <f t="shared" si="5"/>
        <v>76.411426947665547</v>
      </c>
      <c r="S54" s="133">
        <f t="shared" si="6"/>
        <v>2.4114269476655465</v>
      </c>
      <c r="T54" s="153">
        <f t="shared" si="7"/>
        <v>0</v>
      </c>
      <c r="V54" s="13"/>
    </row>
    <row r="55" spans="1:22" x14ac:dyDescent="0.25">
      <c r="A55" s="51">
        <f>'A) Base RI'!A56</f>
        <v>5485</v>
      </c>
      <c r="B55" s="484" t="str">
        <f>'A) Base RI'!B56</f>
        <v>Grancy</v>
      </c>
      <c r="C55" s="493">
        <v>253167.38847728309</v>
      </c>
      <c r="D55" s="487">
        <v>182414.76611337552</v>
      </c>
      <c r="E55" s="493">
        <v>0</v>
      </c>
      <c r="F55" s="487">
        <v>0</v>
      </c>
      <c r="G55" s="493">
        <v>0</v>
      </c>
      <c r="H55" s="487">
        <v>435582.15459065861</v>
      </c>
      <c r="I55" s="159">
        <v>15073.947999999999</v>
      </c>
      <c r="J55" s="490">
        <f>'B) D RI'!U56</f>
        <v>17864.595714285719</v>
      </c>
      <c r="K55" s="68">
        <f t="shared" si="0"/>
        <v>28.896355128109679</v>
      </c>
      <c r="L55" s="35">
        <f>'B) D RI'!S56</f>
        <v>70</v>
      </c>
      <c r="M55" s="35">
        <f t="shared" si="1"/>
        <v>41.103644871890324</v>
      </c>
      <c r="N55" s="35">
        <f>'J) Plafonnement effort'!G54+'J) Plafonnement effort'!H54-'K) Plafonnement aide'!I54</f>
        <v>31.669276577461932</v>
      </c>
      <c r="O55" s="133">
        <f t="shared" si="2"/>
        <v>72.772921449352253</v>
      </c>
      <c r="P55" s="49">
        <f t="shared" si="3"/>
        <v>0</v>
      </c>
      <c r="Q55" s="59">
        <f t="shared" si="4"/>
        <v>0</v>
      </c>
      <c r="R55" s="154">
        <f t="shared" si="5"/>
        <v>72.772921449352253</v>
      </c>
      <c r="S55" s="133">
        <f t="shared" si="6"/>
        <v>2.7729214493522534</v>
      </c>
      <c r="T55" s="153">
        <f t="shared" si="7"/>
        <v>0</v>
      </c>
      <c r="V55" s="13"/>
    </row>
    <row r="56" spans="1:22" x14ac:dyDescent="0.25">
      <c r="A56" s="51">
        <f>'A) Base RI'!A57</f>
        <v>5486</v>
      </c>
      <c r="B56" s="484" t="str">
        <f>'A) Base RI'!B57</f>
        <v>L'Isle</v>
      </c>
      <c r="C56" s="493">
        <v>555532.97791399737</v>
      </c>
      <c r="D56" s="487">
        <v>80947.612602357753</v>
      </c>
      <c r="E56" s="493">
        <v>0</v>
      </c>
      <c r="F56" s="487">
        <v>0</v>
      </c>
      <c r="G56" s="493">
        <v>0</v>
      </c>
      <c r="H56" s="487">
        <v>636480.59051635512</v>
      </c>
      <c r="I56" s="159">
        <v>29834.586052631581</v>
      </c>
      <c r="J56" s="490">
        <f>'B) D RI'!U57</f>
        <v>26187.199605263158</v>
      </c>
      <c r="K56" s="68">
        <f t="shared" si="0"/>
        <v>21.333649120974275</v>
      </c>
      <c r="L56" s="35">
        <f>'B) D RI'!S57</f>
        <v>76</v>
      </c>
      <c r="M56" s="35">
        <f t="shared" si="1"/>
        <v>54.666350879025728</v>
      </c>
      <c r="N56" s="35">
        <f>'J) Plafonnement effort'!G55+'J) Plafonnement effort'!H55-'K) Plafonnement aide'!I55</f>
        <v>5.2723438712644999</v>
      </c>
      <c r="O56" s="133">
        <f t="shared" si="2"/>
        <v>59.938694750290225</v>
      </c>
      <c r="P56" s="49">
        <f t="shared" si="3"/>
        <v>0</v>
      </c>
      <c r="Q56" s="59">
        <f t="shared" si="4"/>
        <v>0</v>
      </c>
      <c r="R56" s="154">
        <f t="shared" si="5"/>
        <v>59.938694750290225</v>
      </c>
      <c r="S56" s="133">
        <f t="shared" si="6"/>
        <v>-16.061305249709775</v>
      </c>
      <c r="T56" s="153">
        <f t="shared" si="7"/>
        <v>0</v>
      </c>
      <c r="V56" s="13"/>
    </row>
    <row r="57" spans="1:22" x14ac:dyDescent="0.25">
      <c r="A57" s="51">
        <f>'A) Base RI'!A58</f>
        <v>5487</v>
      </c>
      <c r="B57" s="484" t="str">
        <f>'A) Base RI'!B58</f>
        <v>Lussery-Villars</v>
      </c>
      <c r="C57" s="493">
        <v>212958.89429042023</v>
      </c>
      <c r="D57" s="487">
        <v>64813.454281248851</v>
      </c>
      <c r="E57" s="493">
        <v>0</v>
      </c>
      <c r="F57" s="487">
        <v>0</v>
      </c>
      <c r="G57" s="493">
        <v>0</v>
      </c>
      <c r="H57" s="487">
        <v>277772.34857166908</v>
      </c>
      <c r="I57" s="159">
        <v>13143.798970588234</v>
      </c>
      <c r="J57" s="490">
        <f>'B) D RI'!U58</f>
        <v>14370.481805555557</v>
      </c>
      <c r="K57" s="68">
        <f t="shared" si="0"/>
        <v>21.133338176674634</v>
      </c>
      <c r="L57" s="35">
        <f>'B) D RI'!S58</f>
        <v>72</v>
      </c>
      <c r="M57" s="35">
        <f t="shared" si="1"/>
        <v>50.866661823325366</v>
      </c>
      <c r="N57" s="35">
        <f>'J) Plafonnement effort'!G56+'J) Plafonnement effort'!H56-'K) Plafonnement aide'!I56</f>
        <v>23.79270799903415</v>
      </c>
      <c r="O57" s="133">
        <f t="shared" si="2"/>
        <v>74.659369822359508</v>
      </c>
      <c r="P57" s="49">
        <f t="shared" si="3"/>
        <v>0</v>
      </c>
      <c r="Q57" s="59">
        <f t="shared" si="4"/>
        <v>0</v>
      </c>
      <c r="R57" s="154">
        <f t="shared" si="5"/>
        <v>74.659369822359508</v>
      </c>
      <c r="S57" s="133">
        <f t="shared" si="6"/>
        <v>2.6593698223595084</v>
      </c>
      <c r="T57" s="153">
        <f t="shared" si="7"/>
        <v>0</v>
      </c>
      <c r="V57" s="13"/>
    </row>
    <row r="58" spans="1:22" x14ac:dyDescent="0.25">
      <c r="A58" s="51">
        <f>'A) Base RI'!A59</f>
        <v>5488</v>
      </c>
      <c r="B58" s="484" t="str">
        <f>'A) Base RI'!B59</f>
        <v>Mauraz</v>
      </c>
      <c r="C58" s="493">
        <v>23534.909649044821</v>
      </c>
      <c r="D58" s="487">
        <v>8537.2996174699947</v>
      </c>
      <c r="E58" s="493">
        <v>0</v>
      </c>
      <c r="F58" s="487">
        <v>0</v>
      </c>
      <c r="G58" s="493">
        <v>0</v>
      </c>
      <c r="H58" s="487">
        <v>32072.209266514816</v>
      </c>
      <c r="I58" s="159">
        <v>1604.8968918918922</v>
      </c>
      <c r="J58" s="490">
        <f>'B) D RI'!U59</f>
        <v>1634.9372972972974</v>
      </c>
      <c r="K58" s="68">
        <f t="shared" si="0"/>
        <v>19.983968707614171</v>
      </c>
      <c r="L58" s="35">
        <f>'B) D RI'!S59</f>
        <v>74</v>
      </c>
      <c r="M58" s="35">
        <f t="shared" si="1"/>
        <v>54.016031292385833</v>
      </c>
      <c r="N58" s="35">
        <f>'J) Plafonnement effort'!G57+'J) Plafonnement effort'!H57-'K) Plafonnement aide'!I57</f>
        <v>14.736854043275969</v>
      </c>
      <c r="O58" s="133">
        <f t="shared" si="2"/>
        <v>68.752885335661801</v>
      </c>
      <c r="P58" s="49">
        <f t="shared" si="3"/>
        <v>0</v>
      </c>
      <c r="Q58" s="59">
        <f t="shared" si="4"/>
        <v>0</v>
      </c>
      <c r="R58" s="154">
        <f t="shared" si="5"/>
        <v>68.752885335661801</v>
      </c>
      <c r="S58" s="133">
        <f t="shared" si="6"/>
        <v>-5.2471146643381985</v>
      </c>
      <c r="T58" s="153">
        <f t="shared" si="7"/>
        <v>0</v>
      </c>
      <c r="V58" s="13"/>
    </row>
    <row r="59" spans="1:22" x14ac:dyDescent="0.25">
      <c r="A59" s="51">
        <f>'A) Base RI'!A60</f>
        <v>5489</v>
      </c>
      <c r="B59" s="484" t="str">
        <f>'A) Base RI'!B60</f>
        <v>Mex</v>
      </c>
      <c r="C59" s="493">
        <v>930256.19264927204</v>
      </c>
      <c r="D59" s="487">
        <v>753166.23406680371</v>
      </c>
      <c r="E59" s="493">
        <v>0</v>
      </c>
      <c r="F59" s="487">
        <v>0</v>
      </c>
      <c r="G59" s="493">
        <v>0</v>
      </c>
      <c r="H59" s="487">
        <v>1683422.4267160757</v>
      </c>
      <c r="I59" s="159">
        <v>46901.97049180328</v>
      </c>
      <c r="J59" s="490">
        <f>'B) D RI'!U60</f>
        <v>57398.642786885255</v>
      </c>
      <c r="K59" s="68">
        <f t="shared" si="0"/>
        <v>35.892360364907809</v>
      </c>
      <c r="L59" s="35">
        <f>'B) D RI'!S60</f>
        <v>61</v>
      </c>
      <c r="M59" s="35">
        <f t="shared" si="1"/>
        <v>25.107639635092191</v>
      </c>
      <c r="N59" s="35">
        <f>'J) Plafonnement effort'!G58+'J) Plafonnement effort'!H58-'K) Plafonnement aide'!I58</f>
        <v>39.826080253579661</v>
      </c>
      <c r="O59" s="133">
        <f t="shared" si="2"/>
        <v>64.933719888671845</v>
      </c>
      <c r="P59" s="49">
        <f t="shared" si="3"/>
        <v>0</v>
      </c>
      <c r="Q59" s="59">
        <f t="shared" si="4"/>
        <v>0</v>
      </c>
      <c r="R59" s="154">
        <f t="shared" si="5"/>
        <v>64.933719888671845</v>
      </c>
      <c r="S59" s="133">
        <f t="shared" si="6"/>
        <v>3.9337198886718454</v>
      </c>
      <c r="T59" s="153">
        <f t="shared" si="7"/>
        <v>0</v>
      </c>
      <c r="V59" s="13"/>
    </row>
    <row r="60" spans="1:22" x14ac:dyDescent="0.25">
      <c r="A60" s="51">
        <f>'A) Base RI'!A61</f>
        <v>5490</v>
      </c>
      <c r="B60" s="484" t="str">
        <f>'A) Base RI'!B61</f>
        <v>Moiry</v>
      </c>
      <c r="C60" s="493">
        <v>125821.13289083086</v>
      </c>
      <c r="D60" s="487">
        <v>-48033.548242531688</v>
      </c>
      <c r="E60" s="493">
        <v>0</v>
      </c>
      <c r="F60" s="487">
        <v>0</v>
      </c>
      <c r="G60" s="493">
        <v>0</v>
      </c>
      <c r="H60" s="487">
        <v>77787.584648299176</v>
      </c>
      <c r="I60" s="159">
        <v>7445.9272839506175</v>
      </c>
      <c r="J60" s="490">
        <f>'B) D RI'!U61</f>
        <v>8164.7235802469131</v>
      </c>
      <c r="K60" s="68">
        <f t="shared" si="0"/>
        <v>10.446997624589624</v>
      </c>
      <c r="L60" s="35">
        <f>'B) D RI'!S61</f>
        <v>81</v>
      </c>
      <c r="M60" s="35">
        <f t="shared" si="1"/>
        <v>70.553002375410372</v>
      </c>
      <c r="N60" s="35">
        <f>'J) Plafonnement effort'!G59+'J) Plafonnement effort'!H59-'K) Plafonnement aide'!I59</f>
        <v>6.1186896444607113</v>
      </c>
      <c r="O60" s="133">
        <f t="shared" si="2"/>
        <v>76.671692019871088</v>
      </c>
      <c r="P60" s="49">
        <f t="shared" si="3"/>
        <v>0</v>
      </c>
      <c r="Q60" s="59">
        <f t="shared" si="4"/>
        <v>0</v>
      </c>
      <c r="R60" s="154">
        <f t="shared" si="5"/>
        <v>76.671692019871088</v>
      </c>
      <c r="S60" s="133">
        <f t="shared" si="6"/>
        <v>-4.3283079801289119</v>
      </c>
      <c r="T60" s="153">
        <f t="shared" si="7"/>
        <v>0</v>
      </c>
      <c r="V60" s="13"/>
    </row>
    <row r="61" spans="1:22" x14ac:dyDescent="0.25">
      <c r="A61" s="51">
        <f>'A) Base RI'!A62</f>
        <v>5491</v>
      </c>
      <c r="B61" s="484" t="str">
        <f>'A) Base RI'!B62</f>
        <v>Mont-la-Ville</v>
      </c>
      <c r="C61" s="493">
        <v>186540.30737409217</v>
      </c>
      <c r="D61" s="487">
        <v>-84180.308848415589</v>
      </c>
      <c r="E61" s="493">
        <v>0</v>
      </c>
      <c r="F61" s="487">
        <v>0</v>
      </c>
      <c r="G61" s="493">
        <v>0</v>
      </c>
      <c r="H61" s="487">
        <v>102359.99852567658</v>
      </c>
      <c r="I61" s="159">
        <v>8756.4323684210522</v>
      </c>
      <c r="J61" s="490">
        <f>'B) D RI'!U62</f>
        <v>10538.480394736844</v>
      </c>
      <c r="K61" s="68">
        <f t="shared" si="0"/>
        <v>11.689692127906424</v>
      </c>
      <c r="L61" s="35">
        <f>'B) D RI'!S62</f>
        <v>76</v>
      </c>
      <c r="M61" s="35">
        <f t="shared" ref="M61:M114" si="8">L61-K61</f>
        <v>64.310307872093574</v>
      </c>
      <c r="N61" s="35">
        <f>'J) Plafonnement effort'!G60+'J) Plafonnement effort'!H60-'K) Plafonnement aide'!I60</f>
        <v>5.4586777908377844</v>
      </c>
      <c r="O61" s="133">
        <f t="shared" ref="O61:O114" si="9">M61+N61</f>
        <v>69.768985662931357</v>
      </c>
      <c r="P61" s="49">
        <f t="shared" ref="P61:P114" si="10">IF(O61&gt;$P$5,$P$5-O61,0)</f>
        <v>0</v>
      </c>
      <c r="Q61" s="59">
        <f t="shared" si="4"/>
        <v>0</v>
      </c>
      <c r="R61" s="154">
        <f t="shared" ref="R61:R114" si="11">O61+P61</f>
        <v>69.768985662931357</v>
      </c>
      <c r="S61" s="133">
        <f t="shared" ref="S61:S114" si="12">R61-L61</f>
        <v>-6.2310143370686433</v>
      </c>
      <c r="T61" s="153">
        <f t="shared" si="7"/>
        <v>0</v>
      </c>
      <c r="V61" s="13"/>
    </row>
    <row r="62" spans="1:22" x14ac:dyDescent="0.25">
      <c r="A62" s="51">
        <f>'A) Base RI'!A63</f>
        <v>5492</v>
      </c>
      <c r="B62" s="484" t="str">
        <f>'A) Base RI'!B63</f>
        <v>Montricher</v>
      </c>
      <c r="C62" s="493">
        <v>7222366.5564622544</v>
      </c>
      <c r="D62" s="487">
        <v>2072513.0340471847</v>
      </c>
      <c r="E62" s="493">
        <v>0</v>
      </c>
      <c r="F62" s="487">
        <v>0</v>
      </c>
      <c r="G62" s="493">
        <v>0</v>
      </c>
      <c r="H62" s="487">
        <v>9294879.5905094389</v>
      </c>
      <c r="I62" s="159">
        <v>201844.58625000002</v>
      </c>
      <c r="J62" s="490">
        <f>'B) D RI'!U63</f>
        <v>223685.74057291666</v>
      </c>
      <c r="K62" s="68">
        <f t="shared" ref="K62:K116" si="13">H62/I62</f>
        <v>46.049684874862173</v>
      </c>
      <c r="L62" s="35">
        <f>'B) D RI'!S63</f>
        <v>64</v>
      </c>
      <c r="M62" s="35">
        <f t="shared" si="8"/>
        <v>17.950315125137827</v>
      </c>
      <c r="N62" s="35">
        <f>'J) Plafonnement effort'!G61+'J) Plafonnement effort'!H61-'K) Plafonnement aide'!I61</f>
        <v>51.375387288816455</v>
      </c>
      <c r="O62" s="133">
        <f t="shared" si="9"/>
        <v>69.325702413954275</v>
      </c>
      <c r="P62" s="49">
        <f t="shared" si="10"/>
        <v>0</v>
      </c>
      <c r="Q62" s="59">
        <f t="shared" si="4"/>
        <v>0</v>
      </c>
      <c r="R62" s="154">
        <f t="shared" si="11"/>
        <v>69.325702413954275</v>
      </c>
      <c r="S62" s="133">
        <f t="shared" si="12"/>
        <v>5.325702413954275</v>
      </c>
      <c r="T62" s="153">
        <f t="shared" si="7"/>
        <v>0</v>
      </c>
      <c r="V62" s="13"/>
    </row>
    <row r="63" spans="1:22" x14ac:dyDescent="0.25">
      <c r="A63" s="51">
        <f>'A) Base RI'!A64</f>
        <v>5493</v>
      </c>
      <c r="B63" s="484" t="str">
        <f>'A) Base RI'!B64</f>
        <v>Orny</v>
      </c>
      <c r="C63" s="493">
        <v>260884.32108993689</v>
      </c>
      <c r="D63" s="487">
        <v>-23126.106857266772</v>
      </c>
      <c r="E63" s="493">
        <v>0</v>
      </c>
      <c r="F63" s="487">
        <v>0</v>
      </c>
      <c r="G63" s="493">
        <v>0</v>
      </c>
      <c r="H63" s="487">
        <v>237758.21423267011</v>
      </c>
      <c r="I63" s="159">
        <v>9079.112581664911</v>
      </c>
      <c r="J63" s="490">
        <f>'B) D RI'!U64</f>
        <v>9903.4061011591148</v>
      </c>
      <c r="K63" s="68">
        <f t="shared" si="13"/>
        <v>26.187384735466122</v>
      </c>
      <c r="L63" s="35">
        <f>'B) D RI'!S64</f>
        <v>73</v>
      </c>
      <c r="M63" s="35">
        <f t="shared" si="8"/>
        <v>46.812615264533875</v>
      </c>
      <c r="N63" s="35">
        <f>'J) Plafonnement effort'!G62+'J) Plafonnement effort'!H62-'K) Plafonnement aide'!I62</f>
        <v>-9.0653767276774495</v>
      </c>
      <c r="O63" s="133">
        <f t="shared" si="9"/>
        <v>37.747238536856429</v>
      </c>
      <c r="P63" s="49">
        <f t="shared" si="10"/>
        <v>0</v>
      </c>
      <c r="Q63" s="59">
        <f t="shared" ref="Q63:Q117" si="14">P63*J63</f>
        <v>0</v>
      </c>
      <c r="R63" s="154">
        <f t="shared" si="11"/>
        <v>37.747238536856429</v>
      </c>
      <c r="S63" s="133">
        <f t="shared" si="12"/>
        <v>-35.252761463143571</v>
      </c>
      <c r="T63" s="153">
        <f t="shared" si="7"/>
        <v>0</v>
      </c>
      <c r="V63" s="13"/>
    </row>
    <row r="64" spans="1:22" x14ac:dyDescent="0.25">
      <c r="A64" s="51">
        <f>'A) Base RI'!A65</f>
        <v>5494</v>
      </c>
      <c r="B64" s="484" t="str">
        <f>'A) Base RI'!B65</f>
        <v>Pampigny</v>
      </c>
      <c r="C64" s="493">
        <v>654246.13321545999</v>
      </c>
      <c r="D64" s="487">
        <v>265291.25997927465</v>
      </c>
      <c r="E64" s="493">
        <v>0</v>
      </c>
      <c r="F64" s="487">
        <v>0</v>
      </c>
      <c r="G64" s="493">
        <v>0</v>
      </c>
      <c r="H64" s="487">
        <v>919537.39319473458</v>
      </c>
      <c r="I64" s="159">
        <v>36797.992425396827</v>
      </c>
      <c r="J64" s="490">
        <f>'B) D RI'!U65</f>
        <v>37200.871473015875</v>
      </c>
      <c r="K64" s="68">
        <f t="shared" si="13"/>
        <v>24.988792392926808</v>
      </c>
      <c r="L64" s="35">
        <f>'B) D RI'!S65</f>
        <v>75</v>
      </c>
      <c r="M64" s="35">
        <f t="shared" si="8"/>
        <v>50.011207607073189</v>
      </c>
      <c r="N64" s="35">
        <f>'J) Plafonnement effort'!G63+'J) Plafonnement effort'!H63-'K) Plafonnement aide'!I63</f>
        <v>16.783951162654272</v>
      </c>
      <c r="O64" s="133">
        <f t="shared" si="9"/>
        <v>66.795158769727465</v>
      </c>
      <c r="P64" s="49">
        <f t="shared" si="10"/>
        <v>0</v>
      </c>
      <c r="Q64" s="59">
        <f t="shared" si="14"/>
        <v>0</v>
      </c>
      <c r="R64" s="154">
        <f t="shared" si="11"/>
        <v>66.795158769727465</v>
      </c>
      <c r="S64" s="133">
        <f t="shared" si="12"/>
        <v>-8.2048412302725353</v>
      </c>
      <c r="T64" s="153">
        <f t="shared" si="7"/>
        <v>0</v>
      </c>
      <c r="V64" s="13"/>
    </row>
    <row r="65" spans="1:22" x14ac:dyDescent="0.25">
      <c r="A65" s="51">
        <f>'A) Base RI'!A66</f>
        <v>5495</v>
      </c>
      <c r="B65" s="484" t="str">
        <f>'A) Base RI'!B66</f>
        <v>Penthalaz</v>
      </c>
      <c r="C65" s="493">
        <v>1624062.6224663428</v>
      </c>
      <c r="D65" s="487">
        <v>-29595.676944161532</v>
      </c>
      <c r="E65" s="493">
        <v>0</v>
      </c>
      <c r="F65" s="487">
        <v>0</v>
      </c>
      <c r="G65" s="493">
        <v>0</v>
      </c>
      <c r="H65" s="487">
        <v>1594466.9455221812</v>
      </c>
      <c r="I65" s="159">
        <v>99436.02810810809</v>
      </c>
      <c r="J65" s="490">
        <f>'B) D RI'!U66</f>
        <v>93529.013513513521</v>
      </c>
      <c r="K65" s="68">
        <f t="shared" si="13"/>
        <v>16.035102928574911</v>
      </c>
      <c r="L65" s="35">
        <f>'B) D RI'!S66</f>
        <v>74</v>
      </c>
      <c r="M65" s="35">
        <f t="shared" si="8"/>
        <v>57.964897071425085</v>
      </c>
      <c r="N65" s="35">
        <f>'J) Plafonnement effort'!G64+'J) Plafonnement effort'!H64-'K) Plafonnement aide'!I64</f>
        <v>10.218575013584035</v>
      </c>
      <c r="O65" s="133">
        <f t="shared" si="9"/>
        <v>68.183472085009114</v>
      </c>
      <c r="P65" s="49">
        <f t="shared" si="10"/>
        <v>0</v>
      </c>
      <c r="Q65" s="59">
        <f t="shared" si="14"/>
        <v>0</v>
      </c>
      <c r="R65" s="154">
        <f t="shared" si="11"/>
        <v>68.183472085009114</v>
      </c>
      <c r="S65" s="133">
        <f t="shared" si="12"/>
        <v>-5.8165279149908855</v>
      </c>
      <c r="T65" s="153">
        <f t="shared" si="7"/>
        <v>0</v>
      </c>
      <c r="V65" s="13"/>
    </row>
    <row r="66" spans="1:22" x14ac:dyDescent="0.25">
      <c r="A66" s="51">
        <f>'A) Base RI'!A67</f>
        <v>5496</v>
      </c>
      <c r="B66" s="484" t="str">
        <f>'A) Base RI'!B67</f>
        <v>Penthaz</v>
      </c>
      <c r="C66" s="493">
        <v>856114.63156741764</v>
      </c>
      <c r="D66" s="487">
        <v>193693.99120843282</v>
      </c>
      <c r="E66" s="493">
        <v>0</v>
      </c>
      <c r="F66" s="487">
        <v>0</v>
      </c>
      <c r="G66" s="493">
        <v>0</v>
      </c>
      <c r="H66" s="487">
        <v>1049808.6227758504</v>
      </c>
      <c r="I66" s="159">
        <v>52905.64732394366</v>
      </c>
      <c r="J66" s="490">
        <f>'B) D RI'!U67</f>
        <v>55364.179859154945</v>
      </c>
      <c r="K66" s="68">
        <f t="shared" si="13"/>
        <v>19.843035212249173</v>
      </c>
      <c r="L66" s="35">
        <f>'B) D RI'!S67</f>
        <v>71</v>
      </c>
      <c r="M66" s="35">
        <f t="shared" si="8"/>
        <v>51.156964787750823</v>
      </c>
      <c r="N66" s="35">
        <f>'J) Plafonnement effort'!G65+'J) Plafonnement effort'!H65-'K) Plafonnement aide'!I65</f>
        <v>17.699266643802282</v>
      </c>
      <c r="O66" s="133">
        <f t="shared" si="9"/>
        <v>68.856231431553113</v>
      </c>
      <c r="P66" s="49">
        <f t="shared" si="10"/>
        <v>0</v>
      </c>
      <c r="Q66" s="59">
        <f t="shared" si="14"/>
        <v>0</v>
      </c>
      <c r="R66" s="154">
        <f t="shared" si="11"/>
        <v>68.856231431553113</v>
      </c>
      <c r="S66" s="133">
        <f t="shared" si="12"/>
        <v>-2.1437685684468875</v>
      </c>
      <c r="T66" s="153">
        <f t="shared" si="7"/>
        <v>0</v>
      </c>
      <c r="V66" s="13"/>
    </row>
    <row r="67" spans="1:22" x14ac:dyDescent="0.25">
      <c r="A67" s="51">
        <f>'A) Base RI'!A68</f>
        <v>5497</v>
      </c>
      <c r="B67" s="484" t="str">
        <f>'A) Base RI'!B68</f>
        <v>Pompaples</v>
      </c>
      <c r="C67" s="493">
        <v>496808.42848259467</v>
      </c>
      <c r="D67" s="487">
        <v>57004.361356929585</v>
      </c>
      <c r="E67" s="493">
        <v>0</v>
      </c>
      <c r="F67" s="487">
        <v>0</v>
      </c>
      <c r="G67" s="493">
        <v>0</v>
      </c>
      <c r="H67" s="487">
        <v>553812.78983952431</v>
      </c>
      <c r="I67" s="159">
        <v>22272.608181818188</v>
      </c>
      <c r="J67" s="490">
        <f>'B) D RI'!U68</f>
        <v>21756.171818181818</v>
      </c>
      <c r="K67" s="68">
        <f t="shared" si="13"/>
        <v>24.865196986297214</v>
      </c>
      <c r="L67" s="35">
        <f>'B) D RI'!S68</f>
        <v>66</v>
      </c>
      <c r="M67" s="35">
        <f t="shared" si="8"/>
        <v>41.134803013702786</v>
      </c>
      <c r="N67" s="35">
        <f>'J) Plafonnement effort'!G66+'J) Plafonnement effort'!H66-'K) Plafonnement aide'!I66</f>
        <v>20.115570356147927</v>
      </c>
      <c r="O67" s="133">
        <f t="shared" si="9"/>
        <v>61.250373369850713</v>
      </c>
      <c r="P67" s="49">
        <f t="shared" si="10"/>
        <v>0</v>
      </c>
      <c r="Q67" s="59">
        <f t="shared" si="14"/>
        <v>0</v>
      </c>
      <c r="R67" s="154">
        <f t="shared" si="11"/>
        <v>61.250373369850713</v>
      </c>
      <c r="S67" s="133">
        <f t="shared" si="12"/>
        <v>-4.7496266301492867</v>
      </c>
      <c r="T67" s="153">
        <f t="shared" si="7"/>
        <v>0</v>
      </c>
      <c r="V67" s="13"/>
    </row>
    <row r="68" spans="1:22" x14ac:dyDescent="0.25">
      <c r="A68" s="51">
        <f>'A) Base RI'!A69</f>
        <v>5498</v>
      </c>
      <c r="B68" s="484" t="str">
        <f>'A) Base RI'!B69</f>
        <v>La Sarraz</v>
      </c>
      <c r="C68" s="493">
        <v>1256089.0301383671</v>
      </c>
      <c r="D68" s="487">
        <v>44745.522488095099</v>
      </c>
      <c r="E68" s="493">
        <v>0</v>
      </c>
      <c r="F68" s="487">
        <v>0</v>
      </c>
      <c r="G68" s="493">
        <v>0</v>
      </c>
      <c r="H68" s="487">
        <v>1300834.5526264622</v>
      </c>
      <c r="I68" s="159">
        <v>73804.61909090908</v>
      </c>
      <c r="J68" s="490">
        <f>'B) D RI'!U69</f>
        <v>71866.729696969705</v>
      </c>
      <c r="K68" s="68">
        <f t="shared" si="13"/>
        <v>17.625381292519847</v>
      </c>
      <c r="L68" s="35">
        <f>'B) D RI'!S69</f>
        <v>66</v>
      </c>
      <c r="M68" s="35">
        <f t="shared" si="8"/>
        <v>48.374618707480153</v>
      </c>
      <c r="N68" s="35">
        <f>'J) Plafonnement effort'!G67+'J) Plafonnement effort'!H67-'K) Plafonnement aide'!I67</f>
        <v>11.508045030731582</v>
      </c>
      <c r="O68" s="133">
        <f t="shared" si="9"/>
        <v>59.882663738211733</v>
      </c>
      <c r="P68" s="49">
        <f t="shared" si="10"/>
        <v>0</v>
      </c>
      <c r="Q68" s="59">
        <f t="shared" si="14"/>
        <v>0</v>
      </c>
      <c r="R68" s="154">
        <f t="shared" si="11"/>
        <v>59.882663738211733</v>
      </c>
      <c r="S68" s="133">
        <f t="shared" si="12"/>
        <v>-6.1173362617882674</v>
      </c>
      <c r="T68" s="153">
        <f t="shared" si="7"/>
        <v>0</v>
      </c>
      <c r="V68" s="13"/>
    </row>
    <row r="69" spans="1:22" x14ac:dyDescent="0.25">
      <c r="A69" s="51">
        <f>'A) Base RI'!A70</f>
        <v>5499</v>
      </c>
      <c r="B69" s="484" t="str">
        <f>'A) Base RI'!B70</f>
        <v>Senarclens</v>
      </c>
      <c r="C69" s="493">
        <v>330885.17243505386</v>
      </c>
      <c r="D69" s="487">
        <v>268675.63469527173</v>
      </c>
      <c r="E69" s="493">
        <v>0</v>
      </c>
      <c r="F69" s="487">
        <v>0</v>
      </c>
      <c r="G69" s="493">
        <v>0</v>
      </c>
      <c r="H69" s="487">
        <v>599560.80713032559</v>
      </c>
      <c r="I69" s="159">
        <v>18585.936788321167</v>
      </c>
      <c r="J69" s="490">
        <f>'B) D RI'!U70</f>
        <v>20247.622335766424</v>
      </c>
      <c r="K69" s="68">
        <f t="shared" si="13"/>
        <v>32.258842476375534</v>
      </c>
      <c r="L69" s="35">
        <f>'B) D RI'!S70</f>
        <v>68.5</v>
      </c>
      <c r="M69" s="35">
        <f t="shared" si="8"/>
        <v>36.241157523624466</v>
      </c>
      <c r="N69" s="35">
        <f>'J) Plafonnement effort'!G68+'J) Plafonnement effort'!H68-'K) Plafonnement aide'!I68</f>
        <v>36.505090281467517</v>
      </c>
      <c r="O69" s="133">
        <f t="shared" si="9"/>
        <v>72.746247805091983</v>
      </c>
      <c r="P69" s="49">
        <f t="shared" si="10"/>
        <v>0</v>
      </c>
      <c r="Q69" s="59">
        <f t="shared" si="14"/>
        <v>0</v>
      </c>
      <c r="R69" s="154">
        <f t="shared" si="11"/>
        <v>72.746247805091983</v>
      </c>
      <c r="S69" s="133">
        <f t="shared" si="12"/>
        <v>4.2462478050919827</v>
      </c>
      <c r="T69" s="153">
        <f t="shared" si="7"/>
        <v>0</v>
      </c>
      <c r="V69" s="13"/>
    </row>
    <row r="70" spans="1:22" x14ac:dyDescent="0.25">
      <c r="A70" s="51">
        <f>'A) Base RI'!A71</f>
        <v>5500</v>
      </c>
      <c r="B70" s="484" t="str">
        <f>'A) Base RI'!B71</f>
        <v>Sévery</v>
      </c>
      <c r="C70" s="493">
        <v>124941.18455190274</v>
      </c>
      <c r="D70" s="487">
        <v>63037.856671033776</v>
      </c>
      <c r="E70" s="493">
        <v>0</v>
      </c>
      <c r="F70" s="487">
        <v>0</v>
      </c>
      <c r="G70" s="493">
        <v>0</v>
      </c>
      <c r="H70" s="487">
        <v>187979.04122293653</v>
      </c>
      <c r="I70" s="159">
        <v>8028.7526973684207</v>
      </c>
      <c r="J70" s="490">
        <f>'B) D RI'!U71</f>
        <v>8952.9604888888862</v>
      </c>
      <c r="K70" s="68">
        <f t="shared" si="13"/>
        <v>23.41323095984141</v>
      </c>
      <c r="L70" s="35">
        <f>'B) D RI'!S71</f>
        <v>75</v>
      </c>
      <c r="M70" s="35">
        <f t="shared" si="8"/>
        <v>51.586769040158586</v>
      </c>
      <c r="N70" s="35">
        <f>'J) Plafonnement effort'!G69+'J) Plafonnement effort'!H69-'K) Plafonnement aide'!I69</f>
        <v>28.314877705133046</v>
      </c>
      <c r="O70" s="133">
        <f t="shared" si="9"/>
        <v>79.901646745291629</v>
      </c>
      <c r="P70" s="49">
        <f t="shared" si="10"/>
        <v>0</v>
      </c>
      <c r="Q70" s="59">
        <f t="shared" si="14"/>
        <v>0</v>
      </c>
      <c r="R70" s="154">
        <f t="shared" si="11"/>
        <v>79.901646745291629</v>
      </c>
      <c r="S70" s="133">
        <f t="shared" si="12"/>
        <v>4.9016467452916288</v>
      </c>
      <c r="T70" s="153">
        <f t="shared" si="7"/>
        <v>0</v>
      </c>
      <c r="V70" s="13"/>
    </row>
    <row r="71" spans="1:22" x14ac:dyDescent="0.25">
      <c r="A71" s="51">
        <f>'A) Base RI'!A72</f>
        <v>5501</v>
      </c>
      <c r="B71" s="484" t="str">
        <f>'A) Base RI'!B72</f>
        <v>Sullens</v>
      </c>
      <c r="C71" s="493">
        <v>696402.65042549814</v>
      </c>
      <c r="D71" s="487">
        <v>422174.02061149327</v>
      </c>
      <c r="E71" s="493">
        <v>0</v>
      </c>
      <c r="F71" s="487">
        <v>0</v>
      </c>
      <c r="G71" s="493">
        <v>0</v>
      </c>
      <c r="H71" s="487">
        <v>1118576.6710369913</v>
      </c>
      <c r="I71" s="159">
        <v>35737.650142857143</v>
      </c>
      <c r="J71" s="490">
        <f>'B) D RI'!U72</f>
        <v>34510.891142857145</v>
      </c>
      <c r="K71" s="68">
        <f t="shared" si="13"/>
        <v>31.29967041944867</v>
      </c>
      <c r="L71" s="35">
        <f>'B) D RI'!S72</f>
        <v>70</v>
      </c>
      <c r="M71" s="35">
        <f t="shared" si="8"/>
        <v>38.700329580551326</v>
      </c>
      <c r="N71" s="35">
        <f>'J) Plafonnement effort'!G70+'J) Plafonnement effort'!H70-'K) Plafonnement aide'!I70</f>
        <v>25.607829109646943</v>
      </c>
      <c r="O71" s="133">
        <f t="shared" si="9"/>
        <v>64.308158690198269</v>
      </c>
      <c r="P71" s="49">
        <f t="shared" si="10"/>
        <v>0</v>
      </c>
      <c r="Q71" s="59">
        <f t="shared" si="14"/>
        <v>0</v>
      </c>
      <c r="R71" s="154">
        <f t="shared" si="11"/>
        <v>64.308158690198269</v>
      </c>
      <c r="S71" s="133">
        <f t="shared" si="12"/>
        <v>-5.6918413098017311</v>
      </c>
      <c r="T71" s="153">
        <f t="shared" ref="T71:T134" si="15">+C71+D71+E71+F71+G71-H71</f>
        <v>0</v>
      </c>
      <c r="V71" s="13"/>
    </row>
    <row r="72" spans="1:22" x14ac:dyDescent="0.25">
      <c r="A72" s="51">
        <f>'A) Base RI'!A73</f>
        <v>5503</v>
      </c>
      <c r="B72" s="484" t="str">
        <f>'A) Base RI'!B73</f>
        <v>Vufflens-la-Ville</v>
      </c>
      <c r="C72" s="493">
        <v>1266974.0707375889</v>
      </c>
      <c r="D72" s="487">
        <v>1019457.9725154684</v>
      </c>
      <c r="E72" s="493">
        <v>0</v>
      </c>
      <c r="F72" s="487">
        <v>0</v>
      </c>
      <c r="G72" s="493">
        <v>0</v>
      </c>
      <c r="H72" s="487">
        <v>2286432.0432530572</v>
      </c>
      <c r="I72" s="159">
        <v>64927.66542288557</v>
      </c>
      <c r="J72" s="490">
        <f>'B) D RI'!U73</f>
        <v>69488.630199004954</v>
      </c>
      <c r="K72" s="68">
        <f t="shared" si="13"/>
        <v>35.215066310502834</v>
      </c>
      <c r="L72" s="35">
        <f>'B) D RI'!S73</f>
        <v>67</v>
      </c>
      <c r="M72" s="35">
        <f t="shared" si="8"/>
        <v>31.784933689497166</v>
      </c>
      <c r="N72" s="35">
        <f>'J) Plafonnement effort'!G71+'J) Plafonnement effort'!H71-'K) Plafonnement aide'!I71</f>
        <v>32.720098028530401</v>
      </c>
      <c r="O72" s="133">
        <f t="shared" si="9"/>
        <v>64.505031718027567</v>
      </c>
      <c r="P72" s="49">
        <f t="shared" si="10"/>
        <v>0</v>
      </c>
      <c r="Q72" s="59">
        <f t="shared" si="14"/>
        <v>0</v>
      </c>
      <c r="R72" s="154">
        <f t="shared" si="11"/>
        <v>64.505031718027567</v>
      </c>
      <c r="S72" s="133">
        <f t="shared" si="12"/>
        <v>-2.494968281972433</v>
      </c>
      <c r="T72" s="153">
        <f t="shared" si="15"/>
        <v>0</v>
      </c>
      <c r="V72" s="13"/>
    </row>
    <row r="73" spans="1:22" x14ac:dyDescent="0.25">
      <c r="A73" s="51">
        <f>'A) Base RI'!A74</f>
        <v>5511</v>
      </c>
      <c r="B73" s="484" t="str">
        <f>'A) Base RI'!B74</f>
        <v>Assens</v>
      </c>
      <c r="C73" s="493">
        <v>682496.29125793558</v>
      </c>
      <c r="D73" s="487">
        <v>490814.46107305773</v>
      </c>
      <c r="E73" s="493">
        <v>0</v>
      </c>
      <c r="F73" s="487">
        <v>0</v>
      </c>
      <c r="G73" s="493">
        <v>0</v>
      </c>
      <c r="H73" s="487">
        <v>1173310.7523309933</v>
      </c>
      <c r="I73" s="159">
        <v>39993.346428571429</v>
      </c>
      <c r="J73" s="490">
        <f>'B) D RI'!U74</f>
        <v>49567.304285714286</v>
      </c>
      <c r="K73" s="68">
        <f t="shared" si="13"/>
        <v>29.337648811822728</v>
      </c>
      <c r="L73" s="35">
        <f>'B) D RI'!S74</f>
        <v>70</v>
      </c>
      <c r="M73" s="35">
        <f t="shared" si="8"/>
        <v>40.662351188177269</v>
      </c>
      <c r="N73" s="35">
        <f>'J) Plafonnement effort'!G72+'J) Plafonnement effort'!H72-'K) Plafonnement aide'!I72</f>
        <v>29.456965984926025</v>
      </c>
      <c r="O73" s="133">
        <f t="shared" si="9"/>
        <v>70.119317173103298</v>
      </c>
      <c r="P73" s="49">
        <f t="shared" si="10"/>
        <v>0</v>
      </c>
      <c r="Q73" s="59">
        <f t="shared" si="14"/>
        <v>0</v>
      </c>
      <c r="R73" s="154">
        <f t="shared" si="11"/>
        <v>70.119317173103298</v>
      </c>
      <c r="S73" s="133">
        <f t="shared" si="12"/>
        <v>0.11931717310329759</v>
      </c>
      <c r="T73" s="153">
        <f t="shared" si="15"/>
        <v>0</v>
      </c>
      <c r="V73" s="13"/>
    </row>
    <row r="74" spans="1:22" x14ac:dyDescent="0.25">
      <c r="A74" s="51">
        <f>'A) Base RI'!A75</f>
        <v>5512</v>
      </c>
      <c r="B74" s="484" t="str">
        <f>'A) Base RI'!B75</f>
        <v>Bercher</v>
      </c>
      <c r="C74" s="493">
        <v>670002.75338133168</v>
      </c>
      <c r="D74" s="487">
        <v>101464.76588756265</v>
      </c>
      <c r="E74" s="493">
        <v>0</v>
      </c>
      <c r="F74" s="487">
        <v>0</v>
      </c>
      <c r="G74" s="493">
        <v>0</v>
      </c>
      <c r="H74" s="487">
        <v>771467.51926889434</v>
      </c>
      <c r="I74" s="159">
        <v>35096.262278481016</v>
      </c>
      <c r="J74" s="490">
        <f>'B) D RI'!U75</f>
        <v>38296.029873417712</v>
      </c>
      <c r="K74" s="68">
        <f t="shared" si="13"/>
        <v>21.981472361571484</v>
      </c>
      <c r="L74" s="35">
        <f>'B) D RI'!S75</f>
        <v>79</v>
      </c>
      <c r="M74" s="35">
        <f t="shared" si="8"/>
        <v>57.018527638428516</v>
      </c>
      <c r="N74" s="35">
        <f>'J) Plafonnement effort'!G73+'J) Plafonnement effort'!H73-'K) Plafonnement aide'!I73</f>
        <v>17.151067724920992</v>
      </c>
      <c r="O74" s="133">
        <f t="shared" si="9"/>
        <v>74.169595363349515</v>
      </c>
      <c r="P74" s="49">
        <f t="shared" si="10"/>
        <v>0</v>
      </c>
      <c r="Q74" s="59">
        <f t="shared" si="14"/>
        <v>0</v>
      </c>
      <c r="R74" s="154">
        <f t="shared" si="11"/>
        <v>74.169595363349515</v>
      </c>
      <c r="S74" s="133">
        <f t="shared" si="12"/>
        <v>-4.8304046366504849</v>
      </c>
      <c r="T74" s="153">
        <f t="shared" si="15"/>
        <v>0</v>
      </c>
      <c r="V74" s="13"/>
    </row>
    <row r="75" spans="1:22" x14ac:dyDescent="0.25">
      <c r="A75" s="51">
        <f>'A) Base RI'!A76</f>
        <v>5513</v>
      </c>
      <c r="B75" s="484" t="str">
        <f>'A) Base RI'!B76</f>
        <v>Bioley-Orjulaz</v>
      </c>
      <c r="C75" s="493">
        <v>377534.28365774103</v>
      </c>
      <c r="D75" s="487">
        <v>368872.1224138547</v>
      </c>
      <c r="E75" s="493">
        <v>0</v>
      </c>
      <c r="F75" s="487">
        <v>0</v>
      </c>
      <c r="G75" s="493">
        <v>0</v>
      </c>
      <c r="H75" s="487">
        <v>746406.40607159573</v>
      </c>
      <c r="I75" s="159">
        <v>22441.228030303031</v>
      </c>
      <c r="J75" s="490">
        <f>'B) D RI'!U76</f>
        <v>23261.0975</v>
      </c>
      <c r="K75" s="68">
        <f t="shared" si="13"/>
        <v>33.260497378472422</v>
      </c>
      <c r="L75" s="35">
        <f>'B) D RI'!S76</f>
        <v>68</v>
      </c>
      <c r="M75" s="35">
        <f t="shared" si="8"/>
        <v>34.739502621527578</v>
      </c>
      <c r="N75" s="35">
        <f>'J) Plafonnement effort'!G74+'J) Plafonnement effort'!H74-'K) Plafonnement aide'!I74</f>
        <v>40.027301694012642</v>
      </c>
      <c r="O75" s="133">
        <f t="shared" si="9"/>
        <v>74.766804315540213</v>
      </c>
      <c r="P75" s="49">
        <f t="shared" si="10"/>
        <v>0</v>
      </c>
      <c r="Q75" s="59">
        <f t="shared" si="14"/>
        <v>0</v>
      </c>
      <c r="R75" s="154">
        <f t="shared" si="11"/>
        <v>74.766804315540213</v>
      </c>
      <c r="S75" s="133">
        <f t="shared" si="12"/>
        <v>6.7668043155402131</v>
      </c>
      <c r="T75" s="153">
        <f t="shared" si="15"/>
        <v>0</v>
      </c>
      <c r="V75" s="13"/>
    </row>
    <row r="76" spans="1:22" x14ac:dyDescent="0.25">
      <c r="A76" s="51">
        <f>'A) Base RI'!A77</f>
        <v>5514</v>
      </c>
      <c r="B76" s="484" t="str">
        <f>'A) Base RI'!B77</f>
        <v>Bottens</v>
      </c>
      <c r="C76" s="493">
        <v>724968.33809498046</v>
      </c>
      <c r="D76" s="487">
        <v>303474.49553197733</v>
      </c>
      <c r="E76" s="493">
        <v>0</v>
      </c>
      <c r="F76" s="487">
        <v>0</v>
      </c>
      <c r="G76" s="493">
        <v>0</v>
      </c>
      <c r="H76" s="487">
        <v>1028442.8336269578</v>
      </c>
      <c r="I76" s="159">
        <v>40579.944927536235</v>
      </c>
      <c r="J76" s="490">
        <f>'B) D RI'!U77</f>
        <v>41051.716376811593</v>
      </c>
      <c r="K76" s="68">
        <f t="shared" si="13"/>
        <v>25.343623197701529</v>
      </c>
      <c r="L76" s="35">
        <f>'B) D RI'!S77</f>
        <v>69</v>
      </c>
      <c r="M76" s="35">
        <f t="shared" si="8"/>
        <v>43.656376802298468</v>
      </c>
      <c r="N76" s="35">
        <f>'J) Plafonnement effort'!G75+'J) Plafonnement effort'!H75-'K) Plafonnement aide'!I75</f>
        <v>23.251255357905404</v>
      </c>
      <c r="O76" s="133">
        <f t="shared" si="9"/>
        <v>66.907632160203875</v>
      </c>
      <c r="P76" s="49">
        <f t="shared" si="10"/>
        <v>0</v>
      </c>
      <c r="Q76" s="59">
        <f t="shared" si="14"/>
        <v>0</v>
      </c>
      <c r="R76" s="154">
        <f t="shared" si="11"/>
        <v>66.907632160203875</v>
      </c>
      <c r="S76" s="133">
        <f t="shared" si="12"/>
        <v>-2.0923678397961254</v>
      </c>
      <c r="T76" s="153">
        <f t="shared" si="15"/>
        <v>0</v>
      </c>
      <c r="V76" s="13"/>
    </row>
    <row r="77" spans="1:22" x14ac:dyDescent="0.25">
      <c r="A77" s="51">
        <f>'A) Base RI'!A78</f>
        <v>5515</v>
      </c>
      <c r="B77" s="484" t="str">
        <f>'A) Base RI'!B78</f>
        <v>Bretigny-sur-Morrens</v>
      </c>
      <c r="C77" s="493">
        <v>417632.97355097625</v>
      </c>
      <c r="D77" s="487">
        <v>174716.43902042025</v>
      </c>
      <c r="E77" s="493">
        <v>0</v>
      </c>
      <c r="F77" s="487">
        <v>0</v>
      </c>
      <c r="G77" s="493">
        <v>0</v>
      </c>
      <c r="H77" s="487">
        <v>592349.41257139645</v>
      </c>
      <c r="I77" s="159">
        <v>25654.980410958906</v>
      </c>
      <c r="J77" s="490">
        <f>'B) D RI'!U78</f>
        <v>27741.095753424659</v>
      </c>
      <c r="K77" s="68">
        <f t="shared" si="13"/>
        <v>23.089061191345351</v>
      </c>
      <c r="L77" s="35">
        <f>'B) D RI'!S78</f>
        <v>73</v>
      </c>
      <c r="M77" s="35">
        <f t="shared" si="8"/>
        <v>49.910938808654649</v>
      </c>
      <c r="N77" s="35">
        <f>'J) Plafonnement effort'!G76+'J) Plafonnement effort'!H76-'K) Plafonnement aide'!I76</f>
        <v>23.984174987003616</v>
      </c>
      <c r="O77" s="133">
        <f t="shared" si="9"/>
        <v>73.895113795658261</v>
      </c>
      <c r="P77" s="49">
        <f t="shared" si="10"/>
        <v>0</v>
      </c>
      <c r="Q77" s="59">
        <f t="shared" si="14"/>
        <v>0</v>
      </c>
      <c r="R77" s="154">
        <f t="shared" si="11"/>
        <v>73.895113795658261</v>
      </c>
      <c r="S77" s="133">
        <f t="shared" si="12"/>
        <v>0.89511379565826132</v>
      </c>
      <c r="T77" s="153">
        <f t="shared" si="15"/>
        <v>0</v>
      </c>
      <c r="V77" s="13"/>
    </row>
    <row r="78" spans="1:22" x14ac:dyDescent="0.25">
      <c r="A78" s="51">
        <f>'A) Base RI'!A79</f>
        <v>5516</v>
      </c>
      <c r="B78" s="484" t="str">
        <f>'A) Base RI'!B79</f>
        <v>Cugy</v>
      </c>
      <c r="C78" s="493">
        <v>1818313.2640333571</v>
      </c>
      <c r="D78" s="487">
        <v>1044562.7025552617</v>
      </c>
      <c r="E78" s="493">
        <v>0</v>
      </c>
      <c r="F78" s="487">
        <v>0</v>
      </c>
      <c r="G78" s="493">
        <v>0</v>
      </c>
      <c r="H78" s="487">
        <v>2862875.9665886187</v>
      </c>
      <c r="I78" s="159">
        <v>107712.55485714282</v>
      </c>
      <c r="J78" s="490">
        <f>'B) D RI'!U79</f>
        <v>111403.80442857141</v>
      </c>
      <c r="K78" s="68">
        <f t="shared" si="13"/>
        <v>26.578851187641018</v>
      </c>
      <c r="L78" s="35">
        <f>'B) D RI'!S79</f>
        <v>70</v>
      </c>
      <c r="M78" s="35">
        <f t="shared" si="8"/>
        <v>43.421148812358979</v>
      </c>
      <c r="N78" s="35">
        <f>'J) Plafonnement effort'!G77+'J) Plafonnement effort'!H77-'K) Plafonnement aide'!I77</f>
        <v>25.714064654441884</v>
      </c>
      <c r="O78" s="133">
        <f t="shared" si="9"/>
        <v>69.135213466800863</v>
      </c>
      <c r="P78" s="49">
        <f t="shared" si="10"/>
        <v>0</v>
      </c>
      <c r="Q78" s="59">
        <f t="shared" si="14"/>
        <v>0</v>
      </c>
      <c r="R78" s="154">
        <f t="shared" si="11"/>
        <v>69.135213466800863</v>
      </c>
      <c r="S78" s="133">
        <f t="shared" si="12"/>
        <v>-0.8647865331991369</v>
      </c>
      <c r="T78" s="153">
        <f t="shared" si="15"/>
        <v>0</v>
      </c>
      <c r="V78" s="13"/>
    </row>
    <row r="79" spans="1:22" x14ac:dyDescent="0.25">
      <c r="A79" s="51">
        <f>'A) Base RI'!A80</f>
        <v>5518</v>
      </c>
      <c r="B79" s="484" t="str">
        <f>'A) Base RI'!B80</f>
        <v>Echallens</v>
      </c>
      <c r="C79" s="493">
        <v>3441249.5336546232</v>
      </c>
      <c r="D79" s="487">
        <v>-79667.218280845787</v>
      </c>
      <c r="E79" s="493">
        <v>0</v>
      </c>
      <c r="F79" s="487">
        <v>0</v>
      </c>
      <c r="G79" s="493">
        <v>0</v>
      </c>
      <c r="H79" s="487">
        <v>3361582.3153737774</v>
      </c>
      <c r="I79" s="159">
        <v>187267.45324324328</v>
      </c>
      <c r="J79" s="490">
        <f>'B) D RI'!U80</f>
        <v>193638.72135135136</v>
      </c>
      <c r="K79" s="68">
        <f t="shared" si="13"/>
        <v>17.950702362611775</v>
      </c>
      <c r="L79" s="35">
        <f>'B) D RI'!S80</f>
        <v>74</v>
      </c>
      <c r="M79" s="35">
        <f t="shared" si="8"/>
        <v>56.049297637388221</v>
      </c>
      <c r="N79" s="35">
        <f>'J) Plafonnement effort'!G78+'J) Plafonnement effort'!H78-'K) Plafonnement aide'!I78</f>
        <v>11.60670185433349</v>
      </c>
      <c r="O79" s="133">
        <f t="shared" si="9"/>
        <v>67.655999491721715</v>
      </c>
      <c r="P79" s="49">
        <f t="shared" si="10"/>
        <v>0</v>
      </c>
      <c r="Q79" s="59">
        <f t="shared" si="14"/>
        <v>0</v>
      </c>
      <c r="R79" s="154">
        <f t="shared" si="11"/>
        <v>67.655999491721715</v>
      </c>
      <c r="S79" s="133">
        <f t="shared" si="12"/>
        <v>-6.3440005082782847</v>
      </c>
      <c r="T79" s="153">
        <f t="shared" si="15"/>
        <v>0</v>
      </c>
      <c r="V79" s="13"/>
    </row>
    <row r="80" spans="1:22" x14ac:dyDescent="0.25">
      <c r="A80" s="51">
        <f>'A) Base RI'!A81</f>
        <v>5520</v>
      </c>
      <c r="B80" s="484" t="str">
        <f>'A) Base RI'!B81</f>
        <v>Essertines-sur-Yverdon</v>
      </c>
      <c r="C80" s="493">
        <v>472563.81396375911</v>
      </c>
      <c r="D80" s="487">
        <v>141275.9487929084</v>
      </c>
      <c r="E80" s="493">
        <v>0</v>
      </c>
      <c r="F80" s="487">
        <v>0</v>
      </c>
      <c r="G80" s="493">
        <v>0</v>
      </c>
      <c r="H80" s="487">
        <v>613839.76275666757</v>
      </c>
      <c r="I80" s="159">
        <v>28096.496575342466</v>
      </c>
      <c r="J80" s="490">
        <f>'B) D RI'!U81</f>
        <v>32024.354520547942</v>
      </c>
      <c r="K80" s="68">
        <f t="shared" si="13"/>
        <v>21.847555303225043</v>
      </c>
      <c r="L80" s="35">
        <f>'B) D RI'!S81</f>
        <v>73</v>
      </c>
      <c r="M80" s="35">
        <f t="shared" si="8"/>
        <v>51.152444696774957</v>
      </c>
      <c r="N80" s="35">
        <f>'J) Plafonnement effort'!G79+'J) Plafonnement effort'!H79-'K) Plafonnement aide'!I79</f>
        <v>18.808355106798736</v>
      </c>
      <c r="O80" s="133">
        <f t="shared" si="9"/>
        <v>69.960799803573693</v>
      </c>
      <c r="P80" s="49">
        <f t="shared" si="10"/>
        <v>0</v>
      </c>
      <c r="Q80" s="59">
        <f t="shared" si="14"/>
        <v>0</v>
      </c>
      <c r="R80" s="154">
        <f t="shared" si="11"/>
        <v>69.960799803573693</v>
      </c>
      <c r="S80" s="133">
        <f t="shared" si="12"/>
        <v>-3.0392001964263073</v>
      </c>
      <c r="T80" s="153">
        <f t="shared" si="15"/>
        <v>0</v>
      </c>
      <c r="V80" s="13"/>
    </row>
    <row r="81" spans="1:22" x14ac:dyDescent="0.25">
      <c r="A81" s="51">
        <f>'A) Base RI'!A82</f>
        <v>5521</v>
      </c>
      <c r="B81" s="484" t="str">
        <f>'A) Base RI'!B82</f>
        <v>Etagnières</v>
      </c>
      <c r="C81" s="493">
        <v>650937.64984690363</v>
      </c>
      <c r="D81" s="487">
        <v>431255.72623667994</v>
      </c>
      <c r="E81" s="493">
        <v>0</v>
      </c>
      <c r="F81" s="487">
        <v>0</v>
      </c>
      <c r="G81" s="493">
        <v>0</v>
      </c>
      <c r="H81" s="487">
        <v>1082193.3760835836</v>
      </c>
      <c r="I81" s="159">
        <v>40658.047260273968</v>
      </c>
      <c r="J81" s="490">
        <f>'B) D RI'!U82</f>
        <v>41782.284931506838</v>
      </c>
      <c r="K81" s="68">
        <f t="shared" si="13"/>
        <v>26.616954059694095</v>
      </c>
      <c r="L81" s="35">
        <f>'B) D RI'!S82</f>
        <v>73</v>
      </c>
      <c r="M81" s="35">
        <f t="shared" si="8"/>
        <v>46.383045940305905</v>
      </c>
      <c r="N81" s="35">
        <f>'J) Plafonnement effort'!G80+'J) Plafonnement effort'!H80-'K) Plafonnement aide'!I80</f>
        <v>28.058387732811877</v>
      </c>
      <c r="O81" s="133">
        <f t="shared" si="9"/>
        <v>74.441433673117785</v>
      </c>
      <c r="P81" s="49">
        <f t="shared" si="10"/>
        <v>0</v>
      </c>
      <c r="Q81" s="59">
        <f t="shared" si="14"/>
        <v>0</v>
      </c>
      <c r="R81" s="154">
        <f t="shared" si="11"/>
        <v>74.441433673117785</v>
      </c>
      <c r="S81" s="133">
        <f t="shared" si="12"/>
        <v>1.4414336731177855</v>
      </c>
      <c r="T81" s="153">
        <f t="shared" si="15"/>
        <v>0</v>
      </c>
      <c r="V81" s="13"/>
    </row>
    <row r="82" spans="1:22" x14ac:dyDescent="0.25">
      <c r="A82" s="51">
        <f>'A) Base RI'!A83</f>
        <v>5522</v>
      </c>
      <c r="B82" s="484" t="str">
        <f>'A) Base RI'!B83</f>
        <v>Fey</v>
      </c>
      <c r="C82" s="493">
        <v>358789.99657673563</v>
      </c>
      <c r="D82" s="487">
        <v>25683.654755207361</v>
      </c>
      <c r="E82" s="493">
        <v>0</v>
      </c>
      <c r="F82" s="487">
        <v>0</v>
      </c>
      <c r="G82" s="493">
        <v>0</v>
      </c>
      <c r="H82" s="487">
        <v>384473.65133194299</v>
      </c>
      <c r="I82" s="159">
        <v>19109.159333333333</v>
      </c>
      <c r="J82" s="490">
        <f>'B) D RI'!U83</f>
        <v>20521.084933333332</v>
      </c>
      <c r="K82" s="68">
        <f t="shared" si="13"/>
        <v>20.119862136545219</v>
      </c>
      <c r="L82" s="35">
        <f>'B) D RI'!S83</f>
        <v>75</v>
      </c>
      <c r="M82" s="35">
        <f t="shared" si="8"/>
        <v>54.880137863454777</v>
      </c>
      <c r="N82" s="35">
        <f>'J) Plafonnement effort'!G81+'J) Plafonnement effort'!H81-'K) Plafonnement aide'!I81</f>
        <v>20.739912415550432</v>
      </c>
      <c r="O82" s="133">
        <f t="shared" si="9"/>
        <v>75.620050279005213</v>
      </c>
      <c r="P82" s="49">
        <f t="shared" si="10"/>
        <v>0</v>
      </c>
      <c r="Q82" s="59">
        <f t="shared" si="14"/>
        <v>0</v>
      </c>
      <c r="R82" s="154">
        <f t="shared" si="11"/>
        <v>75.620050279005213</v>
      </c>
      <c r="S82" s="133">
        <f t="shared" si="12"/>
        <v>0.6200502790052127</v>
      </c>
      <c r="T82" s="153">
        <f t="shared" si="15"/>
        <v>0</v>
      </c>
      <c r="V82" s="13"/>
    </row>
    <row r="83" spans="1:22" x14ac:dyDescent="0.25">
      <c r="A83" s="51">
        <f>'A) Base RI'!A84</f>
        <v>5523</v>
      </c>
      <c r="B83" s="484" t="str">
        <f>'A) Base RI'!B84</f>
        <v>Froideville</v>
      </c>
      <c r="C83" s="493">
        <v>1435532.2056483715</v>
      </c>
      <c r="D83" s="487">
        <v>109732.10193249257</v>
      </c>
      <c r="E83" s="493">
        <v>0</v>
      </c>
      <c r="F83" s="487">
        <v>0</v>
      </c>
      <c r="G83" s="493">
        <v>0</v>
      </c>
      <c r="H83" s="487">
        <v>1545264.3075808641</v>
      </c>
      <c r="I83" s="159">
        <v>77198.057236842113</v>
      </c>
      <c r="J83" s="490">
        <f>'B) D RI'!U84</f>
        <v>83854.770526315799</v>
      </c>
      <c r="K83" s="68">
        <f t="shared" si="13"/>
        <v>20.01688077253063</v>
      </c>
      <c r="L83" s="35">
        <f>'B) D RI'!S84</f>
        <v>76</v>
      </c>
      <c r="M83" s="35">
        <f t="shared" si="8"/>
        <v>55.983119227469373</v>
      </c>
      <c r="N83" s="35">
        <f>'J) Plafonnement effort'!G82+'J) Plafonnement effort'!H82-'K) Plafonnement aide'!I82</f>
        <v>17.476855850677946</v>
      </c>
      <c r="O83" s="133">
        <f t="shared" si="9"/>
        <v>73.459975078147323</v>
      </c>
      <c r="P83" s="49">
        <f t="shared" si="10"/>
        <v>0</v>
      </c>
      <c r="Q83" s="59">
        <f t="shared" si="14"/>
        <v>0</v>
      </c>
      <c r="R83" s="154">
        <f t="shared" si="11"/>
        <v>73.459975078147323</v>
      </c>
      <c r="S83" s="133">
        <f t="shared" si="12"/>
        <v>-2.5400249218526767</v>
      </c>
      <c r="T83" s="153">
        <f t="shared" si="15"/>
        <v>0</v>
      </c>
      <c r="V83" s="13"/>
    </row>
    <row r="84" spans="1:22" x14ac:dyDescent="0.25">
      <c r="A84" s="51">
        <f>'A) Base RI'!A85</f>
        <v>5527</v>
      </c>
      <c r="B84" s="484" t="str">
        <f>'A) Base RI'!B85</f>
        <v>Morrens</v>
      </c>
      <c r="C84" s="493">
        <v>587368.1795746428</v>
      </c>
      <c r="D84" s="487">
        <v>375587.14502660686</v>
      </c>
      <c r="E84" s="493">
        <v>0</v>
      </c>
      <c r="F84" s="487">
        <v>0</v>
      </c>
      <c r="G84" s="493">
        <v>0</v>
      </c>
      <c r="H84" s="487">
        <v>962955.32460124965</v>
      </c>
      <c r="I84" s="159">
        <v>37560.717323943667</v>
      </c>
      <c r="J84" s="490">
        <f>'B) D RI'!U85</f>
        <v>39746.766619718313</v>
      </c>
      <c r="K84" s="68">
        <f t="shared" si="13"/>
        <v>25.637298571702164</v>
      </c>
      <c r="L84" s="35">
        <f>'B) D RI'!S85</f>
        <v>71</v>
      </c>
      <c r="M84" s="35">
        <f t="shared" si="8"/>
        <v>45.362701428297839</v>
      </c>
      <c r="N84" s="35">
        <f>'J) Plafonnement effort'!G83+'J) Plafonnement effort'!H83-'K) Plafonnement aide'!I83</f>
        <v>26.952856178604154</v>
      </c>
      <c r="O84" s="133">
        <f t="shared" si="9"/>
        <v>72.31555760690199</v>
      </c>
      <c r="P84" s="49">
        <f t="shared" si="10"/>
        <v>0</v>
      </c>
      <c r="Q84" s="59">
        <f t="shared" si="14"/>
        <v>0</v>
      </c>
      <c r="R84" s="154">
        <f t="shared" si="11"/>
        <v>72.31555760690199</v>
      </c>
      <c r="S84" s="133">
        <f t="shared" si="12"/>
        <v>1.3155576069019901</v>
      </c>
      <c r="T84" s="153">
        <f t="shared" si="15"/>
        <v>0</v>
      </c>
      <c r="V84" s="13"/>
    </row>
    <row r="85" spans="1:22" x14ac:dyDescent="0.25">
      <c r="A85" s="51">
        <f>'A) Base RI'!A86</f>
        <v>5529</v>
      </c>
      <c r="B85" s="484" t="str">
        <f>'A) Base RI'!B86</f>
        <v>Oulens-sous-Echallens</v>
      </c>
      <c r="C85" s="493">
        <v>328535.22101260204</v>
      </c>
      <c r="D85" s="487">
        <v>216576.94980072087</v>
      </c>
      <c r="E85" s="493">
        <v>0</v>
      </c>
      <c r="F85" s="487">
        <v>0</v>
      </c>
      <c r="G85" s="493">
        <v>0</v>
      </c>
      <c r="H85" s="487">
        <v>545112.17081332288</v>
      </c>
      <c r="I85" s="159">
        <v>19874.862394366199</v>
      </c>
      <c r="J85" s="490">
        <f>'B) D RI'!U86</f>
        <v>20201.042816901412</v>
      </c>
      <c r="K85" s="68">
        <f t="shared" si="13"/>
        <v>27.4272173561233</v>
      </c>
      <c r="L85" s="35">
        <f>'B) D RI'!S86</f>
        <v>71</v>
      </c>
      <c r="M85" s="35">
        <f t="shared" si="8"/>
        <v>43.5727826438767</v>
      </c>
      <c r="N85" s="35">
        <f>'J) Plafonnement effort'!G84+'J) Plafonnement effort'!H84-'K) Plafonnement aide'!I84</f>
        <v>21.892404909848743</v>
      </c>
      <c r="O85" s="133">
        <f t="shared" si="9"/>
        <v>65.465187553725443</v>
      </c>
      <c r="P85" s="49">
        <f t="shared" si="10"/>
        <v>0</v>
      </c>
      <c r="Q85" s="59">
        <f t="shared" si="14"/>
        <v>0</v>
      </c>
      <c r="R85" s="154">
        <f t="shared" si="11"/>
        <v>65.465187553725443</v>
      </c>
      <c r="S85" s="133">
        <f t="shared" si="12"/>
        <v>-5.5348124462745574</v>
      </c>
      <c r="T85" s="153">
        <f t="shared" si="15"/>
        <v>0</v>
      </c>
      <c r="V85" s="13"/>
    </row>
    <row r="86" spans="1:22" x14ac:dyDescent="0.25">
      <c r="A86" s="51">
        <f>'A) Base RI'!A87</f>
        <v>5530</v>
      </c>
      <c r="B86" s="484" t="str">
        <f>'A) Base RI'!B87</f>
        <v>Pailly</v>
      </c>
      <c r="C86" s="493">
        <v>229881.44014776353</v>
      </c>
      <c r="D86" s="487">
        <v>32160.078954456927</v>
      </c>
      <c r="E86" s="493">
        <v>0</v>
      </c>
      <c r="F86" s="487">
        <v>0</v>
      </c>
      <c r="G86" s="493">
        <v>0</v>
      </c>
      <c r="H86" s="487">
        <v>262041.51910222045</v>
      </c>
      <c r="I86" s="159">
        <v>15272.027655913982</v>
      </c>
      <c r="J86" s="490">
        <f>'B) D RI'!U87</f>
        <v>17056.622387096773</v>
      </c>
      <c r="K86" s="68">
        <f t="shared" si="13"/>
        <v>17.158266407456825</v>
      </c>
      <c r="L86" s="35">
        <f>'B) D RI'!S87</f>
        <v>77.5</v>
      </c>
      <c r="M86" s="35">
        <f t="shared" si="8"/>
        <v>60.341733592543179</v>
      </c>
      <c r="N86" s="35">
        <f>'J) Plafonnement effort'!G85+'J) Plafonnement effort'!H85-'K) Plafonnement aide'!I85</f>
        <v>-6.9998024893410786</v>
      </c>
      <c r="O86" s="133">
        <f t="shared" si="9"/>
        <v>53.3419311032021</v>
      </c>
      <c r="P86" s="49">
        <f t="shared" si="10"/>
        <v>0</v>
      </c>
      <c r="Q86" s="59">
        <f t="shared" si="14"/>
        <v>0</v>
      </c>
      <c r="R86" s="154">
        <f t="shared" si="11"/>
        <v>53.3419311032021</v>
      </c>
      <c r="S86" s="133">
        <f t="shared" si="12"/>
        <v>-24.1580688967979</v>
      </c>
      <c r="T86" s="153">
        <f t="shared" si="15"/>
        <v>0</v>
      </c>
      <c r="V86" s="13"/>
    </row>
    <row r="87" spans="1:22" x14ac:dyDescent="0.25">
      <c r="A87" s="51">
        <f>'A) Base RI'!A88</f>
        <v>5531</v>
      </c>
      <c r="B87" s="484" t="str">
        <f>'A) Base RI'!B88</f>
        <v>Penthéréaz</v>
      </c>
      <c r="C87" s="493">
        <v>205639.71628255345</v>
      </c>
      <c r="D87" s="487">
        <v>37667.385632518475</v>
      </c>
      <c r="E87" s="493">
        <v>0</v>
      </c>
      <c r="F87" s="487">
        <v>0</v>
      </c>
      <c r="G87" s="493">
        <v>0</v>
      </c>
      <c r="H87" s="487">
        <v>243307.10191507192</v>
      </c>
      <c r="I87" s="159">
        <v>12101.700128205126</v>
      </c>
      <c r="J87" s="490">
        <f>'B) D RI'!U88</f>
        <v>13134.769871794872</v>
      </c>
      <c r="K87" s="68">
        <f t="shared" si="13"/>
        <v>20.105200041108457</v>
      </c>
      <c r="L87" s="35">
        <f>'B) D RI'!S88</f>
        <v>78</v>
      </c>
      <c r="M87" s="35">
        <f t="shared" si="8"/>
        <v>57.894799958891539</v>
      </c>
      <c r="N87" s="35">
        <f>'J) Plafonnement effort'!G86+'J) Plafonnement effort'!H86-'K) Plafonnement aide'!I86</f>
        <v>17.878407448426024</v>
      </c>
      <c r="O87" s="133">
        <f t="shared" si="9"/>
        <v>75.773207407317557</v>
      </c>
      <c r="P87" s="49">
        <f t="shared" si="10"/>
        <v>0</v>
      </c>
      <c r="Q87" s="59">
        <f t="shared" si="14"/>
        <v>0</v>
      </c>
      <c r="R87" s="154">
        <f t="shared" si="11"/>
        <v>75.773207407317557</v>
      </c>
      <c r="S87" s="133">
        <f t="shared" si="12"/>
        <v>-2.2267925926824432</v>
      </c>
      <c r="T87" s="153">
        <f t="shared" si="15"/>
        <v>0</v>
      </c>
      <c r="V87" s="13"/>
    </row>
    <row r="88" spans="1:22" x14ac:dyDescent="0.25">
      <c r="A88" s="51">
        <f>'A) Base RI'!A89</f>
        <v>5533</v>
      </c>
      <c r="B88" s="484" t="str">
        <f>'A) Base RI'!B89</f>
        <v>Poliez-Pittet</v>
      </c>
      <c r="C88" s="493">
        <v>421130.03590350604</v>
      </c>
      <c r="D88" s="487">
        <v>213813.79970184981</v>
      </c>
      <c r="E88" s="493">
        <v>0</v>
      </c>
      <c r="F88" s="487">
        <v>0</v>
      </c>
      <c r="G88" s="493">
        <v>0</v>
      </c>
      <c r="H88" s="487">
        <v>634943.83560535591</v>
      </c>
      <c r="I88" s="159">
        <v>27045.170985915491</v>
      </c>
      <c r="J88" s="490">
        <f>'B) D RI'!U89</f>
        <v>28042.897605633803</v>
      </c>
      <c r="K88" s="68">
        <f t="shared" si="13"/>
        <v>23.477161077518062</v>
      </c>
      <c r="L88" s="35">
        <f>'B) D RI'!S89</f>
        <v>71</v>
      </c>
      <c r="M88" s="35">
        <f t="shared" si="8"/>
        <v>47.522838922481938</v>
      </c>
      <c r="N88" s="35">
        <f>'J) Plafonnement effort'!G87+'J) Plafonnement effort'!H87-'K) Plafonnement aide'!I87</f>
        <v>22.609105053492545</v>
      </c>
      <c r="O88" s="133">
        <f t="shared" si="9"/>
        <v>70.13194397597448</v>
      </c>
      <c r="P88" s="49">
        <f t="shared" si="10"/>
        <v>0</v>
      </c>
      <c r="Q88" s="59">
        <f t="shared" si="14"/>
        <v>0</v>
      </c>
      <c r="R88" s="154">
        <f t="shared" si="11"/>
        <v>70.13194397597448</v>
      </c>
      <c r="S88" s="133">
        <f t="shared" si="12"/>
        <v>-0.8680560240255204</v>
      </c>
      <c r="T88" s="153">
        <f t="shared" si="15"/>
        <v>0</v>
      </c>
      <c r="V88" s="13"/>
    </row>
    <row r="89" spans="1:22" x14ac:dyDescent="0.25">
      <c r="A89" s="51">
        <f>'A) Base RI'!A90</f>
        <v>5534</v>
      </c>
      <c r="B89" s="484" t="str">
        <f>'A) Base RI'!B90</f>
        <v>Rueyres</v>
      </c>
      <c r="C89" s="493">
        <v>302543.56728676002</v>
      </c>
      <c r="D89" s="487">
        <v>154581.26872095402</v>
      </c>
      <c r="E89" s="493">
        <v>0</v>
      </c>
      <c r="F89" s="487">
        <v>0</v>
      </c>
      <c r="G89" s="493">
        <v>0</v>
      </c>
      <c r="H89" s="487">
        <v>457124.83600771404</v>
      </c>
      <c r="I89" s="159">
        <v>10934.157945205479</v>
      </c>
      <c r="J89" s="490">
        <f>'B) D RI'!U90</f>
        <v>9722.0657534246584</v>
      </c>
      <c r="K89" s="68">
        <f t="shared" si="13"/>
        <v>41.807045251999384</v>
      </c>
      <c r="L89" s="35">
        <f>'B) D RI'!S90</f>
        <v>73</v>
      </c>
      <c r="M89" s="35">
        <f t="shared" si="8"/>
        <v>31.192954748000616</v>
      </c>
      <c r="N89" s="35">
        <f>'J) Plafonnement effort'!G88+'J) Plafonnement effort'!H88-'K) Plafonnement aide'!I88</f>
        <v>26.373723842566303</v>
      </c>
      <c r="O89" s="133">
        <f t="shared" si="9"/>
        <v>57.566678590566923</v>
      </c>
      <c r="P89" s="49">
        <f t="shared" si="10"/>
        <v>0</v>
      </c>
      <c r="Q89" s="59">
        <f t="shared" si="14"/>
        <v>0</v>
      </c>
      <c r="R89" s="154">
        <f t="shared" si="11"/>
        <v>57.566678590566923</v>
      </c>
      <c r="S89" s="133">
        <f t="shared" si="12"/>
        <v>-15.433321409433077</v>
      </c>
      <c r="T89" s="153">
        <f t="shared" si="15"/>
        <v>0</v>
      </c>
      <c r="V89" s="13"/>
    </row>
    <row r="90" spans="1:22" x14ac:dyDescent="0.25">
      <c r="A90" s="51">
        <f>'A) Base RI'!A91</f>
        <v>5535</v>
      </c>
      <c r="B90" s="484" t="str">
        <f>'A) Base RI'!B91</f>
        <v>Saint-Barthélemy</v>
      </c>
      <c r="C90" s="493">
        <v>324623.60066248768</v>
      </c>
      <c r="D90" s="487">
        <v>2590.9535439647152</v>
      </c>
      <c r="E90" s="493">
        <v>0</v>
      </c>
      <c r="F90" s="487">
        <v>0</v>
      </c>
      <c r="G90" s="493">
        <v>0</v>
      </c>
      <c r="H90" s="487">
        <v>327214.55420645239</v>
      </c>
      <c r="I90" s="159">
        <v>20697.547200000001</v>
      </c>
      <c r="J90" s="490">
        <f>'B) D RI'!U91</f>
        <v>23314.139350649355</v>
      </c>
      <c r="K90" s="68">
        <f t="shared" si="13"/>
        <v>15.809339678976665</v>
      </c>
      <c r="L90" s="35">
        <f>'B) D RI'!S91</f>
        <v>77</v>
      </c>
      <c r="M90" s="35">
        <f t="shared" si="8"/>
        <v>61.190660321023337</v>
      </c>
      <c r="N90" s="35">
        <f>'J) Plafonnement effort'!G89+'J) Plafonnement effort'!H89-'K) Plafonnement aide'!I89</f>
        <v>20.130930663115741</v>
      </c>
      <c r="O90" s="133">
        <f t="shared" si="9"/>
        <v>81.321590984139078</v>
      </c>
      <c r="P90" s="49">
        <f t="shared" si="10"/>
        <v>0</v>
      </c>
      <c r="Q90" s="59">
        <f t="shared" si="14"/>
        <v>0</v>
      </c>
      <c r="R90" s="154">
        <f t="shared" si="11"/>
        <v>81.321590984139078</v>
      </c>
      <c r="S90" s="133">
        <f t="shared" si="12"/>
        <v>4.3215909841390783</v>
      </c>
      <c r="T90" s="153">
        <f t="shared" si="15"/>
        <v>0</v>
      </c>
      <c r="V90" s="13"/>
    </row>
    <row r="91" spans="1:22" x14ac:dyDescent="0.25">
      <c r="A91" s="51">
        <f>'A) Base RI'!A92</f>
        <v>5537</v>
      </c>
      <c r="B91" s="484" t="str">
        <f>'A) Base RI'!B92</f>
        <v>Villars-le-Terroir</v>
      </c>
      <c r="C91" s="493">
        <v>498949.95518880559</v>
      </c>
      <c r="D91" s="487">
        <v>74877.139702536108</v>
      </c>
      <c r="E91" s="493">
        <v>0</v>
      </c>
      <c r="F91" s="487">
        <v>0</v>
      </c>
      <c r="G91" s="493">
        <v>0</v>
      </c>
      <c r="H91" s="487">
        <v>573827.09489134164</v>
      </c>
      <c r="I91" s="159">
        <v>30041.138287671231</v>
      </c>
      <c r="J91" s="490">
        <f>'B) D RI'!U92</f>
        <v>33778.811643835616</v>
      </c>
      <c r="K91" s="68">
        <f t="shared" si="13"/>
        <v>19.101376565575684</v>
      </c>
      <c r="L91" s="35">
        <f>'B) D RI'!S92</f>
        <v>73</v>
      </c>
      <c r="M91" s="35">
        <f t="shared" si="8"/>
        <v>53.898623434424316</v>
      </c>
      <c r="N91" s="35">
        <f>'J) Plafonnement effort'!G90+'J) Plafonnement effort'!H90-'K) Plafonnement aide'!I90</f>
        <v>18.782185878223675</v>
      </c>
      <c r="O91" s="133">
        <f t="shared" si="9"/>
        <v>72.680809312647995</v>
      </c>
      <c r="P91" s="49">
        <f t="shared" si="10"/>
        <v>0</v>
      </c>
      <c r="Q91" s="59">
        <f t="shared" si="14"/>
        <v>0</v>
      </c>
      <c r="R91" s="154">
        <f t="shared" si="11"/>
        <v>72.680809312647995</v>
      </c>
      <c r="S91" s="133">
        <f t="shared" si="12"/>
        <v>-0.3191906873520054</v>
      </c>
      <c r="T91" s="153">
        <f t="shared" si="15"/>
        <v>0</v>
      </c>
      <c r="V91" s="13"/>
    </row>
    <row r="92" spans="1:22" x14ac:dyDescent="0.25">
      <c r="A92" s="51">
        <f>'A) Base RI'!A93</f>
        <v>5539</v>
      </c>
      <c r="B92" s="484" t="str">
        <f>'A) Base RI'!B93</f>
        <v>Vuarrens</v>
      </c>
      <c r="C92" s="493">
        <v>382540.63166212547</v>
      </c>
      <c r="D92" s="487">
        <v>-149532.31938950834</v>
      </c>
      <c r="E92" s="493">
        <v>0</v>
      </c>
      <c r="F92" s="487">
        <v>0</v>
      </c>
      <c r="G92" s="493">
        <v>0</v>
      </c>
      <c r="H92" s="487">
        <v>233008.31227261713</v>
      </c>
      <c r="I92" s="159">
        <v>22727.031566666661</v>
      </c>
      <c r="J92" s="490">
        <f>'B) D RI'!U93</f>
        <v>26961.993700000003</v>
      </c>
      <c r="K92" s="68">
        <f t="shared" si="13"/>
        <v>10.252474529685889</v>
      </c>
      <c r="L92" s="35">
        <f>'B) D RI'!S93</f>
        <v>75</v>
      </c>
      <c r="M92" s="35">
        <f t="shared" si="8"/>
        <v>64.747525470314116</v>
      </c>
      <c r="N92" s="35">
        <f>'J) Plafonnement effort'!G91+'J) Plafonnement effort'!H91-'K) Plafonnement aide'!I91</f>
        <v>3.8331944734452019</v>
      </c>
      <c r="O92" s="133">
        <f t="shared" si="9"/>
        <v>68.58071994375932</v>
      </c>
      <c r="P92" s="49">
        <f t="shared" si="10"/>
        <v>0</v>
      </c>
      <c r="Q92" s="59">
        <f t="shared" si="14"/>
        <v>0</v>
      </c>
      <c r="R92" s="154">
        <f t="shared" si="11"/>
        <v>68.58071994375932</v>
      </c>
      <c r="S92" s="133">
        <f t="shared" si="12"/>
        <v>-6.4192800562406802</v>
      </c>
      <c r="T92" s="153">
        <f t="shared" si="15"/>
        <v>0</v>
      </c>
      <c r="V92" s="13"/>
    </row>
    <row r="93" spans="1:22" x14ac:dyDescent="0.25">
      <c r="A93" s="51">
        <f>'A) Base RI'!A94</f>
        <v>5540</v>
      </c>
      <c r="B93" s="484" t="str">
        <f>'A) Base RI'!B94</f>
        <v>Montilliez</v>
      </c>
      <c r="C93" s="493">
        <v>944309.37974519865</v>
      </c>
      <c r="D93" s="487">
        <v>241346.66054881364</v>
      </c>
      <c r="E93" s="493">
        <v>0</v>
      </c>
      <c r="F93" s="487">
        <v>0</v>
      </c>
      <c r="G93" s="493">
        <v>0</v>
      </c>
      <c r="H93" s="487">
        <v>1185656.0402940123</v>
      </c>
      <c r="I93" s="159">
        <v>54875.674391891895</v>
      </c>
      <c r="J93" s="490">
        <f>'B) D RI'!U94</f>
        <v>57534.065472972972</v>
      </c>
      <c r="K93" s="68">
        <f>H93/I93</f>
        <v>21.60622267394308</v>
      </c>
      <c r="L93" s="35">
        <f>'B) D RI'!S94</f>
        <v>74</v>
      </c>
      <c r="M93" s="35">
        <f>L93-K93</f>
        <v>52.39377732605692</v>
      </c>
      <c r="N93" s="35">
        <f>'J) Plafonnement effort'!G92+'J) Plafonnement effort'!H92-'K) Plafonnement aide'!I92</f>
        <v>16.771598231163949</v>
      </c>
      <c r="O93" s="133">
        <f>M93+N93</f>
        <v>69.165375557220869</v>
      </c>
      <c r="P93" s="49">
        <f t="shared" si="10"/>
        <v>0</v>
      </c>
      <c r="Q93" s="59">
        <f>P93*J93</f>
        <v>0</v>
      </c>
      <c r="R93" s="154">
        <f>O93+P93</f>
        <v>69.165375557220869</v>
      </c>
      <c r="S93" s="133">
        <f>R93-L93</f>
        <v>-4.8346244427791305</v>
      </c>
      <c r="T93" s="153">
        <f t="shared" si="15"/>
        <v>0</v>
      </c>
      <c r="V93" s="13"/>
    </row>
    <row r="94" spans="1:22" x14ac:dyDescent="0.25">
      <c r="A94" s="51">
        <f>'A) Base RI'!A95</f>
        <v>5541</v>
      </c>
      <c r="B94" s="484" t="str">
        <f>'A) Base RI'!B95</f>
        <v>Goumoëns</v>
      </c>
      <c r="C94" s="493">
        <v>654305.40355389169</v>
      </c>
      <c r="D94" s="487">
        <v>158864.19833818584</v>
      </c>
      <c r="E94" s="493">
        <v>0</v>
      </c>
      <c r="F94" s="487">
        <v>0</v>
      </c>
      <c r="G94" s="493">
        <v>0</v>
      </c>
      <c r="H94" s="487">
        <v>813169.6018920776</v>
      </c>
      <c r="I94" s="159">
        <v>32498.070519480509</v>
      </c>
      <c r="J94" s="490">
        <f>'B) D RI'!U95</f>
        <v>38967.18311688312</v>
      </c>
      <c r="K94" s="68">
        <f>H94/I94</f>
        <v>25.022088662298724</v>
      </c>
      <c r="L94" s="35">
        <f>'B) D RI'!S95</f>
        <v>77</v>
      </c>
      <c r="M94" s="35">
        <f>L94-K94</f>
        <v>51.977911337701272</v>
      </c>
      <c r="N94" s="35">
        <f>'J) Plafonnement effort'!G93+'J) Plafonnement effort'!H93-'K) Plafonnement aide'!I93</f>
        <v>24.907001917689794</v>
      </c>
      <c r="O94" s="133">
        <f>M94+N94</f>
        <v>76.884913255391069</v>
      </c>
      <c r="P94" s="49">
        <f t="shared" si="10"/>
        <v>0</v>
      </c>
      <c r="Q94" s="59">
        <f>P94*J94</f>
        <v>0</v>
      </c>
      <c r="R94" s="154">
        <f>O94+P94</f>
        <v>76.884913255391069</v>
      </c>
      <c r="S94" s="133">
        <f>R94-L94</f>
        <v>-0.11508674460893076</v>
      </c>
      <c r="T94" s="153">
        <f t="shared" si="15"/>
        <v>0</v>
      </c>
      <c r="V94" s="13"/>
    </row>
    <row r="95" spans="1:22" x14ac:dyDescent="0.25">
      <c r="A95" s="51">
        <f>'A) Base RI'!A96</f>
        <v>5551</v>
      </c>
      <c r="B95" s="484" t="str">
        <f>'A) Base RI'!B96</f>
        <v>Bonvillars</v>
      </c>
      <c r="C95" s="493">
        <v>303105.02693229367</v>
      </c>
      <c r="D95" s="487">
        <v>278593.02483708359</v>
      </c>
      <c r="E95" s="493">
        <v>0</v>
      </c>
      <c r="F95" s="487">
        <v>0</v>
      </c>
      <c r="G95" s="493">
        <v>0</v>
      </c>
      <c r="H95" s="487">
        <v>581698.0517693772</v>
      </c>
      <c r="I95" s="159">
        <v>19291.965896103895</v>
      </c>
      <c r="J95" s="490">
        <f>'B) D RI'!U96</f>
        <v>18919.686363636367</v>
      </c>
      <c r="K95" s="68">
        <f t="shared" si="13"/>
        <v>30.152347091120138</v>
      </c>
      <c r="L95" s="35">
        <f>'B) D RI'!S96</f>
        <v>55</v>
      </c>
      <c r="M95" s="35">
        <f>L95-K95</f>
        <v>24.847652908879862</v>
      </c>
      <c r="N95" s="35">
        <f>'J) Plafonnement effort'!G94+'J) Plafonnement effort'!H94-'K) Plafonnement aide'!I94</f>
        <v>28.176214683402296</v>
      </c>
      <c r="O95" s="133">
        <f>M95+N95</f>
        <v>53.023867592282159</v>
      </c>
      <c r="P95" s="49">
        <f t="shared" si="10"/>
        <v>0</v>
      </c>
      <c r="Q95" s="59">
        <f>P95*J95</f>
        <v>0</v>
      </c>
      <c r="R95" s="154">
        <f>O95+P95</f>
        <v>53.023867592282159</v>
      </c>
      <c r="S95" s="133">
        <f>R95-L95</f>
        <v>-1.9761324077178415</v>
      </c>
      <c r="T95" s="153">
        <f t="shared" si="15"/>
        <v>0</v>
      </c>
      <c r="V95" s="13"/>
    </row>
    <row r="96" spans="1:22" x14ac:dyDescent="0.25">
      <c r="A96" s="51">
        <f>'A) Base RI'!A97</f>
        <v>5552</v>
      </c>
      <c r="B96" s="484" t="str">
        <f>'A) Base RI'!B97</f>
        <v>Bullet</v>
      </c>
      <c r="C96" s="493">
        <v>323372.16718541773</v>
      </c>
      <c r="D96" s="487">
        <v>-4976.8424975384842</v>
      </c>
      <c r="E96" s="493">
        <v>0</v>
      </c>
      <c r="F96" s="487">
        <v>0</v>
      </c>
      <c r="G96" s="493">
        <v>0</v>
      </c>
      <c r="H96" s="487">
        <v>318395.32468787924</v>
      </c>
      <c r="I96" s="159">
        <v>15735.537571428569</v>
      </c>
      <c r="J96" s="490">
        <f>'B) D RI'!U97</f>
        <v>17961.232428571428</v>
      </c>
      <c r="K96" s="68">
        <f t="shared" si="13"/>
        <v>20.234156173094338</v>
      </c>
      <c r="L96" s="35">
        <f>'B) D RI'!S97</f>
        <v>70</v>
      </c>
      <c r="M96" s="35">
        <f t="shared" si="8"/>
        <v>49.765843826905666</v>
      </c>
      <c r="N96" s="35">
        <f>'J) Plafonnement effort'!G95+'J) Plafonnement effort'!H95-'K) Plafonnement aide'!I95</f>
        <v>10.643701853281151</v>
      </c>
      <c r="O96" s="133">
        <f t="shared" si="9"/>
        <v>60.409545680186817</v>
      </c>
      <c r="P96" s="49">
        <f t="shared" si="10"/>
        <v>0</v>
      </c>
      <c r="Q96" s="59">
        <f t="shared" si="14"/>
        <v>0</v>
      </c>
      <c r="R96" s="154">
        <f t="shared" si="11"/>
        <v>60.409545680186817</v>
      </c>
      <c r="S96" s="133">
        <f t="shared" si="12"/>
        <v>-9.5904543198131833</v>
      </c>
      <c r="T96" s="153">
        <f t="shared" si="15"/>
        <v>0</v>
      </c>
      <c r="V96" s="13"/>
    </row>
    <row r="97" spans="1:22" x14ac:dyDescent="0.25">
      <c r="A97" s="51">
        <f>'A) Base RI'!A98</f>
        <v>5553</v>
      </c>
      <c r="B97" s="484" t="str">
        <f>'A) Base RI'!B98</f>
        <v>Champagne</v>
      </c>
      <c r="C97" s="493">
        <v>653508.84100566665</v>
      </c>
      <c r="D97" s="487">
        <v>322396.13807739853</v>
      </c>
      <c r="E97" s="493">
        <v>0</v>
      </c>
      <c r="F97" s="487">
        <v>0</v>
      </c>
      <c r="G97" s="493">
        <v>0</v>
      </c>
      <c r="H97" s="487">
        <v>975904.97908306518</v>
      </c>
      <c r="I97" s="159">
        <v>33369.783650793652</v>
      </c>
      <c r="J97" s="490">
        <f>'B) D RI'!U98</f>
        <v>34503.509846153851</v>
      </c>
      <c r="K97" s="68">
        <f t="shared" si="13"/>
        <v>29.245169501117058</v>
      </c>
      <c r="L97" s="35">
        <f>'B) D RI'!S98</f>
        <v>65</v>
      </c>
      <c r="M97" s="35">
        <f t="shared" si="8"/>
        <v>35.754830498882939</v>
      </c>
      <c r="N97" s="35">
        <f>'J) Plafonnement effort'!G96+'J) Plafonnement effort'!H96-'K) Plafonnement aide'!I96</f>
        <v>20.918043392527736</v>
      </c>
      <c r="O97" s="133">
        <f t="shared" si="9"/>
        <v>56.672873891410674</v>
      </c>
      <c r="P97" s="49">
        <f t="shared" si="10"/>
        <v>0</v>
      </c>
      <c r="Q97" s="59">
        <f t="shared" si="14"/>
        <v>0</v>
      </c>
      <c r="R97" s="154">
        <f t="shared" si="11"/>
        <v>56.672873891410674</v>
      </c>
      <c r="S97" s="133">
        <f t="shared" si="12"/>
        <v>-8.3271261085893258</v>
      </c>
      <c r="T97" s="153">
        <f t="shared" si="15"/>
        <v>0</v>
      </c>
      <c r="V97" s="13"/>
    </row>
    <row r="98" spans="1:22" x14ac:dyDescent="0.25">
      <c r="A98" s="51">
        <f>'A) Base RI'!A99</f>
        <v>5554</v>
      </c>
      <c r="B98" s="484" t="str">
        <f>'A) Base RI'!B99</f>
        <v>Concise</v>
      </c>
      <c r="C98" s="493">
        <v>502053.16020774131</v>
      </c>
      <c r="D98" s="487">
        <v>143329.58550371107</v>
      </c>
      <c r="E98" s="493">
        <v>0</v>
      </c>
      <c r="F98" s="487">
        <v>0</v>
      </c>
      <c r="G98" s="493">
        <v>0</v>
      </c>
      <c r="H98" s="487">
        <v>645382.74571145233</v>
      </c>
      <c r="I98" s="159">
        <v>28986.7088</v>
      </c>
      <c r="J98" s="490">
        <f>'B) D RI'!U99</f>
        <v>31707.482800000005</v>
      </c>
      <c r="K98" s="68">
        <f t="shared" si="13"/>
        <v>22.264781771687453</v>
      </c>
      <c r="L98" s="35">
        <f>'B) D RI'!S99</f>
        <v>75</v>
      </c>
      <c r="M98" s="35">
        <f t="shared" si="8"/>
        <v>52.735218228312547</v>
      </c>
      <c r="N98" s="35">
        <f>'J) Plafonnement effort'!G97+'J) Plafonnement effort'!H97-'K) Plafonnement aide'!I97</f>
        <v>19.551248826333371</v>
      </c>
      <c r="O98" s="133">
        <f t="shared" si="9"/>
        <v>72.286467054645925</v>
      </c>
      <c r="P98" s="49">
        <f t="shared" si="10"/>
        <v>0</v>
      </c>
      <c r="Q98" s="59">
        <f t="shared" si="14"/>
        <v>0</v>
      </c>
      <c r="R98" s="154">
        <f t="shared" si="11"/>
        <v>72.286467054645925</v>
      </c>
      <c r="S98" s="133">
        <f t="shared" si="12"/>
        <v>-2.7135329453540749</v>
      </c>
      <c r="T98" s="153">
        <f t="shared" si="15"/>
        <v>0</v>
      </c>
      <c r="V98" s="13"/>
    </row>
    <row r="99" spans="1:22" x14ac:dyDescent="0.25">
      <c r="A99" s="51">
        <f>'A) Base RI'!A100</f>
        <v>5555</v>
      </c>
      <c r="B99" s="484" t="str">
        <f>'A) Base RI'!B100</f>
        <v>Corcelles-près-Concise</v>
      </c>
      <c r="C99" s="493">
        <v>203259.73240392149</v>
      </c>
      <c r="D99" s="487">
        <v>53269.939986362646</v>
      </c>
      <c r="E99" s="493">
        <v>0</v>
      </c>
      <c r="F99" s="487">
        <v>0</v>
      </c>
      <c r="G99" s="493">
        <v>0</v>
      </c>
      <c r="H99" s="487">
        <v>256529.67239028413</v>
      </c>
      <c r="I99" s="159">
        <v>11040.372394366199</v>
      </c>
      <c r="J99" s="490">
        <f>'B) D RI'!U100</f>
        <v>13647.491690140843</v>
      </c>
      <c r="K99" s="68">
        <f t="shared" si="13"/>
        <v>23.235599599990746</v>
      </c>
      <c r="L99" s="35">
        <f>'B) D RI'!S100</f>
        <v>71</v>
      </c>
      <c r="M99" s="35">
        <f t="shared" si="8"/>
        <v>47.764400400009251</v>
      </c>
      <c r="N99" s="35">
        <f>'J) Plafonnement effort'!G98+'J) Plafonnement effort'!H98-'K) Plafonnement aide'!I98</f>
        <v>23.435116230069283</v>
      </c>
      <c r="O99" s="133">
        <f t="shared" si="9"/>
        <v>71.199516630078534</v>
      </c>
      <c r="P99" s="49">
        <f t="shared" si="10"/>
        <v>0</v>
      </c>
      <c r="Q99" s="59">
        <f t="shared" si="14"/>
        <v>0</v>
      </c>
      <c r="R99" s="154">
        <f t="shared" si="11"/>
        <v>71.199516630078534</v>
      </c>
      <c r="S99" s="133">
        <f t="shared" si="12"/>
        <v>0.19951663007853426</v>
      </c>
      <c r="T99" s="153">
        <f t="shared" si="15"/>
        <v>0</v>
      </c>
      <c r="V99" s="13"/>
    </row>
    <row r="100" spans="1:22" x14ac:dyDescent="0.25">
      <c r="A100" s="51">
        <f>'A) Base RI'!A101</f>
        <v>5556</v>
      </c>
      <c r="B100" s="484" t="str">
        <f>'A) Base RI'!B101</f>
        <v>Fiez</v>
      </c>
      <c r="C100" s="493">
        <v>207831.82045070457</v>
      </c>
      <c r="D100" s="487">
        <v>68449.91217691591</v>
      </c>
      <c r="E100" s="493">
        <v>0</v>
      </c>
      <c r="F100" s="487">
        <v>0</v>
      </c>
      <c r="G100" s="493">
        <v>0</v>
      </c>
      <c r="H100" s="487">
        <v>276281.73262762045</v>
      </c>
      <c r="I100" s="159">
        <v>12472.754202898552</v>
      </c>
      <c r="J100" s="490">
        <f>'B) D RI'!U101</f>
        <v>12912.419806763286</v>
      </c>
      <c r="K100" s="68">
        <f t="shared" si="13"/>
        <v>22.150819949888465</v>
      </c>
      <c r="L100" s="35">
        <f>'B) D RI'!S101</f>
        <v>69</v>
      </c>
      <c r="M100" s="35">
        <f t="shared" si="8"/>
        <v>46.849180050111535</v>
      </c>
      <c r="N100" s="35">
        <f>'J) Plafonnement effort'!G99+'J) Plafonnement effort'!H99-'K) Plafonnement aide'!I99</f>
        <v>30.738775336581099</v>
      </c>
      <c r="O100" s="133">
        <f t="shared" si="9"/>
        <v>77.587955386692641</v>
      </c>
      <c r="P100" s="49">
        <f t="shared" si="10"/>
        <v>0</v>
      </c>
      <c r="Q100" s="59">
        <f t="shared" si="14"/>
        <v>0</v>
      </c>
      <c r="R100" s="154">
        <f t="shared" si="11"/>
        <v>77.587955386692641</v>
      </c>
      <c r="S100" s="133">
        <f t="shared" si="12"/>
        <v>8.5879553866926415</v>
      </c>
      <c r="T100" s="153">
        <f t="shared" si="15"/>
        <v>0</v>
      </c>
      <c r="V100" s="13"/>
    </row>
    <row r="101" spans="1:22" x14ac:dyDescent="0.25">
      <c r="A101" s="51">
        <f>'A) Base RI'!A102</f>
        <v>5557</v>
      </c>
      <c r="B101" s="484" t="str">
        <f>'A) Base RI'!B102</f>
        <v>Fontaines-sur-Grandson</v>
      </c>
      <c r="C101" s="493">
        <v>76680.734135617327</v>
      </c>
      <c r="D101" s="487">
        <v>-36037.122752782991</v>
      </c>
      <c r="E101" s="493">
        <v>0</v>
      </c>
      <c r="F101" s="487">
        <v>0</v>
      </c>
      <c r="G101" s="493">
        <v>0</v>
      </c>
      <c r="H101" s="487">
        <v>40643.611382834337</v>
      </c>
      <c r="I101" s="159">
        <v>4030.2872463768117</v>
      </c>
      <c r="J101" s="490">
        <f>'B) D RI'!U102</f>
        <v>4472.1762318840592</v>
      </c>
      <c r="K101" s="68">
        <f t="shared" si="13"/>
        <v>10.084544574179555</v>
      </c>
      <c r="L101" s="35">
        <f>'B) D RI'!S102</f>
        <v>69</v>
      </c>
      <c r="M101" s="35">
        <f t="shared" si="8"/>
        <v>58.915455425820447</v>
      </c>
      <c r="N101" s="35">
        <f>'J) Plafonnement effort'!G100+'J) Plafonnement effort'!H100-'K) Plafonnement aide'!I100</f>
        <v>3.3436981771218601</v>
      </c>
      <c r="O101" s="133">
        <f t="shared" si="9"/>
        <v>62.259153602942305</v>
      </c>
      <c r="P101" s="49">
        <f t="shared" si="10"/>
        <v>0</v>
      </c>
      <c r="Q101" s="59">
        <f t="shared" si="14"/>
        <v>0</v>
      </c>
      <c r="R101" s="154">
        <f t="shared" si="11"/>
        <v>62.259153602942305</v>
      </c>
      <c r="S101" s="133">
        <f t="shared" si="12"/>
        <v>-6.7408463970576946</v>
      </c>
      <c r="T101" s="153">
        <f t="shared" si="15"/>
        <v>0</v>
      </c>
      <c r="V101" s="13"/>
    </row>
    <row r="102" spans="1:22" x14ac:dyDescent="0.25">
      <c r="A102" s="51">
        <f>'A) Base RI'!A103</f>
        <v>5559</v>
      </c>
      <c r="B102" s="484" t="str">
        <f>'A) Base RI'!B103</f>
        <v>Giez</v>
      </c>
      <c r="C102" s="493">
        <v>433746.4261541235</v>
      </c>
      <c r="D102" s="487">
        <v>296608.62528361665</v>
      </c>
      <c r="E102" s="493">
        <v>0</v>
      </c>
      <c r="F102" s="487">
        <v>0</v>
      </c>
      <c r="G102" s="493">
        <v>0</v>
      </c>
      <c r="H102" s="487">
        <v>730355.05143774021</v>
      </c>
      <c r="I102" s="159">
        <v>18149.138484848489</v>
      </c>
      <c r="J102" s="490">
        <f>'B) D RI'!U103</f>
        <v>14390.805000000002</v>
      </c>
      <c r="K102" s="68">
        <f t="shared" si="13"/>
        <v>40.241857873720299</v>
      </c>
      <c r="L102" s="35">
        <f>'B) D RI'!S103</f>
        <v>66</v>
      </c>
      <c r="M102" s="35">
        <f t="shared" si="8"/>
        <v>25.758142126279701</v>
      </c>
      <c r="N102" s="35">
        <f>'J) Plafonnement effort'!G101+'J) Plafonnement effort'!H101-'K) Plafonnement aide'!I101</f>
        <v>25.868532405806434</v>
      </c>
      <c r="O102" s="133">
        <f t="shared" si="9"/>
        <v>51.626674532086135</v>
      </c>
      <c r="P102" s="49">
        <f t="shared" si="10"/>
        <v>0</v>
      </c>
      <c r="Q102" s="59">
        <f t="shared" si="14"/>
        <v>0</v>
      </c>
      <c r="R102" s="154">
        <f t="shared" si="11"/>
        <v>51.626674532086135</v>
      </c>
      <c r="S102" s="133">
        <f t="shared" si="12"/>
        <v>-14.373325467913865</v>
      </c>
      <c r="T102" s="153">
        <f t="shared" si="15"/>
        <v>0</v>
      </c>
      <c r="V102" s="13"/>
    </row>
    <row r="103" spans="1:22" x14ac:dyDescent="0.25">
      <c r="A103" s="51">
        <f>'A) Base RI'!A104</f>
        <v>5560</v>
      </c>
      <c r="B103" s="484" t="str">
        <f>'A) Base RI'!B104</f>
        <v>Grandevent</v>
      </c>
      <c r="C103" s="493">
        <v>100472.61183010944</v>
      </c>
      <c r="D103" s="487">
        <v>26853.267775875953</v>
      </c>
      <c r="E103" s="493">
        <v>0</v>
      </c>
      <c r="F103" s="487">
        <v>0</v>
      </c>
      <c r="G103" s="493">
        <v>0</v>
      </c>
      <c r="H103" s="487">
        <v>127325.87960598539</v>
      </c>
      <c r="I103" s="159">
        <v>6446.6273529411765</v>
      </c>
      <c r="J103" s="490">
        <f>'B) D RI'!U104</f>
        <v>6268.2104411764703</v>
      </c>
      <c r="K103" s="68">
        <f t="shared" si="13"/>
        <v>19.750773952816566</v>
      </c>
      <c r="L103" s="35">
        <f>'B) D RI'!S104</f>
        <v>68</v>
      </c>
      <c r="M103" s="35">
        <f t="shared" si="8"/>
        <v>48.249226047183434</v>
      </c>
      <c r="N103" s="35">
        <f>'J) Plafonnement effort'!G102+'J) Plafonnement effort'!H102-'K) Plafonnement aide'!I102</f>
        <v>17.545281294188591</v>
      </c>
      <c r="O103" s="133">
        <f t="shared" si="9"/>
        <v>65.794507341372025</v>
      </c>
      <c r="P103" s="49">
        <f t="shared" si="10"/>
        <v>0</v>
      </c>
      <c r="Q103" s="59">
        <f t="shared" si="14"/>
        <v>0</v>
      </c>
      <c r="R103" s="154">
        <f t="shared" si="11"/>
        <v>65.794507341372025</v>
      </c>
      <c r="S103" s="133">
        <f t="shared" si="12"/>
        <v>-2.2054926586279748</v>
      </c>
      <c r="T103" s="153">
        <f t="shared" si="15"/>
        <v>0</v>
      </c>
      <c r="V103" s="13"/>
    </row>
    <row r="104" spans="1:22" x14ac:dyDescent="0.25">
      <c r="A104" s="51">
        <f>'A) Base RI'!A105</f>
        <v>5561</v>
      </c>
      <c r="B104" s="484" t="str">
        <f>'A) Base RI'!B105</f>
        <v>Grandson</v>
      </c>
      <c r="C104" s="493">
        <v>2130045.2847449514</v>
      </c>
      <c r="D104" s="487">
        <v>606178.67284437502</v>
      </c>
      <c r="E104" s="493">
        <v>0</v>
      </c>
      <c r="F104" s="487">
        <v>0</v>
      </c>
      <c r="G104" s="493">
        <v>0</v>
      </c>
      <c r="H104" s="487">
        <v>2736223.9575893264</v>
      </c>
      <c r="I104" s="159">
        <v>115170.40130434782</v>
      </c>
      <c r="J104" s="490">
        <f>'B) D RI'!U105</f>
        <v>116951.12594202899</v>
      </c>
      <c r="K104" s="68">
        <f t="shared" si="13"/>
        <v>23.758048305819621</v>
      </c>
      <c r="L104" s="35">
        <f>'B) D RI'!S105</f>
        <v>69</v>
      </c>
      <c r="M104" s="35">
        <f t="shared" si="8"/>
        <v>45.241951694180379</v>
      </c>
      <c r="N104" s="35">
        <f>'J) Plafonnement effort'!G103+'J) Plafonnement effort'!H103-'K) Plafonnement aide'!I103</f>
        <v>15.867928718446635</v>
      </c>
      <c r="O104" s="133">
        <f t="shared" si="9"/>
        <v>61.109880412627014</v>
      </c>
      <c r="P104" s="49">
        <f t="shared" si="10"/>
        <v>0</v>
      </c>
      <c r="Q104" s="59">
        <f t="shared" si="14"/>
        <v>0</v>
      </c>
      <c r="R104" s="154">
        <f t="shared" si="11"/>
        <v>61.109880412627014</v>
      </c>
      <c r="S104" s="133">
        <f t="shared" si="12"/>
        <v>-7.8901195873729861</v>
      </c>
      <c r="T104" s="153">
        <f t="shared" si="15"/>
        <v>0</v>
      </c>
      <c r="V104" s="13"/>
    </row>
    <row r="105" spans="1:22" x14ac:dyDescent="0.25">
      <c r="A105" s="51">
        <f>'A) Base RI'!A106</f>
        <v>5562</v>
      </c>
      <c r="B105" s="484" t="str">
        <f>'A) Base RI'!B106</f>
        <v>Mauborget</v>
      </c>
      <c r="C105" s="493">
        <v>61733.751425373994</v>
      </c>
      <c r="D105" s="487">
        <v>21358.885791821202</v>
      </c>
      <c r="E105" s="493">
        <v>0</v>
      </c>
      <c r="F105" s="487">
        <v>0</v>
      </c>
      <c r="G105" s="493">
        <v>0</v>
      </c>
      <c r="H105" s="487">
        <v>83092.637217195195</v>
      </c>
      <c r="I105" s="159">
        <v>3662.5545714285713</v>
      </c>
      <c r="J105" s="490">
        <f>'B) D RI'!U106</f>
        <v>5914.7906428571432</v>
      </c>
      <c r="K105" s="68">
        <f t="shared" si="13"/>
        <v>22.687071440627054</v>
      </c>
      <c r="L105" s="35">
        <f>'B) D RI'!S106</f>
        <v>70</v>
      </c>
      <c r="M105" s="35">
        <f t="shared" si="8"/>
        <v>47.312928559372949</v>
      </c>
      <c r="N105" s="35">
        <f>'J) Plafonnement effort'!G104+'J) Plafonnement effort'!H104-'K) Plafonnement aide'!I104</f>
        <v>30.994004970467394</v>
      </c>
      <c r="O105" s="133">
        <f t="shared" si="9"/>
        <v>78.306933529840336</v>
      </c>
      <c r="P105" s="49">
        <f t="shared" si="10"/>
        <v>0</v>
      </c>
      <c r="Q105" s="59">
        <f t="shared" si="14"/>
        <v>0</v>
      </c>
      <c r="R105" s="154">
        <f t="shared" si="11"/>
        <v>78.306933529840336</v>
      </c>
      <c r="S105" s="133">
        <f t="shared" si="12"/>
        <v>8.306933529840336</v>
      </c>
      <c r="T105" s="153">
        <f t="shared" si="15"/>
        <v>0</v>
      </c>
      <c r="V105" s="13"/>
    </row>
    <row r="106" spans="1:22" x14ac:dyDescent="0.25">
      <c r="A106" s="51">
        <f>'A) Base RI'!A107</f>
        <v>5563</v>
      </c>
      <c r="B106" s="484" t="str">
        <f>'A) Base RI'!B107</f>
        <v>Mutrux</v>
      </c>
      <c r="C106" s="493">
        <v>76108.817277359136</v>
      </c>
      <c r="D106" s="487">
        <v>-7266.0655563485925</v>
      </c>
      <c r="E106" s="493">
        <v>0</v>
      </c>
      <c r="F106" s="487">
        <v>0</v>
      </c>
      <c r="G106" s="493">
        <v>0</v>
      </c>
      <c r="H106" s="487">
        <v>68842.751721010543</v>
      </c>
      <c r="I106" s="159">
        <v>4275.1686624203812</v>
      </c>
      <c r="J106" s="490">
        <f>'B) D RI'!U107</f>
        <v>3113.0356687898088</v>
      </c>
      <c r="K106" s="68">
        <f t="shared" si="13"/>
        <v>16.102932341863514</v>
      </c>
      <c r="L106" s="35">
        <f>'B) D RI'!S107</f>
        <v>78.5</v>
      </c>
      <c r="M106" s="35">
        <f t="shared" si="8"/>
        <v>62.397067658136486</v>
      </c>
      <c r="N106" s="35">
        <f>'J) Plafonnement effort'!G105+'J) Plafonnement effort'!H105-'K) Plafonnement aide'!I105</f>
        <v>-13.528382744029955</v>
      </c>
      <c r="O106" s="133">
        <f t="shared" si="9"/>
        <v>48.868684914106531</v>
      </c>
      <c r="P106" s="49">
        <f t="shared" si="10"/>
        <v>0</v>
      </c>
      <c r="Q106" s="59">
        <f t="shared" si="14"/>
        <v>0</v>
      </c>
      <c r="R106" s="154">
        <f t="shared" si="11"/>
        <v>48.868684914106531</v>
      </c>
      <c r="S106" s="133">
        <f t="shared" si="12"/>
        <v>-29.631315085893469</v>
      </c>
      <c r="T106" s="153">
        <f t="shared" si="15"/>
        <v>0</v>
      </c>
      <c r="V106" s="13"/>
    </row>
    <row r="107" spans="1:22" x14ac:dyDescent="0.25">
      <c r="A107" s="51">
        <f>'A) Base RI'!A108</f>
        <v>5564</v>
      </c>
      <c r="B107" s="484" t="str">
        <f>'A) Base RI'!B108</f>
        <v>Novalles</v>
      </c>
      <c r="C107" s="493">
        <v>45222.974188640379</v>
      </c>
      <c r="D107" s="487">
        <v>-26854.549637302262</v>
      </c>
      <c r="E107" s="493">
        <v>0</v>
      </c>
      <c r="F107" s="487">
        <v>0</v>
      </c>
      <c r="G107" s="493">
        <v>0</v>
      </c>
      <c r="H107" s="487">
        <v>18368.424551338117</v>
      </c>
      <c r="I107" s="159">
        <v>2063.0078618421053</v>
      </c>
      <c r="J107" s="490">
        <f>'B) D RI'!U108</f>
        <v>2626.7922039473683</v>
      </c>
      <c r="K107" s="68">
        <f t="shared" si="13"/>
        <v>8.9037103983387365</v>
      </c>
      <c r="L107" s="35">
        <f>'B) D RI'!S108</f>
        <v>76</v>
      </c>
      <c r="M107" s="35">
        <f t="shared" si="8"/>
        <v>67.096289601661269</v>
      </c>
      <c r="N107" s="35">
        <f>'J) Plafonnement effort'!G106+'J) Plafonnement effort'!H106-'K) Plafonnement aide'!I106</f>
        <v>12.229917708764189</v>
      </c>
      <c r="O107" s="133">
        <f t="shared" si="9"/>
        <v>79.32620731042546</v>
      </c>
      <c r="P107" s="49">
        <f t="shared" si="10"/>
        <v>0</v>
      </c>
      <c r="Q107" s="59">
        <f t="shared" si="14"/>
        <v>0</v>
      </c>
      <c r="R107" s="154">
        <f t="shared" si="11"/>
        <v>79.32620731042546</v>
      </c>
      <c r="S107" s="133">
        <f t="shared" si="12"/>
        <v>3.3262073104254597</v>
      </c>
      <c r="T107" s="153">
        <f t="shared" si="15"/>
        <v>0</v>
      </c>
      <c r="V107" s="13"/>
    </row>
    <row r="108" spans="1:22" x14ac:dyDescent="0.25">
      <c r="A108" s="51">
        <f>'A) Base RI'!A109</f>
        <v>5565</v>
      </c>
      <c r="B108" s="484" t="str">
        <f>'A) Base RI'!B109</f>
        <v>Onnens</v>
      </c>
      <c r="C108" s="493">
        <v>280196.99992122973</v>
      </c>
      <c r="D108" s="487">
        <v>212981.03877158332</v>
      </c>
      <c r="E108" s="493">
        <v>0</v>
      </c>
      <c r="F108" s="487">
        <v>0</v>
      </c>
      <c r="G108" s="493">
        <v>0</v>
      </c>
      <c r="H108" s="487">
        <v>493178.03869281302</v>
      </c>
      <c r="I108" s="159">
        <v>17902.806410256413</v>
      </c>
      <c r="J108" s="490">
        <f>'B) D RI'!U109</f>
        <v>19016.562615384613</v>
      </c>
      <c r="K108" s="68">
        <f t="shared" si="13"/>
        <v>27.547526761517915</v>
      </c>
      <c r="L108" s="35">
        <f>'B) D RI'!S109</f>
        <v>65</v>
      </c>
      <c r="M108" s="35">
        <f t="shared" si="8"/>
        <v>37.452473238482085</v>
      </c>
      <c r="N108" s="35">
        <f>'J) Plafonnement effort'!G107+'J) Plafonnement effort'!H107-'K) Plafonnement aide'!I107</f>
        <v>29.250994706011411</v>
      </c>
      <c r="O108" s="133">
        <f t="shared" si="9"/>
        <v>66.703467944493497</v>
      </c>
      <c r="P108" s="49">
        <f t="shared" si="10"/>
        <v>0</v>
      </c>
      <c r="Q108" s="59">
        <f t="shared" si="14"/>
        <v>0</v>
      </c>
      <c r="R108" s="154">
        <f t="shared" si="11"/>
        <v>66.703467944493497</v>
      </c>
      <c r="S108" s="133">
        <f t="shared" si="12"/>
        <v>1.7034679444934966</v>
      </c>
      <c r="T108" s="153">
        <f t="shared" si="15"/>
        <v>0</v>
      </c>
      <c r="V108" s="13"/>
    </row>
    <row r="109" spans="1:22" x14ac:dyDescent="0.25">
      <c r="A109" s="51">
        <f>'A) Base RI'!A110</f>
        <v>5566</v>
      </c>
      <c r="B109" s="484" t="str">
        <f>'A) Base RI'!B110</f>
        <v>Provence</v>
      </c>
      <c r="C109" s="493">
        <v>173945.73456972721</v>
      </c>
      <c r="D109" s="487">
        <v>-104040.09941466263</v>
      </c>
      <c r="E109" s="493">
        <v>0</v>
      </c>
      <c r="F109" s="487">
        <v>0</v>
      </c>
      <c r="G109" s="493">
        <v>0</v>
      </c>
      <c r="H109" s="487">
        <v>69905.635155064578</v>
      </c>
      <c r="I109" s="159">
        <v>8605.0976954732487</v>
      </c>
      <c r="J109" s="490">
        <f>'B) D RI'!U110</f>
        <v>7944.5948559670787</v>
      </c>
      <c r="K109" s="68">
        <f t="shared" si="13"/>
        <v>8.1237468334425493</v>
      </c>
      <c r="L109" s="35">
        <f>'B) D RI'!S110</f>
        <v>81</v>
      </c>
      <c r="M109" s="35">
        <f t="shared" si="8"/>
        <v>72.876253166557447</v>
      </c>
      <c r="N109" s="35">
        <f>'J) Plafonnement effort'!G108+'J) Plafonnement effort'!H108-'K) Plafonnement aide'!I108</f>
        <v>-25.024984140066124</v>
      </c>
      <c r="O109" s="133">
        <f t="shared" si="9"/>
        <v>47.851269026491323</v>
      </c>
      <c r="P109" s="49">
        <f t="shared" si="10"/>
        <v>0</v>
      </c>
      <c r="Q109" s="59">
        <f t="shared" si="14"/>
        <v>0</v>
      </c>
      <c r="R109" s="154">
        <f t="shared" si="11"/>
        <v>47.851269026491323</v>
      </c>
      <c r="S109" s="133">
        <f t="shared" si="12"/>
        <v>-33.148730973508677</v>
      </c>
      <c r="T109" s="153">
        <f t="shared" si="15"/>
        <v>0</v>
      </c>
      <c r="V109" s="13"/>
    </row>
    <row r="110" spans="1:22" x14ac:dyDescent="0.25">
      <c r="A110" s="51">
        <f>'A) Base RI'!A111</f>
        <v>5568</v>
      </c>
      <c r="B110" s="484" t="str">
        <f>'A) Base RI'!B111</f>
        <v>Sainte-Croix</v>
      </c>
      <c r="C110" s="493">
        <v>2289364.9719642568</v>
      </c>
      <c r="D110" s="487">
        <v>-2219711.6106971907</v>
      </c>
      <c r="E110" s="493">
        <v>0</v>
      </c>
      <c r="F110" s="487">
        <v>0</v>
      </c>
      <c r="G110" s="493">
        <v>0</v>
      </c>
      <c r="H110" s="487">
        <v>69653.361267066095</v>
      </c>
      <c r="I110" s="159">
        <v>96229.339714285714</v>
      </c>
      <c r="J110" s="490">
        <f>'B) D RI'!U111</f>
        <v>100789.16114285712</v>
      </c>
      <c r="K110" s="68">
        <f t="shared" si="13"/>
        <v>0.72382665696214599</v>
      </c>
      <c r="L110" s="35">
        <f>'B) D RI'!S111</f>
        <v>70</v>
      </c>
      <c r="M110" s="35">
        <f t="shared" si="8"/>
        <v>69.276173343037854</v>
      </c>
      <c r="N110" s="35">
        <f>'J) Plafonnement effort'!G109+'J) Plafonnement effort'!H109-'K) Plafonnement aide'!I109</f>
        <v>-9.1925328899386933</v>
      </c>
      <c r="O110" s="133">
        <f t="shared" si="9"/>
        <v>60.083640453099164</v>
      </c>
      <c r="P110" s="49">
        <f t="shared" si="10"/>
        <v>0</v>
      </c>
      <c r="Q110" s="59">
        <f t="shared" si="14"/>
        <v>0</v>
      </c>
      <c r="R110" s="154">
        <f t="shared" si="11"/>
        <v>60.083640453099164</v>
      </c>
      <c r="S110" s="133">
        <f t="shared" si="12"/>
        <v>-9.9163595469008357</v>
      </c>
      <c r="T110" s="153">
        <f t="shared" si="15"/>
        <v>0</v>
      </c>
      <c r="V110" s="13"/>
    </row>
    <row r="111" spans="1:22" x14ac:dyDescent="0.25">
      <c r="A111" s="51">
        <f>'A) Base RI'!A112</f>
        <v>5571</v>
      </c>
      <c r="B111" s="484" t="str">
        <f>'A) Base RI'!B112</f>
        <v>Tévenon</v>
      </c>
      <c r="C111" s="493">
        <v>505579.61725337786</v>
      </c>
      <c r="D111" s="487">
        <v>14707.97067063814</v>
      </c>
      <c r="E111" s="493">
        <v>0</v>
      </c>
      <c r="F111" s="487">
        <v>0</v>
      </c>
      <c r="G111" s="493">
        <v>0</v>
      </c>
      <c r="H111" s="487">
        <v>520287.587924016</v>
      </c>
      <c r="I111" s="159">
        <v>20963.465799086756</v>
      </c>
      <c r="J111" s="490">
        <f>'B) D RI'!U112</f>
        <v>21355.706643835612</v>
      </c>
      <c r="K111" s="68">
        <f t="shared" si="13"/>
        <v>24.818777243726636</v>
      </c>
      <c r="L111" s="35">
        <f>'B) D RI'!S112</f>
        <v>73</v>
      </c>
      <c r="M111" s="35">
        <f t="shared" si="8"/>
        <v>48.181222756273364</v>
      </c>
      <c r="N111" s="35">
        <f>'J) Plafonnement effort'!G110+'J) Plafonnement effort'!H110-'K) Plafonnement aide'!I110</f>
        <v>7.7746150369615048</v>
      </c>
      <c r="O111" s="133">
        <f t="shared" si="9"/>
        <v>55.955837793234871</v>
      </c>
      <c r="P111" s="49">
        <f t="shared" si="10"/>
        <v>0</v>
      </c>
      <c r="Q111" s="59">
        <f t="shared" si="14"/>
        <v>0</v>
      </c>
      <c r="R111" s="154">
        <f t="shared" si="11"/>
        <v>55.955837793234871</v>
      </c>
      <c r="S111" s="133">
        <f t="shared" si="12"/>
        <v>-17.044162206765129</v>
      </c>
      <c r="T111" s="153">
        <f t="shared" si="15"/>
        <v>0</v>
      </c>
      <c r="V111" s="13"/>
    </row>
    <row r="112" spans="1:22" x14ac:dyDescent="0.25">
      <c r="A112" s="51">
        <f>'A) Base RI'!A113</f>
        <v>5581</v>
      </c>
      <c r="B112" s="484" t="str">
        <f>'A) Base RI'!B113</f>
        <v>Belmont-sur-Lausanne</v>
      </c>
      <c r="C112" s="493">
        <v>3066152.9387613223</v>
      </c>
      <c r="D112" s="487">
        <v>2404611.3963152943</v>
      </c>
      <c r="E112" s="493">
        <v>0</v>
      </c>
      <c r="F112" s="487">
        <v>0</v>
      </c>
      <c r="G112" s="493">
        <v>0</v>
      </c>
      <c r="H112" s="487">
        <v>5470764.3350766171</v>
      </c>
      <c r="I112" s="159">
        <v>187042.91923261393</v>
      </c>
      <c r="J112" s="490">
        <f>'B) D RI'!U113</f>
        <v>192798.41534772189</v>
      </c>
      <c r="K112" s="68">
        <f t="shared" si="13"/>
        <v>29.248711245107117</v>
      </c>
      <c r="L112" s="35">
        <f>'B) D RI'!S113</f>
        <v>69.5</v>
      </c>
      <c r="M112" s="35">
        <f t="shared" si="8"/>
        <v>40.251288754892883</v>
      </c>
      <c r="N112" s="35">
        <f>'J) Plafonnement effort'!G111+'J) Plafonnement effort'!H111-'K) Plafonnement aide'!I111</f>
        <v>28.294905675752517</v>
      </c>
      <c r="O112" s="133">
        <f t="shared" si="9"/>
        <v>68.5461944306454</v>
      </c>
      <c r="P112" s="49">
        <f t="shared" si="10"/>
        <v>0</v>
      </c>
      <c r="Q112" s="59">
        <f t="shared" si="14"/>
        <v>0</v>
      </c>
      <c r="R112" s="154">
        <f t="shared" si="11"/>
        <v>68.5461944306454</v>
      </c>
      <c r="S112" s="133">
        <f t="shared" si="12"/>
        <v>-0.95380556935459992</v>
      </c>
      <c r="T112" s="153">
        <f t="shared" si="15"/>
        <v>0</v>
      </c>
      <c r="V112" s="13"/>
    </row>
    <row r="113" spans="1:22" x14ac:dyDescent="0.25">
      <c r="A113" s="51">
        <f>'A) Base RI'!A114</f>
        <v>5582</v>
      </c>
      <c r="B113" s="484" t="str">
        <f>'A) Base RI'!B114</f>
        <v>Cheseaux-sur-Lausanne</v>
      </c>
      <c r="C113" s="493">
        <v>3436447.2175521576</v>
      </c>
      <c r="D113" s="487">
        <v>2326231.0251927385</v>
      </c>
      <c r="E113" s="493">
        <v>0</v>
      </c>
      <c r="F113" s="487">
        <v>0</v>
      </c>
      <c r="G113" s="493">
        <v>0</v>
      </c>
      <c r="H113" s="487">
        <v>5762678.2427448966</v>
      </c>
      <c r="I113" s="159">
        <v>203617.184295302</v>
      </c>
      <c r="J113" s="490">
        <f>'B) D RI'!U114</f>
        <v>181145.82187919464</v>
      </c>
      <c r="K113" s="68">
        <f t="shared" si="13"/>
        <v>28.301531929581138</v>
      </c>
      <c r="L113" s="35">
        <f>'B) D RI'!S114</f>
        <v>74.5</v>
      </c>
      <c r="M113" s="35">
        <f t="shared" si="8"/>
        <v>46.198468070418862</v>
      </c>
      <c r="N113" s="35">
        <f>'J) Plafonnement effort'!G112+'J) Plafonnement effort'!H112-'K) Plafonnement aide'!I112</f>
        <v>22.728371351684192</v>
      </c>
      <c r="O113" s="133">
        <f t="shared" si="9"/>
        <v>68.926839422103058</v>
      </c>
      <c r="P113" s="49">
        <f t="shared" si="10"/>
        <v>0</v>
      </c>
      <c r="Q113" s="59">
        <f t="shared" si="14"/>
        <v>0</v>
      </c>
      <c r="R113" s="154">
        <f t="shared" si="11"/>
        <v>68.926839422103058</v>
      </c>
      <c r="S113" s="133">
        <f t="shared" si="12"/>
        <v>-5.5731605778969424</v>
      </c>
      <c r="T113" s="153">
        <f t="shared" si="15"/>
        <v>0</v>
      </c>
      <c r="V113" s="13"/>
    </row>
    <row r="114" spans="1:22" x14ac:dyDescent="0.25">
      <c r="A114" s="51">
        <f>'A) Base RI'!A115</f>
        <v>5583</v>
      </c>
      <c r="B114" s="484" t="str">
        <f>'A) Base RI'!B115</f>
        <v>Crissier</v>
      </c>
      <c r="C114" s="493">
        <v>5412402.4601610294</v>
      </c>
      <c r="D114" s="487">
        <v>2030097.6073900289</v>
      </c>
      <c r="E114" s="493">
        <v>0</v>
      </c>
      <c r="F114" s="487">
        <v>0</v>
      </c>
      <c r="G114" s="493">
        <v>0</v>
      </c>
      <c r="H114" s="487">
        <v>7442500.0675510578</v>
      </c>
      <c r="I114" s="159">
        <v>311741.22092307697</v>
      </c>
      <c r="J114" s="490">
        <f>'B) D RI'!U115</f>
        <v>315798.9015384615</v>
      </c>
      <c r="K114" s="68">
        <f t="shared" si="13"/>
        <v>23.8739684328994</v>
      </c>
      <c r="L114" s="35">
        <f>'B) D RI'!S115</f>
        <v>65</v>
      </c>
      <c r="M114" s="35">
        <f t="shared" si="8"/>
        <v>41.126031567100597</v>
      </c>
      <c r="N114" s="35">
        <f>'J) Plafonnement effort'!G113+'J) Plafonnement effort'!H113-'K) Plafonnement aide'!I113</f>
        <v>16.265337384606017</v>
      </c>
      <c r="O114" s="133">
        <f t="shared" si="9"/>
        <v>57.39136895170661</v>
      </c>
      <c r="P114" s="49">
        <f t="shared" si="10"/>
        <v>0</v>
      </c>
      <c r="Q114" s="59">
        <f t="shared" si="14"/>
        <v>0</v>
      </c>
      <c r="R114" s="154">
        <f t="shared" si="11"/>
        <v>57.39136895170661</v>
      </c>
      <c r="S114" s="133">
        <f t="shared" si="12"/>
        <v>-7.6086310482933897</v>
      </c>
      <c r="T114" s="153">
        <f t="shared" si="15"/>
        <v>0</v>
      </c>
      <c r="V114" s="13"/>
    </row>
    <row r="115" spans="1:22" x14ac:dyDescent="0.25">
      <c r="A115" s="51">
        <f>'A) Base RI'!A116</f>
        <v>5584</v>
      </c>
      <c r="B115" s="484" t="str">
        <f>'A) Base RI'!B116</f>
        <v>Epalinges</v>
      </c>
      <c r="C115" s="493">
        <v>8945706.7505870461</v>
      </c>
      <c r="D115" s="487">
        <v>4067561.2083194777</v>
      </c>
      <c r="E115" s="493">
        <v>0</v>
      </c>
      <c r="F115" s="487">
        <v>0</v>
      </c>
      <c r="G115" s="493">
        <v>0</v>
      </c>
      <c r="H115" s="487">
        <v>13013267.958906524</v>
      </c>
      <c r="I115" s="159">
        <v>455692.51</v>
      </c>
      <c r="J115" s="490">
        <f>'B) D RI'!U116</f>
        <v>424408.2359090909</v>
      </c>
      <c r="K115" s="68">
        <f t="shared" si="13"/>
        <v>28.557124976459505</v>
      </c>
      <c r="L115" s="35">
        <f>'B) D RI'!S116</f>
        <v>66</v>
      </c>
      <c r="M115" s="35">
        <f t="shared" ref="M115:M166" si="16">L115-K115</f>
        <v>37.442875023540495</v>
      </c>
      <c r="N115" s="35">
        <f>'J) Plafonnement effort'!G114+'J) Plafonnement effort'!H114-'K) Plafonnement aide'!I114</f>
        <v>18.575442396576818</v>
      </c>
      <c r="O115" s="133">
        <f t="shared" ref="O115:O166" si="17">M115+N115</f>
        <v>56.018317420117313</v>
      </c>
      <c r="P115" s="49">
        <f t="shared" ref="P115:P166" si="18">IF(O115&gt;$P$5,$P$5-O115,0)</f>
        <v>0</v>
      </c>
      <c r="Q115" s="59">
        <f t="shared" si="14"/>
        <v>0</v>
      </c>
      <c r="R115" s="154">
        <f t="shared" ref="R115:R166" si="19">O115+P115</f>
        <v>56.018317420117313</v>
      </c>
      <c r="S115" s="133">
        <f t="shared" ref="S115:S166" si="20">R115-L115</f>
        <v>-9.9816825798826869</v>
      </c>
      <c r="T115" s="153">
        <f t="shared" si="15"/>
        <v>0</v>
      </c>
      <c r="V115" s="13"/>
    </row>
    <row r="116" spans="1:22" x14ac:dyDescent="0.25">
      <c r="A116" s="51">
        <f>'A) Base RI'!A117</f>
        <v>5585</v>
      </c>
      <c r="B116" s="484" t="str">
        <f>'A) Base RI'!B117</f>
        <v>Jouxtens-Mézery</v>
      </c>
      <c r="C116" s="493">
        <v>5866842.8831952624</v>
      </c>
      <c r="D116" s="487">
        <v>2374917.5545980511</v>
      </c>
      <c r="E116" s="493">
        <v>0</v>
      </c>
      <c r="F116" s="487">
        <v>0</v>
      </c>
      <c r="G116" s="493">
        <v>0</v>
      </c>
      <c r="H116" s="487">
        <v>8241760.4377933135</v>
      </c>
      <c r="I116" s="159">
        <v>201546.16339622639</v>
      </c>
      <c r="J116" s="490">
        <f>'B) D RI'!U117</f>
        <v>171676.58132075472</v>
      </c>
      <c r="K116" s="68">
        <f t="shared" si="13"/>
        <v>40.892668453284124</v>
      </c>
      <c r="L116" s="35">
        <f>'B) D RI'!S117</f>
        <v>53</v>
      </c>
      <c r="M116" s="35">
        <f t="shared" si="16"/>
        <v>12.107331546715876</v>
      </c>
      <c r="N116" s="35">
        <f>'J) Plafonnement effort'!G115+'J) Plafonnement effort'!H115-'K) Plafonnement aide'!I115</f>
        <v>40.84975843588979</v>
      </c>
      <c r="O116" s="133">
        <f t="shared" si="17"/>
        <v>52.957089982605666</v>
      </c>
      <c r="P116" s="49">
        <f t="shared" si="18"/>
        <v>0</v>
      </c>
      <c r="Q116" s="59">
        <f t="shared" si="14"/>
        <v>0</v>
      </c>
      <c r="R116" s="154">
        <f t="shared" si="19"/>
        <v>52.957089982605666</v>
      </c>
      <c r="S116" s="133">
        <f t="shared" si="20"/>
        <v>-4.2910017394333977E-2</v>
      </c>
      <c r="T116" s="153">
        <f t="shared" si="15"/>
        <v>0</v>
      </c>
      <c r="V116" s="13"/>
    </row>
    <row r="117" spans="1:22" x14ac:dyDescent="0.25">
      <c r="A117" s="51">
        <f>'A) Base RI'!A118</f>
        <v>5586</v>
      </c>
      <c r="B117" s="484" t="str">
        <f>'A) Base RI'!B118</f>
        <v>Lausanne</v>
      </c>
      <c r="C117" s="493">
        <v>104785082.45929937</v>
      </c>
      <c r="D117" s="487">
        <v>-23208045.405927896</v>
      </c>
      <c r="E117" s="493">
        <v>0</v>
      </c>
      <c r="F117" s="487">
        <v>0</v>
      </c>
      <c r="G117" s="493">
        <v>0</v>
      </c>
      <c r="H117" s="487">
        <v>81577037.053371474</v>
      </c>
      <c r="I117" s="159">
        <v>6075429.3645991571</v>
      </c>
      <c r="J117" s="490">
        <f>'B) D RI'!U118</f>
        <v>6228304.1083544316</v>
      </c>
      <c r="K117" s="68">
        <f t="shared" ref="K117:K167" si="21">H117/I117</f>
        <v>13.427369846271555</v>
      </c>
      <c r="L117" s="35">
        <f>'B) D RI'!S118</f>
        <v>79</v>
      </c>
      <c r="M117" s="35">
        <f t="shared" si="16"/>
        <v>65.57263015372844</v>
      </c>
      <c r="N117" s="35">
        <f>'J) Plafonnement effort'!G116+'J) Plafonnement effort'!H116-'K) Plafonnement aide'!I116</f>
        <v>7.3239785344388588</v>
      </c>
      <c r="O117" s="133">
        <f t="shared" si="17"/>
        <v>72.896608688167305</v>
      </c>
      <c r="P117" s="49">
        <f t="shared" si="18"/>
        <v>0</v>
      </c>
      <c r="Q117" s="59">
        <f t="shared" si="14"/>
        <v>0</v>
      </c>
      <c r="R117" s="154">
        <f t="shared" si="19"/>
        <v>72.896608688167305</v>
      </c>
      <c r="S117" s="133">
        <f t="shared" si="20"/>
        <v>-6.103391311832695</v>
      </c>
      <c r="T117" s="153">
        <f t="shared" si="15"/>
        <v>0</v>
      </c>
      <c r="V117" s="13"/>
    </row>
    <row r="118" spans="1:22" x14ac:dyDescent="0.25">
      <c r="A118" s="51">
        <f>'A) Base RI'!A119</f>
        <v>5587</v>
      </c>
      <c r="B118" s="484" t="str">
        <f>'A) Base RI'!B119</f>
        <v>Le Mont-sur-Lausanne</v>
      </c>
      <c r="C118" s="493">
        <v>7161514.2582862731</v>
      </c>
      <c r="D118" s="487">
        <v>4192439.9735663934</v>
      </c>
      <c r="E118" s="493">
        <v>0</v>
      </c>
      <c r="F118" s="487">
        <v>0</v>
      </c>
      <c r="G118" s="493">
        <v>0</v>
      </c>
      <c r="H118" s="487">
        <v>11353954.231852666</v>
      </c>
      <c r="I118" s="159">
        <v>413343.80273333337</v>
      </c>
      <c r="J118" s="490">
        <f>'B) D RI'!U119</f>
        <v>419199.48633333331</v>
      </c>
      <c r="K118" s="68">
        <f t="shared" si="21"/>
        <v>27.468548353143234</v>
      </c>
      <c r="L118" s="35">
        <f>'B) D RI'!S119</f>
        <v>75</v>
      </c>
      <c r="M118" s="35">
        <f t="shared" si="16"/>
        <v>47.531451646856766</v>
      </c>
      <c r="N118" s="35">
        <f>'J) Plafonnement effort'!G117+'J) Plafonnement effort'!H117-'K) Plafonnement aide'!I117</f>
        <v>22.122646092445859</v>
      </c>
      <c r="O118" s="133">
        <f t="shared" si="17"/>
        <v>69.654097739302628</v>
      </c>
      <c r="P118" s="49">
        <f t="shared" si="18"/>
        <v>0</v>
      </c>
      <c r="Q118" s="59">
        <f t="shared" ref="Q118:Q167" si="22">P118*J118</f>
        <v>0</v>
      </c>
      <c r="R118" s="154">
        <f t="shared" si="19"/>
        <v>69.654097739302628</v>
      </c>
      <c r="S118" s="133">
        <f t="shared" si="20"/>
        <v>-5.3459022606973718</v>
      </c>
      <c r="T118" s="153">
        <f t="shared" si="15"/>
        <v>0</v>
      </c>
      <c r="V118" s="13"/>
    </row>
    <row r="119" spans="1:22" x14ac:dyDescent="0.25">
      <c r="A119" s="51">
        <f>'A) Base RI'!A120</f>
        <v>5588</v>
      </c>
      <c r="B119" s="484" t="str">
        <f>'A) Base RI'!B120</f>
        <v>Paudex</v>
      </c>
      <c r="C119" s="493">
        <v>4301496.733174446</v>
      </c>
      <c r="D119" s="487">
        <v>2043986.0070339909</v>
      </c>
      <c r="E119" s="493">
        <v>0</v>
      </c>
      <c r="F119" s="487">
        <v>0</v>
      </c>
      <c r="G119" s="493">
        <v>0</v>
      </c>
      <c r="H119" s="487">
        <v>6345482.7402084367</v>
      </c>
      <c r="I119" s="159">
        <v>160000.57716608592</v>
      </c>
      <c r="J119" s="490">
        <f>'B) D RI'!U120</f>
        <v>145215.51428571431</v>
      </c>
      <c r="K119" s="68">
        <f t="shared" si="21"/>
        <v>39.659124064418933</v>
      </c>
      <c r="L119" s="35">
        <f>'B) D RI'!S120</f>
        <v>61.5</v>
      </c>
      <c r="M119" s="35">
        <f t="shared" si="16"/>
        <v>21.840875935581067</v>
      </c>
      <c r="N119" s="35">
        <f>'J) Plafonnement effort'!G118+'J) Plafonnement effort'!H118-'K) Plafonnement aide'!I118</f>
        <v>39.361090026818815</v>
      </c>
      <c r="O119" s="133">
        <f t="shared" si="17"/>
        <v>61.201965962399882</v>
      </c>
      <c r="P119" s="49">
        <f t="shared" si="18"/>
        <v>0</v>
      </c>
      <c r="Q119" s="59">
        <f t="shared" si="22"/>
        <v>0</v>
      </c>
      <c r="R119" s="154">
        <f t="shared" si="19"/>
        <v>61.201965962399882</v>
      </c>
      <c r="S119" s="133">
        <f t="shared" si="20"/>
        <v>-0.29803403760011804</v>
      </c>
      <c r="T119" s="153">
        <f t="shared" si="15"/>
        <v>0</v>
      </c>
      <c r="V119" s="13"/>
    </row>
    <row r="120" spans="1:22" x14ac:dyDescent="0.25">
      <c r="A120" s="51">
        <f>'A) Base RI'!A121</f>
        <v>5589</v>
      </c>
      <c r="B120" s="484" t="str">
        <f>'A) Base RI'!B121</f>
        <v>Prilly</v>
      </c>
      <c r="C120" s="493">
        <v>8004548.6016607322</v>
      </c>
      <c r="D120" s="487">
        <v>-279927.00781867001</v>
      </c>
      <c r="E120" s="493">
        <v>0</v>
      </c>
      <c r="F120" s="487">
        <v>0</v>
      </c>
      <c r="G120" s="493">
        <v>0</v>
      </c>
      <c r="H120" s="487">
        <v>7724621.5938420622</v>
      </c>
      <c r="I120" s="159">
        <v>437574.2323809524</v>
      </c>
      <c r="J120" s="490">
        <f>'B) D RI'!U121</f>
        <v>433086.92517006805</v>
      </c>
      <c r="K120" s="68">
        <f t="shared" si="21"/>
        <v>17.653282625465483</v>
      </c>
      <c r="L120" s="35">
        <f>'B) D RI'!S121</f>
        <v>73.5</v>
      </c>
      <c r="M120" s="35">
        <f t="shared" si="16"/>
        <v>55.846717374534521</v>
      </c>
      <c r="N120" s="35">
        <f>'J) Plafonnement effort'!G119+'J) Plafonnement effort'!H119-'K) Plafonnement aide'!I119</f>
        <v>10.7590558785989</v>
      </c>
      <c r="O120" s="133">
        <f t="shared" si="17"/>
        <v>66.605773253133421</v>
      </c>
      <c r="P120" s="49">
        <f t="shared" si="18"/>
        <v>0</v>
      </c>
      <c r="Q120" s="59">
        <f t="shared" si="22"/>
        <v>0</v>
      </c>
      <c r="R120" s="154">
        <f t="shared" si="19"/>
        <v>66.605773253133421</v>
      </c>
      <c r="S120" s="133">
        <f t="shared" si="20"/>
        <v>-6.894226746866579</v>
      </c>
      <c r="T120" s="153">
        <f t="shared" si="15"/>
        <v>0</v>
      </c>
      <c r="V120" s="13"/>
    </row>
    <row r="121" spans="1:22" x14ac:dyDescent="0.25">
      <c r="A121" s="51">
        <f>'A) Base RI'!A122</f>
        <v>5590</v>
      </c>
      <c r="B121" s="484" t="str">
        <f>'A) Base RI'!B122</f>
        <v>Pully</v>
      </c>
      <c r="C121" s="493">
        <v>32460078.318529837</v>
      </c>
      <c r="D121" s="487">
        <v>10634645.834953278</v>
      </c>
      <c r="E121" s="493">
        <v>0</v>
      </c>
      <c r="F121" s="487">
        <v>0</v>
      </c>
      <c r="G121" s="493">
        <v>0</v>
      </c>
      <c r="H121" s="487">
        <v>43094724.153483115</v>
      </c>
      <c r="I121" s="159">
        <v>1422298.2200936768</v>
      </c>
      <c r="J121" s="490">
        <f>'B) D RI'!U122</f>
        <v>1436772.8338407492</v>
      </c>
      <c r="K121" s="68">
        <f t="shared" si="21"/>
        <v>30.299358843776638</v>
      </c>
      <c r="L121" s="35">
        <f>'B) D RI'!S122</f>
        <v>61</v>
      </c>
      <c r="M121" s="35">
        <f t="shared" si="16"/>
        <v>30.700641156223362</v>
      </c>
      <c r="N121" s="35">
        <f>'J) Plafonnement effort'!G120+'J) Plafonnement effort'!H120-'K) Plafonnement aide'!I120</f>
        <v>31.195934646300682</v>
      </c>
      <c r="O121" s="133">
        <f t="shared" si="17"/>
        <v>61.89657580252404</v>
      </c>
      <c r="P121" s="49">
        <f t="shared" si="18"/>
        <v>0</v>
      </c>
      <c r="Q121" s="59">
        <f t="shared" si="22"/>
        <v>0</v>
      </c>
      <c r="R121" s="154">
        <f t="shared" si="19"/>
        <v>61.89657580252404</v>
      </c>
      <c r="S121" s="133">
        <f t="shared" si="20"/>
        <v>0.89657580252404045</v>
      </c>
      <c r="T121" s="153">
        <f t="shared" si="15"/>
        <v>0</v>
      </c>
      <c r="V121" s="13"/>
    </row>
    <row r="122" spans="1:22" x14ac:dyDescent="0.25">
      <c r="A122" s="51">
        <f>'A) Base RI'!A123</f>
        <v>5591</v>
      </c>
      <c r="B122" s="484" t="str">
        <f>'A) Base RI'!B123</f>
        <v>Renens</v>
      </c>
      <c r="C122" s="493">
        <v>9457393.5236131288</v>
      </c>
      <c r="D122" s="487">
        <v>-14319253.896160448</v>
      </c>
      <c r="E122" s="493">
        <v>1948801.2666965448</v>
      </c>
      <c r="F122" s="487">
        <v>0</v>
      </c>
      <c r="G122" s="493">
        <v>0</v>
      </c>
      <c r="H122" s="487">
        <v>-2913059.1058507743</v>
      </c>
      <c r="I122" s="159">
        <v>529647.11015468603</v>
      </c>
      <c r="J122" s="490">
        <f>'B) D RI'!U123</f>
        <v>547576.12760691531</v>
      </c>
      <c r="K122" s="68">
        <f t="shared" si="21"/>
        <v>-5.5000000000000018</v>
      </c>
      <c r="L122" s="35">
        <f>'B) D RI'!S123</f>
        <v>78.5</v>
      </c>
      <c r="M122" s="35">
        <f t="shared" si="16"/>
        <v>84</v>
      </c>
      <c r="N122" s="35">
        <f>'J) Plafonnement effort'!G121+'J) Plafonnement effort'!H121-'K) Plafonnement aide'!I121</f>
        <v>-16.285037181829576</v>
      </c>
      <c r="O122" s="133">
        <f t="shared" si="17"/>
        <v>67.71496281817042</v>
      </c>
      <c r="P122" s="49">
        <f t="shared" si="18"/>
        <v>0</v>
      </c>
      <c r="Q122" s="59">
        <f t="shared" si="22"/>
        <v>0</v>
      </c>
      <c r="R122" s="154">
        <f t="shared" si="19"/>
        <v>67.71496281817042</v>
      </c>
      <c r="S122" s="133">
        <f t="shared" si="20"/>
        <v>-10.78503718182958</v>
      </c>
      <c r="T122" s="153">
        <f t="shared" si="15"/>
        <v>0</v>
      </c>
      <c r="V122" s="13"/>
    </row>
    <row r="123" spans="1:22" x14ac:dyDescent="0.25">
      <c r="A123" s="51">
        <f>'A) Base RI'!A124</f>
        <v>5592</v>
      </c>
      <c r="B123" s="484" t="str">
        <f>'A) Base RI'!B124</f>
        <v>Romanel-sur-Lausanne</v>
      </c>
      <c r="C123" s="493">
        <v>1905616.5159938911</v>
      </c>
      <c r="D123" s="487">
        <v>588949.13980885781</v>
      </c>
      <c r="E123" s="493">
        <v>0</v>
      </c>
      <c r="F123" s="487">
        <v>0</v>
      </c>
      <c r="G123" s="493">
        <v>0</v>
      </c>
      <c r="H123" s="487">
        <v>2494565.6558027491</v>
      </c>
      <c r="I123" s="159">
        <v>116555.94314285714</v>
      </c>
      <c r="J123" s="490">
        <f>'B) D RI'!U124</f>
        <v>115829.88928571428</v>
      </c>
      <c r="K123" s="68">
        <f t="shared" si="21"/>
        <v>21.402303379290384</v>
      </c>
      <c r="L123" s="35">
        <f>'B) D RI'!S124</f>
        <v>70</v>
      </c>
      <c r="M123" s="35">
        <f t="shared" si="16"/>
        <v>48.597696620709613</v>
      </c>
      <c r="N123" s="35">
        <f>'J) Plafonnement effort'!G122+'J) Plafonnement effort'!H122-'K) Plafonnement aide'!I122</f>
        <v>19.866680496388639</v>
      </c>
      <c r="O123" s="133">
        <f t="shared" si="17"/>
        <v>68.464377117098252</v>
      </c>
      <c r="P123" s="49">
        <f t="shared" si="18"/>
        <v>0</v>
      </c>
      <c r="Q123" s="59">
        <f t="shared" si="22"/>
        <v>0</v>
      </c>
      <c r="R123" s="154">
        <f t="shared" si="19"/>
        <v>68.464377117098252</v>
      </c>
      <c r="S123" s="133">
        <f t="shared" si="20"/>
        <v>-1.5356228829017482</v>
      </c>
      <c r="T123" s="153">
        <f t="shared" si="15"/>
        <v>0</v>
      </c>
      <c r="V123" s="13"/>
    </row>
    <row r="124" spans="1:22" x14ac:dyDescent="0.25">
      <c r="A124" s="51">
        <f>'A) Base RI'!A125</f>
        <v>5601</v>
      </c>
      <c r="B124" s="484" t="str">
        <f>'A) Base RI'!B125</f>
        <v>Chexbres</v>
      </c>
      <c r="C124" s="493">
        <v>1740305.1021120269</v>
      </c>
      <c r="D124" s="487">
        <v>1326458.0849147965</v>
      </c>
      <c r="E124" s="493">
        <v>0</v>
      </c>
      <c r="F124" s="487">
        <v>0</v>
      </c>
      <c r="G124" s="493">
        <v>0</v>
      </c>
      <c r="H124" s="487">
        <v>3066763.1870268234</v>
      </c>
      <c r="I124" s="159">
        <v>99746.160000000018</v>
      </c>
      <c r="J124" s="490">
        <f>'B) D RI'!U125</f>
        <v>117508.63062500001</v>
      </c>
      <c r="K124" s="68">
        <f t="shared" si="21"/>
        <v>30.745676695993339</v>
      </c>
      <c r="L124" s="35">
        <f>'B) D RI'!S125</f>
        <v>64</v>
      </c>
      <c r="M124" s="35">
        <f t="shared" si="16"/>
        <v>33.254323304006661</v>
      </c>
      <c r="N124" s="35">
        <f>'J) Plafonnement effort'!G123+'J) Plafonnement effort'!H123-'K) Plafonnement aide'!I123</f>
        <v>32.991335038594421</v>
      </c>
      <c r="O124" s="133">
        <f t="shared" si="17"/>
        <v>66.245658342601075</v>
      </c>
      <c r="P124" s="49">
        <f t="shared" si="18"/>
        <v>0</v>
      </c>
      <c r="Q124" s="59">
        <f t="shared" si="22"/>
        <v>0</v>
      </c>
      <c r="R124" s="154">
        <f t="shared" si="19"/>
        <v>66.245658342601075</v>
      </c>
      <c r="S124" s="133">
        <f t="shared" si="20"/>
        <v>2.2456583426010752</v>
      </c>
      <c r="T124" s="153">
        <f t="shared" si="15"/>
        <v>0</v>
      </c>
      <c r="V124" s="13"/>
    </row>
    <row r="125" spans="1:22" x14ac:dyDescent="0.25">
      <c r="A125" s="51">
        <f>'A) Base RI'!A126</f>
        <v>5604</v>
      </c>
      <c r="B125" s="484" t="str">
        <f>'A) Base RI'!B126</f>
        <v>Forel (Lavaux)</v>
      </c>
      <c r="C125" s="493">
        <v>1195024.0983284514</v>
      </c>
      <c r="D125" s="487">
        <v>488714.46608475875</v>
      </c>
      <c r="E125" s="493">
        <v>0</v>
      </c>
      <c r="F125" s="487">
        <v>0</v>
      </c>
      <c r="G125" s="493">
        <v>0</v>
      </c>
      <c r="H125" s="487">
        <v>1683738.5644132101</v>
      </c>
      <c r="I125" s="159">
        <v>71240.347352941171</v>
      </c>
      <c r="J125" s="490">
        <f>'B) D RI'!U126</f>
        <v>71631.535147058821</v>
      </c>
      <c r="K125" s="68">
        <f t="shared" si="21"/>
        <v>23.634620365782041</v>
      </c>
      <c r="L125" s="35">
        <f>'B) D RI'!S126</f>
        <v>68</v>
      </c>
      <c r="M125" s="35">
        <f t="shared" si="16"/>
        <v>44.365379634217959</v>
      </c>
      <c r="N125" s="35">
        <f>'J) Plafonnement effort'!G124+'J) Plafonnement effort'!H124-'K) Plafonnement aide'!I124</f>
        <v>20.165665174436324</v>
      </c>
      <c r="O125" s="133">
        <f t="shared" si="17"/>
        <v>64.531044808654286</v>
      </c>
      <c r="P125" s="49">
        <f t="shared" si="18"/>
        <v>0</v>
      </c>
      <c r="Q125" s="59">
        <f t="shared" si="22"/>
        <v>0</v>
      </c>
      <c r="R125" s="154">
        <f t="shared" si="19"/>
        <v>64.531044808654286</v>
      </c>
      <c r="S125" s="133">
        <f t="shared" si="20"/>
        <v>-3.4689551913457137</v>
      </c>
      <c r="T125" s="153">
        <f t="shared" si="15"/>
        <v>0</v>
      </c>
      <c r="V125" s="13"/>
    </row>
    <row r="126" spans="1:22" x14ac:dyDescent="0.25">
      <c r="A126" s="51">
        <f>'A) Base RI'!A127</f>
        <v>5606</v>
      </c>
      <c r="B126" s="484" t="str">
        <f>'A) Base RI'!B127</f>
        <v>Lutry</v>
      </c>
      <c r="C126" s="493">
        <v>18102782.835126642</v>
      </c>
      <c r="D126" s="487">
        <v>7830515.8923098547</v>
      </c>
      <c r="E126" s="493">
        <v>0</v>
      </c>
      <c r="F126" s="487">
        <v>0</v>
      </c>
      <c r="G126" s="493">
        <v>0</v>
      </c>
      <c r="H126" s="487">
        <v>25933298.727436498</v>
      </c>
      <c r="I126" s="159">
        <v>770648.37755469768</v>
      </c>
      <c r="J126" s="490">
        <f>'B) D RI'!U127</f>
        <v>832533.93371943373</v>
      </c>
      <c r="K126" s="68">
        <f t="shared" si="21"/>
        <v>33.651272724045732</v>
      </c>
      <c r="L126" s="35">
        <f>'B) D RI'!S127</f>
        <v>55.5</v>
      </c>
      <c r="M126" s="35">
        <f t="shared" si="16"/>
        <v>21.848727275954268</v>
      </c>
      <c r="N126" s="35">
        <f>'J) Plafonnement effort'!G125+'J) Plafonnement effort'!H125-'K) Plafonnement aide'!I125</f>
        <v>33.709467739004126</v>
      </c>
      <c r="O126" s="133">
        <f t="shared" si="17"/>
        <v>55.558195014958393</v>
      </c>
      <c r="P126" s="49">
        <f t="shared" si="18"/>
        <v>0</v>
      </c>
      <c r="Q126" s="59">
        <f t="shared" si="22"/>
        <v>0</v>
      </c>
      <c r="R126" s="154">
        <f t="shared" si="19"/>
        <v>55.558195014958393</v>
      </c>
      <c r="S126" s="133">
        <f t="shared" si="20"/>
        <v>5.8195014958393187E-2</v>
      </c>
      <c r="T126" s="153">
        <f t="shared" si="15"/>
        <v>0</v>
      </c>
      <c r="V126" s="13"/>
    </row>
    <row r="127" spans="1:22" x14ac:dyDescent="0.25">
      <c r="A127" s="51">
        <f>'A) Base RI'!A128</f>
        <v>5607</v>
      </c>
      <c r="B127" s="484" t="str">
        <f>'A) Base RI'!B128</f>
        <v>Puidoux</v>
      </c>
      <c r="C127" s="493">
        <v>1854265.6931383321</v>
      </c>
      <c r="D127" s="487">
        <v>478428.88895653258</v>
      </c>
      <c r="E127" s="493">
        <v>0</v>
      </c>
      <c r="F127" s="487">
        <v>0</v>
      </c>
      <c r="G127" s="493">
        <v>0</v>
      </c>
      <c r="H127" s="487">
        <v>2332694.5820948649</v>
      </c>
      <c r="I127" s="159">
        <v>97147.534937888209</v>
      </c>
      <c r="J127" s="490">
        <f>'B) D RI'!U128</f>
        <v>108525.10310559007</v>
      </c>
      <c r="K127" s="68">
        <f t="shared" si="21"/>
        <v>24.011876200320323</v>
      </c>
      <c r="L127" s="35">
        <f>'B) D RI'!S128</f>
        <v>70</v>
      </c>
      <c r="M127" s="35">
        <f t="shared" si="16"/>
        <v>45.988123799679677</v>
      </c>
      <c r="N127" s="35">
        <f>'J) Plafonnement effort'!G126+'J) Plafonnement effort'!H126-'K) Plafonnement aide'!I126</f>
        <v>18.654973858386853</v>
      </c>
      <c r="O127" s="133">
        <f t="shared" si="17"/>
        <v>64.643097658066523</v>
      </c>
      <c r="P127" s="49">
        <f t="shared" si="18"/>
        <v>0</v>
      </c>
      <c r="Q127" s="59">
        <f t="shared" si="22"/>
        <v>0</v>
      </c>
      <c r="R127" s="154">
        <f t="shared" si="19"/>
        <v>64.643097658066523</v>
      </c>
      <c r="S127" s="133">
        <f t="shared" si="20"/>
        <v>-5.3569023419334769</v>
      </c>
      <c r="T127" s="153">
        <f t="shared" si="15"/>
        <v>0</v>
      </c>
      <c r="V127" s="13"/>
    </row>
    <row r="128" spans="1:22" x14ac:dyDescent="0.25">
      <c r="A128" s="51">
        <f>'A) Base RI'!A129</f>
        <v>5609</v>
      </c>
      <c r="B128" s="484" t="str">
        <f>'A) Base RI'!B129</f>
        <v>Rivaz</v>
      </c>
      <c r="C128" s="493">
        <v>435371.65895584645</v>
      </c>
      <c r="D128" s="487">
        <v>278247.958713884</v>
      </c>
      <c r="E128" s="493">
        <v>0</v>
      </c>
      <c r="F128" s="487">
        <v>0</v>
      </c>
      <c r="G128" s="493">
        <v>0</v>
      </c>
      <c r="H128" s="487">
        <v>713619.61766973045</v>
      </c>
      <c r="I128" s="159">
        <v>16888.91165354331</v>
      </c>
      <c r="J128" s="490">
        <f>'B) D RI'!U129</f>
        <v>15580.699212598427</v>
      </c>
      <c r="K128" s="68">
        <f t="shared" si="21"/>
        <v>42.253736197383233</v>
      </c>
      <c r="L128" s="35">
        <f>'B) D RI'!S129</f>
        <v>63.5</v>
      </c>
      <c r="M128" s="35">
        <f t="shared" si="16"/>
        <v>21.246263802616767</v>
      </c>
      <c r="N128" s="35">
        <f>'J) Plafonnement effort'!G127+'J) Plafonnement effort'!H127-'K) Plafonnement aide'!I127</f>
        <v>29.71495535773207</v>
      </c>
      <c r="O128" s="133">
        <f t="shared" si="17"/>
        <v>50.961219160348833</v>
      </c>
      <c r="P128" s="49">
        <f t="shared" si="18"/>
        <v>0</v>
      </c>
      <c r="Q128" s="59">
        <f t="shared" si="22"/>
        <v>0</v>
      </c>
      <c r="R128" s="154">
        <f t="shared" si="19"/>
        <v>50.961219160348833</v>
      </c>
      <c r="S128" s="133">
        <f t="shared" si="20"/>
        <v>-12.538780839651167</v>
      </c>
      <c r="T128" s="153">
        <f t="shared" si="15"/>
        <v>0</v>
      </c>
      <c r="V128" s="13"/>
    </row>
    <row r="129" spans="1:22" x14ac:dyDescent="0.25">
      <c r="A129" s="51">
        <f>'A) Base RI'!A130</f>
        <v>5610</v>
      </c>
      <c r="B129" s="484" t="str">
        <f>'A) Base RI'!B130</f>
        <v>St-Saphorin (Lavaux)</v>
      </c>
      <c r="C129" s="493">
        <v>366099.11766394204</v>
      </c>
      <c r="D129" s="487">
        <v>332088.26861445239</v>
      </c>
      <c r="E129" s="493">
        <v>0</v>
      </c>
      <c r="F129" s="487">
        <v>0</v>
      </c>
      <c r="G129" s="493">
        <v>0</v>
      </c>
      <c r="H129" s="487">
        <v>698187.38627839438</v>
      </c>
      <c r="I129" s="159">
        <v>20007.714179104478</v>
      </c>
      <c r="J129" s="490">
        <f>'B) D RI'!U130</f>
        <v>22074.868656716415</v>
      </c>
      <c r="K129" s="68">
        <f t="shared" si="21"/>
        <v>34.895909649067391</v>
      </c>
      <c r="L129" s="35">
        <f>'B) D RI'!S130</f>
        <v>67</v>
      </c>
      <c r="M129" s="35">
        <f t="shared" si="16"/>
        <v>32.104090350932609</v>
      </c>
      <c r="N129" s="35">
        <f>'J) Plafonnement effort'!G128+'J) Plafonnement effort'!H128-'K) Plafonnement aide'!I128</f>
        <v>34.704118308017904</v>
      </c>
      <c r="O129" s="133">
        <f t="shared" si="17"/>
        <v>66.80820865895052</v>
      </c>
      <c r="P129" s="49">
        <f t="shared" si="18"/>
        <v>0</v>
      </c>
      <c r="Q129" s="59">
        <f t="shared" si="22"/>
        <v>0</v>
      </c>
      <c r="R129" s="154">
        <f t="shared" si="19"/>
        <v>66.80820865895052</v>
      </c>
      <c r="S129" s="133">
        <f t="shared" si="20"/>
        <v>-0.19179134104948048</v>
      </c>
      <c r="T129" s="153">
        <f t="shared" si="15"/>
        <v>0</v>
      </c>
      <c r="V129" s="13"/>
    </row>
    <row r="130" spans="1:22" x14ac:dyDescent="0.25">
      <c r="A130" s="51">
        <f>'A) Base RI'!A131</f>
        <v>5611</v>
      </c>
      <c r="B130" s="484" t="str">
        <f>'A) Base RI'!B131</f>
        <v>Savigny</v>
      </c>
      <c r="C130" s="493">
        <v>1990068.1831523408</v>
      </c>
      <c r="D130" s="487">
        <v>669257.18116601044</v>
      </c>
      <c r="E130" s="493">
        <v>0</v>
      </c>
      <c r="F130" s="487">
        <v>0</v>
      </c>
      <c r="G130" s="493">
        <v>0</v>
      </c>
      <c r="H130" s="487">
        <v>2659325.3643183513</v>
      </c>
      <c r="I130" s="159">
        <v>115537.42516908211</v>
      </c>
      <c r="J130" s="490">
        <f>'B) D RI'!U131</f>
        <v>134510.93620772948</v>
      </c>
      <c r="K130" s="68">
        <f t="shared" si="21"/>
        <v>23.017003887931445</v>
      </c>
      <c r="L130" s="35">
        <f>'B) D RI'!S131</f>
        <v>69</v>
      </c>
      <c r="M130" s="35">
        <f t="shared" si="16"/>
        <v>45.982996112068555</v>
      </c>
      <c r="N130" s="35">
        <f>'J) Plafonnement effort'!G129+'J) Plafonnement effort'!H129-'K) Plafonnement aide'!I129</f>
        <v>25.028575196225571</v>
      </c>
      <c r="O130" s="133">
        <f t="shared" si="17"/>
        <v>71.011571308294123</v>
      </c>
      <c r="P130" s="49">
        <f t="shared" si="18"/>
        <v>0</v>
      </c>
      <c r="Q130" s="59">
        <f t="shared" si="22"/>
        <v>0</v>
      </c>
      <c r="R130" s="154">
        <f t="shared" si="19"/>
        <v>71.011571308294123</v>
      </c>
      <c r="S130" s="133">
        <f t="shared" si="20"/>
        <v>2.0115713082941227</v>
      </c>
      <c r="T130" s="153">
        <f t="shared" si="15"/>
        <v>0</v>
      </c>
      <c r="V130" s="13"/>
    </row>
    <row r="131" spans="1:22" x14ac:dyDescent="0.25">
      <c r="A131" s="51">
        <f>'A) Base RI'!A132</f>
        <v>5613</v>
      </c>
      <c r="B131" s="484" t="str">
        <f>'A) Base RI'!B132</f>
        <v>Bourg-en-Lavaux</v>
      </c>
      <c r="C131" s="493">
        <v>5437657.0556849344</v>
      </c>
      <c r="D131" s="487">
        <v>3620512.5544747398</v>
      </c>
      <c r="E131" s="493">
        <v>0</v>
      </c>
      <c r="F131" s="487">
        <v>0</v>
      </c>
      <c r="G131" s="493">
        <v>0</v>
      </c>
      <c r="H131" s="487">
        <v>9058169.6101596747</v>
      </c>
      <c r="I131" s="159">
        <v>301872.13311475411</v>
      </c>
      <c r="J131" s="490">
        <f>'B) D RI'!U132</f>
        <v>330680.25306010921</v>
      </c>
      <c r="K131" s="68">
        <f t="shared" si="21"/>
        <v>30.006643927998113</v>
      </c>
      <c r="L131" s="35">
        <f>'B) D RI'!S132</f>
        <v>61</v>
      </c>
      <c r="M131" s="35">
        <f t="shared" si="16"/>
        <v>30.993356072001887</v>
      </c>
      <c r="N131" s="35">
        <f>'J) Plafonnement effort'!G130+'J) Plafonnement effort'!H130-'K) Plafonnement aide'!I130</f>
        <v>30.821874208419693</v>
      </c>
      <c r="O131" s="133">
        <f t="shared" si="17"/>
        <v>61.815230280421581</v>
      </c>
      <c r="P131" s="49">
        <f t="shared" si="18"/>
        <v>0</v>
      </c>
      <c r="Q131" s="59">
        <f t="shared" si="22"/>
        <v>0</v>
      </c>
      <c r="R131" s="154">
        <f t="shared" si="19"/>
        <v>61.815230280421581</v>
      </c>
      <c r="S131" s="133">
        <f t="shared" si="20"/>
        <v>0.81523028042158074</v>
      </c>
      <c r="T131" s="153">
        <f t="shared" si="15"/>
        <v>0</v>
      </c>
      <c r="V131" s="13"/>
    </row>
    <row r="132" spans="1:22" x14ac:dyDescent="0.25">
      <c r="A132" s="51">
        <f>'A) Base RI'!A133</f>
        <v>5621</v>
      </c>
      <c r="B132" s="484" t="str">
        <f>'A) Base RI'!B133</f>
        <v>Aclens</v>
      </c>
      <c r="C132" s="493">
        <v>478650.60236326372</v>
      </c>
      <c r="D132" s="487">
        <v>446394.23014159611</v>
      </c>
      <c r="E132" s="493">
        <v>0</v>
      </c>
      <c r="F132" s="487">
        <v>0</v>
      </c>
      <c r="G132" s="493">
        <v>0</v>
      </c>
      <c r="H132" s="487">
        <v>925044.83250485989</v>
      </c>
      <c r="I132" s="159">
        <v>26820.105850439882</v>
      </c>
      <c r="J132" s="490">
        <f>'B) D RI'!U133</f>
        <v>33113.551554252197</v>
      </c>
      <c r="K132" s="68">
        <f t="shared" si="21"/>
        <v>34.490722656476315</v>
      </c>
      <c r="L132" s="35">
        <f>'B) D RI'!S133</f>
        <v>62</v>
      </c>
      <c r="M132" s="35">
        <f t="shared" si="16"/>
        <v>27.509277343523685</v>
      </c>
      <c r="N132" s="35">
        <f>'J) Plafonnement effort'!G131+'J) Plafonnement effort'!H131-'K) Plafonnement aide'!I131</f>
        <v>43.01257625917642</v>
      </c>
      <c r="O132" s="133">
        <f t="shared" si="17"/>
        <v>70.521853602700105</v>
      </c>
      <c r="P132" s="49">
        <f t="shared" si="18"/>
        <v>0</v>
      </c>
      <c r="Q132" s="59">
        <f t="shared" si="22"/>
        <v>0</v>
      </c>
      <c r="R132" s="154">
        <f t="shared" si="19"/>
        <v>70.521853602700105</v>
      </c>
      <c r="S132" s="133">
        <f t="shared" si="20"/>
        <v>8.5218536027001051</v>
      </c>
      <c r="T132" s="153">
        <f t="shared" si="15"/>
        <v>0</v>
      </c>
      <c r="V132" s="13"/>
    </row>
    <row r="133" spans="1:22" x14ac:dyDescent="0.25">
      <c r="A133" s="51">
        <f>'A) Base RI'!A134</f>
        <v>5622</v>
      </c>
      <c r="B133" s="484" t="str">
        <f>'A) Base RI'!B134</f>
        <v>Bremblens</v>
      </c>
      <c r="C133" s="493">
        <v>700802.40086912399</v>
      </c>
      <c r="D133" s="487">
        <v>530686.07703772665</v>
      </c>
      <c r="E133" s="493">
        <v>0</v>
      </c>
      <c r="F133" s="487">
        <v>0</v>
      </c>
      <c r="G133" s="493">
        <v>0</v>
      </c>
      <c r="H133" s="487">
        <v>1231488.4779068506</v>
      </c>
      <c r="I133" s="159">
        <v>32681.756515151512</v>
      </c>
      <c r="J133" s="490">
        <f>'B) D RI'!U134</f>
        <v>31245.381060606058</v>
      </c>
      <c r="K133" s="68">
        <f t="shared" si="21"/>
        <v>37.681220632554535</v>
      </c>
      <c r="L133" s="35">
        <f>'B) D RI'!S134</f>
        <v>66</v>
      </c>
      <c r="M133" s="35">
        <f t="shared" si="16"/>
        <v>28.318779367445465</v>
      </c>
      <c r="N133" s="35">
        <f>'J) Plafonnement effort'!G132+'J) Plafonnement effort'!H132-'K) Plafonnement aide'!I132</f>
        <v>33.375816509007109</v>
      </c>
      <c r="O133" s="133">
        <f t="shared" si="17"/>
        <v>61.694595876452574</v>
      </c>
      <c r="P133" s="49">
        <f t="shared" si="18"/>
        <v>0</v>
      </c>
      <c r="Q133" s="59">
        <f t="shared" si="22"/>
        <v>0</v>
      </c>
      <c r="R133" s="154">
        <f t="shared" si="19"/>
        <v>61.694595876452574</v>
      </c>
      <c r="S133" s="133">
        <f t="shared" si="20"/>
        <v>-4.3054041235474259</v>
      </c>
      <c r="T133" s="153">
        <f t="shared" si="15"/>
        <v>0</v>
      </c>
      <c r="V133" s="13"/>
    </row>
    <row r="134" spans="1:22" x14ac:dyDescent="0.25">
      <c r="A134" s="51">
        <f>'A) Base RI'!A135</f>
        <v>5623</v>
      </c>
      <c r="B134" s="484" t="str">
        <f>'A) Base RI'!B135</f>
        <v>Buchillon</v>
      </c>
      <c r="C134" s="493">
        <v>3092006.7232575761</v>
      </c>
      <c r="D134" s="487">
        <v>1025980.881406717</v>
      </c>
      <c r="E134" s="493">
        <v>0</v>
      </c>
      <c r="F134" s="487">
        <v>0</v>
      </c>
      <c r="G134" s="493">
        <v>0</v>
      </c>
      <c r="H134" s="487">
        <v>4117987.6046642931</v>
      </c>
      <c r="I134" s="159">
        <v>82402.410188679249</v>
      </c>
      <c r="J134" s="490">
        <f>'B) D RI'!U135</f>
        <v>74216.162452830191</v>
      </c>
      <c r="K134" s="68">
        <f t="shared" si="21"/>
        <v>49.974115990481522</v>
      </c>
      <c r="L134" s="35">
        <f>'B) D RI'!S135</f>
        <v>53</v>
      </c>
      <c r="M134" s="35">
        <f t="shared" si="16"/>
        <v>3.025884009518478</v>
      </c>
      <c r="N134" s="35">
        <f>'J) Plafonnement effort'!G133+'J) Plafonnement effort'!H133-'K) Plafonnement aide'!I133</f>
        <v>41.387180733437532</v>
      </c>
      <c r="O134" s="133">
        <f t="shared" si="17"/>
        <v>44.41306474295601</v>
      </c>
      <c r="P134" s="49">
        <f t="shared" si="18"/>
        <v>0</v>
      </c>
      <c r="Q134" s="59">
        <f t="shared" si="22"/>
        <v>0</v>
      </c>
      <c r="R134" s="154">
        <f t="shared" si="19"/>
        <v>44.41306474295601</v>
      </c>
      <c r="S134" s="133">
        <f t="shared" si="20"/>
        <v>-8.5869352570439901</v>
      </c>
      <c r="T134" s="153">
        <f t="shared" si="15"/>
        <v>0</v>
      </c>
      <c r="V134" s="13"/>
    </row>
    <row r="135" spans="1:22" x14ac:dyDescent="0.25">
      <c r="A135" s="51">
        <f>'A) Base RI'!A136</f>
        <v>5624</v>
      </c>
      <c r="B135" s="484" t="str">
        <f>'A) Base RI'!B136</f>
        <v>Bussigny</v>
      </c>
      <c r="C135" s="493">
        <v>5927614.0381183214</v>
      </c>
      <c r="D135" s="487">
        <v>2077631.559969753</v>
      </c>
      <c r="E135" s="493">
        <v>0</v>
      </c>
      <c r="F135" s="487">
        <v>0</v>
      </c>
      <c r="G135" s="493">
        <v>0</v>
      </c>
      <c r="H135" s="487">
        <v>8005245.5980880745</v>
      </c>
      <c r="I135" s="159">
        <v>334130.13322580641</v>
      </c>
      <c r="J135" s="490">
        <f>'B) D RI'!U136</f>
        <v>336696.75822580646</v>
      </c>
      <c r="K135" s="68">
        <f t="shared" si="21"/>
        <v>23.958466483710104</v>
      </c>
      <c r="L135" s="35">
        <f>'B) D RI'!S136</f>
        <v>62</v>
      </c>
      <c r="M135" s="35">
        <f t="shared" si="16"/>
        <v>38.041533516289896</v>
      </c>
      <c r="N135" s="35">
        <f>'J) Plafonnement effort'!G134+'J) Plafonnement effort'!H134-'K) Plafonnement aide'!I134</f>
        <v>20.668237728198136</v>
      </c>
      <c r="O135" s="133">
        <f t="shared" si="17"/>
        <v>58.709771244488032</v>
      </c>
      <c r="P135" s="49">
        <f t="shared" si="18"/>
        <v>0</v>
      </c>
      <c r="Q135" s="59">
        <f t="shared" si="22"/>
        <v>0</v>
      </c>
      <c r="R135" s="154">
        <f t="shared" si="19"/>
        <v>58.709771244488032</v>
      </c>
      <c r="S135" s="133">
        <f t="shared" si="20"/>
        <v>-3.2902287555119685</v>
      </c>
      <c r="T135" s="153">
        <f t="shared" ref="T135:T198" si="23">+C135+D135+E135+F135+G135-H135</f>
        <v>0</v>
      </c>
      <c r="V135" s="13"/>
    </row>
    <row r="136" spans="1:22" x14ac:dyDescent="0.25">
      <c r="A136" s="51">
        <f>'A) Base RI'!A137</f>
        <v>5625</v>
      </c>
      <c r="B136" s="484" t="str">
        <f>'A) Base RI'!B137</f>
        <v>Bussy-Chardonney</v>
      </c>
      <c r="C136" s="493">
        <v>258507.9730494869</v>
      </c>
      <c r="D136" s="487">
        <v>157334.39734810751</v>
      </c>
      <c r="E136" s="493">
        <v>0</v>
      </c>
      <c r="F136" s="487">
        <v>0</v>
      </c>
      <c r="G136" s="493">
        <v>0</v>
      </c>
      <c r="H136" s="487">
        <v>415842.37039759441</v>
      </c>
      <c r="I136" s="159">
        <v>13745.926324786325</v>
      </c>
      <c r="J136" s="490">
        <f>'B) D RI'!U137</f>
        <v>13792.360683760684</v>
      </c>
      <c r="K136" s="68">
        <f t="shared" si="21"/>
        <v>30.252044174553546</v>
      </c>
      <c r="L136" s="35">
        <f>'B) D RI'!S137</f>
        <v>78</v>
      </c>
      <c r="M136" s="35">
        <f t="shared" si="16"/>
        <v>47.747955825446454</v>
      </c>
      <c r="N136" s="35">
        <f>'J) Plafonnement effort'!G135+'J) Plafonnement effort'!H135-'K) Plafonnement aide'!I135</f>
        <v>27.837386108380276</v>
      </c>
      <c r="O136" s="133">
        <f t="shared" si="17"/>
        <v>75.585341933826726</v>
      </c>
      <c r="P136" s="49">
        <f t="shared" si="18"/>
        <v>0</v>
      </c>
      <c r="Q136" s="59">
        <f t="shared" si="22"/>
        <v>0</v>
      </c>
      <c r="R136" s="154">
        <f t="shared" si="19"/>
        <v>75.585341933826726</v>
      </c>
      <c r="S136" s="133">
        <f t="shared" si="20"/>
        <v>-2.4146580661732742</v>
      </c>
      <c r="T136" s="153">
        <f t="shared" si="23"/>
        <v>0</v>
      </c>
      <c r="V136" s="13"/>
    </row>
    <row r="137" spans="1:22" x14ac:dyDescent="0.25">
      <c r="A137" s="51">
        <f>'A) Base RI'!A138</f>
        <v>5627</v>
      </c>
      <c r="B137" s="484" t="str">
        <f>'A) Base RI'!B138</f>
        <v>Chavannes-près-Renens</v>
      </c>
      <c r="C137" s="493">
        <v>2918091.4873653054</v>
      </c>
      <c r="D137" s="487">
        <v>-4102725.0684742504</v>
      </c>
      <c r="E137" s="493">
        <v>239893.84855620281</v>
      </c>
      <c r="F137" s="487">
        <v>0</v>
      </c>
      <c r="G137" s="493">
        <v>0</v>
      </c>
      <c r="H137" s="487">
        <v>-944739.73255274212</v>
      </c>
      <c r="I137" s="159">
        <v>171770.86046413501</v>
      </c>
      <c r="J137" s="490">
        <f>'B) D RI'!U138</f>
        <v>175193.96054852317</v>
      </c>
      <c r="K137" s="68">
        <f t="shared" si="21"/>
        <v>-5.4999999999999973</v>
      </c>
      <c r="L137" s="35">
        <f>'B) D RI'!S138</f>
        <v>79</v>
      </c>
      <c r="M137" s="35">
        <f t="shared" si="16"/>
        <v>84.5</v>
      </c>
      <c r="N137" s="35">
        <f>'J) Plafonnement effort'!G136+'J) Plafonnement effort'!H136-'K) Plafonnement aide'!I136</f>
        <v>-9.1639773937738696</v>
      </c>
      <c r="O137" s="133">
        <f t="shared" si="17"/>
        <v>75.336022606226123</v>
      </c>
      <c r="P137" s="49">
        <f t="shared" si="18"/>
        <v>0</v>
      </c>
      <c r="Q137" s="59">
        <f t="shared" si="22"/>
        <v>0</v>
      </c>
      <c r="R137" s="154">
        <f t="shared" si="19"/>
        <v>75.336022606226123</v>
      </c>
      <c r="S137" s="133">
        <f t="shared" si="20"/>
        <v>-3.6639773937738767</v>
      </c>
      <c r="T137" s="153">
        <f t="shared" si="23"/>
        <v>0</v>
      </c>
      <c r="V137" s="13"/>
    </row>
    <row r="138" spans="1:22" x14ac:dyDescent="0.25">
      <c r="A138" s="51">
        <f>'A) Base RI'!A139</f>
        <v>5628</v>
      </c>
      <c r="B138" s="484" t="str">
        <f>'A) Base RI'!B139</f>
        <v>Chigny</v>
      </c>
      <c r="C138" s="493">
        <v>328680.33188870654</v>
      </c>
      <c r="D138" s="487">
        <v>324696.73605052283</v>
      </c>
      <c r="E138" s="493">
        <v>0</v>
      </c>
      <c r="F138" s="487">
        <v>0</v>
      </c>
      <c r="G138" s="493">
        <v>0</v>
      </c>
      <c r="H138" s="487">
        <v>653377.06793922931</v>
      </c>
      <c r="I138" s="159">
        <v>19361.666733870967</v>
      </c>
      <c r="J138" s="490">
        <f>'B) D RI'!U139</f>
        <v>19494.348064516129</v>
      </c>
      <c r="K138" s="68">
        <f t="shared" si="21"/>
        <v>33.745910252458934</v>
      </c>
      <c r="L138" s="35">
        <f>'B) D RI'!S139</f>
        <v>62</v>
      </c>
      <c r="M138" s="35">
        <f t="shared" si="16"/>
        <v>28.254089747541066</v>
      </c>
      <c r="N138" s="35">
        <f>'J) Plafonnement effort'!G137+'J) Plafonnement effort'!H137-'K) Plafonnement aide'!I137</f>
        <v>35.235623393759766</v>
      </c>
      <c r="O138" s="133">
        <f t="shared" si="17"/>
        <v>63.489713141300832</v>
      </c>
      <c r="P138" s="49">
        <f t="shared" si="18"/>
        <v>0</v>
      </c>
      <c r="Q138" s="59">
        <f t="shared" si="22"/>
        <v>0</v>
      </c>
      <c r="R138" s="154">
        <f t="shared" si="19"/>
        <v>63.489713141300832</v>
      </c>
      <c r="S138" s="133">
        <f t="shared" si="20"/>
        <v>1.4897131413008324</v>
      </c>
      <c r="T138" s="153">
        <f t="shared" si="23"/>
        <v>0</v>
      </c>
      <c r="V138" s="13"/>
    </row>
    <row r="139" spans="1:22" x14ac:dyDescent="0.25">
      <c r="A139" s="51">
        <f>'A) Base RI'!A140</f>
        <v>5629</v>
      </c>
      <c r="B139" s="484" t="str">
        <f>'A) Base RI'!B140</f>
        <v>Clarmont</v>
      </c>
      <c r="C139" s="493">
        <v>151586.70144397212</v>
      </c>
      <c r="D139" s="487">
        <v>118555.36664385213</v>
      </c>
      <c r="E139" s="493">
        <v>0</v>
      </c>
      <c r="F139" s="487">
        <v>0</v>
      </c>
      <c r="G139" s="493">
        <v>0</v>
      </c>
      <c r="H139" s="487">
        <v>270142.06808782427</v>
      </c>
      <c r="I139" s="159">
        <v>7536.1791999999996</v>
      </c>
      <c r="J139" s="490">
        <f>'B) D RI'!U140</f>
        <v>7511.8584000000001</v>
      </c>
      <c r="K139" s="68">
        <f t="shared" si="21"/>
        <v>35.846025010634605</v>
      </c>
      <c r="L139" s="35">
        <f>'B) D RI'!S140</f>
        <v>75</v>
      </c>
      <c r="M139" s="35">
        <f t="shared" si="16"/>
        <v>39.153974989365395</v>
      </c>
      <c r="N139" s="35">
        <f>'J) Plafonnement effort'!G138+'J) Plafonnement effort'!H138-'K) Plafonnement aide'!I138</f>
        <v>24.602663679685577</v>
      </c>
      <c r="O139" s="133">
        <f t="shared" si="17"/>
        <v>63.756638669050972</v>
      </c>
      <c r="P139" s="49">
        <f t="shared" si="18"/>
        <v>0</v>
      </c>
      <c r="Q139" s="59">
        <f t="shared" si="22"/>
        <v>0</v>
      </c>
      <c r="R139" s="154">
        <f t="shared" si="19"/>
        <v>63.756638669050972</v>
      </c>
      <c r="S139" s="133">
        <f t="shared" si="20"/>
        <v>-11.243361330949028</v>
      </c>
      <c r="T139" s="153">
        <f t="shared" si="23"/>
        <v>0</v>
      </c>
      <c r="V139" s="13"/>
    </row>
    <row r="140" spans="1:22" x14ac:dyDescent="0.25">
      <c r="A140" s="51">
        <f>'A) Base RI'!A141</f>
        <v>5631</v>
      </c>
      <c r="B140" s="484" t="str">
        <f>'A) Base RI'!B141</f>
        <v>Denens</v>
      </c>
      <c r="C140" s="493">
        <v>922232.00561254937</v>
      </c>
      <c r="D140" s="487">
        <v>707789.58809879678</v>
      </c>
      <c r="E140" s="493">
        <v>0</v>
      </c>
      <c r="F140" s="487">
        <v>0</v>
      </c>
      <c r="G140" s="493">
        <v>0</v>
      </c>
      <c r="H140" s="487">
        <v>1630021.5937113462</v>
      </c>
      <c r="I140" s="159">
        <v>42221.936176470583</v>
      </c>
      <c r="J140" s="490">
        <f>'B) D RI'!U141</f>
        <v>45432.172571428571</v>
      </c>
      <c r="K140" s="68">
        <f t="shared" si="21"/>
        <v>38.606036134830873</v>
      </c>
      <c r="L140" s="35">
        <f>'B) D RI'!S141</f>
        <v>70</v>
      </c>
      <c r="M140" s="35">
        <f t="shared" si="16"/>
        <v>31.393963865169127</v>
      </c>
      <c r="N140" s="35">
        <f>'J) Plafonnement effort'!G139+'J) Plafonnement effort'!H139-'K) Plafonnement aide'!I139</f>
        <v>34.230044882781463</v>
      </c>
      <c r="O140" s="133">
        <f t="shared" si="17"/>
        <v>65.624008747950597</v>
      </c>
      <c r="P140" s="49">
        <f t="shared" si="18"/>
        <v>0</v>
      </c>
      <c r="Q140" s="59">
        <f t="shared" si="22"/>
        <v>0</v>
      </c>
      <c r="R140" s="154">
        <f t="shared" si="19"/>
        <v>65.624008747950597</v>
      </c>
      <c r="S140" s="133">
        <f t="shared" si="20"/>
        <v>-4.3759912520494026</v>
      </c>
      <c r="T140" s="153">
        <f t="shared" si="23"/>
        <v>0</v>
      </c>
      <c r="V140" s="13"/>
    </row>
    <row r="141" spans="1:22" x14ac:dyDescent="0.25">
      <c r="A141" s="51">
        <f>'A) Base RI'!A142</f>
        <v>5632</v>
      </c>
      <c r="B141" s="484" t="str">
        <f>'A) Base RI'!B142</f>
        <v>Denges</v>
      </c>
      <c r="C141" s="493">
        <v>1175019.1383224772</v>
      </c>
      <c r="D141" s="487">
        <v>869242.70695091155</v>
      </c>
      <c r="E141" s="493">
        <v>0</v>
      </c>
      <c r="F141" s="487">
        <v>0</v>
      </c>
      <c r="G141" s="493">
        <v>0</v>
      </c>
      <c r="H141" s="487">
        <v>2044261.8452733888</v>
      </c>
      <c r="I141" s="159">
        <v>67310.066612903232</v>
      </c>
      <c r="J141" s="490">
        <f>'B) D RI'!U142</f>
        <v>67894.99080645162</v>
      </c>
      <c r="K141" s="68">
        <f t="shared" si="21"/>
        <v>30.370818930099038</v>
      </c>
      <c r="L141" s="35">
        <f>'B) D RI'!S142</f>
        <v>62</v>
      </c>
      <c r="M141" s="35">
        <f t="shared" si="16"/>
        <v>31.629181069900962</v>
      </c>
      <c r="N141" s="35">
        <f>'J) Plafonnement effort'!G140+'J) Plafonnement effort'!H140-'K) Plafonnement aide'!I140</f>
        <v>29.812534973348757</v>
      </c>
      <c r="O141" s="133">
        <f t="shared" si="17"/>
        <v>61.44171604324972</v>
      </c>
      <c r="P141" s="49">
        <f t="shared" si="18"/>
        <v>0</v>
      </c>
      <c r="Q141" s="59">
        <f t="shared" si="22"/>
        <v>0</v>
      </c>
      <c r="R141" s="154">
        <f t="shared" si="19"/>
        <v>61.44171604324972</v>
      </c>
      <c r="S141" s="133">
        <f t="shared" si="20"/>
        <v>-0.5582839567502802</v>
      </c>
      <c r="T141" s="153">
        <f t="shared" si="23"/>
        <v>0</v>
      </c>
      <c r="V141" s="13"/>
    </row>
    <row r="142" spans="1:22" x14ac:dyDescent="0.25">
      <c r="A142" s="51">
        <f>'A) Base RI'!A143</f>
        <v>5633</v>
      </c>
      <c r="B142" s="484" t="str">
        <f>'A) Base RI'!B143</f>
        <v>Echandens</v>
      </c>
      <c r="C142" s="493">
        <v>2346671.3582331445</v>
      </c>
      <c r="D142" s="487">
        <v>1894114.166194167</v>
      </c>
      <c r="E142" s="493">
        <v>0</v>
      </c>
      <c r="F142" s="487">
        <v>0</v>
      </c>
      <c r="G142" s="493">
        <v>0</v>
      </c>
      <c r="H142" s="487">
        <v>4240785.5244273115</v>
      </c>
      <c r="I142" s="159">
        <v>139554.44612903227</v>
      </c>
      <c r="J142" s="490">
        <f>'B) D RI'!U143</f>
        <v>131889.87370967743</v>
      </c>
      <c r="K142" s="68">
        <f t="shared" si="21"/>
        <v>30.388035939079106</v>
      </c>
      <c r="L142" s="35">
        <f>'B) D RI'!S143</f>
        <v>62</v>
      </c>
      <c r="M142" s="35">
        <f t="shared" si="16"/>
        <v>31.611964060920894</v>
      </c>
      <c r="N142" s="35">
        <f>'J) Plafonnement effort'!G141+'J) Plafonnement effort'!H141-'K) Plafonnement aide'!I141</f>
        <v>27.901794655929407</v>
      </c>
      <c r="O142" s="133">
        <f t="shared" si="17"/>
        <v>59.513758716850305</v>
      </c>
      <c r="P142" s="49">
        <f t="shared" si="18"/>
        <v>0</v>
      </c>
      <c r="Q142" s="59">
        <f t="shared" si="22"/>
        <v>0</v>
      </c>
      <c r="R142" s="154">
        <f t="shared" si="19"/>
        <v>59.513758716850305</v>
      </c>
      <c r="S142" s="133">
        <f t="shared" si="20"/>
        <v>-2.4862412831496954</v>
      </c>
      <c r="T142" s="153">
        <f t="shared" si="23"/>
        <v>0</v>
      </c>
      <c r="V142" s="13"/>
    </row>
    <row r="143" spans="1:22" x14ac:dyDescent="0.25">
      <c r="A143" s="51">
        <f>'A) Base RI'!A144</f>
        <v>5634</v>
      </c>
      <c r="B143" s="484" t="str">
        <f>'A) Base RI'!B144</f>
        <v>Echichens</v>
      </c>
      <c r="C143" s="493">
        <v>2354186.5110615594</v>
      </c>
      <c r="D143" s="487">
        <v>1668718.2736119162</v>
      </c>
      <c r="E143" s="493">
        <v>0</v>
      </c>
      <c r="F143" s="487">
        <v>0</v>
      </c>
      <c r="G143" s="493">
        <v>0</v>
      </c>
      <c r="H143" s="487">
        <v>4022904.7846734757</v>
      </c>
      <c r="I143" s="159">
        <v>125699.21529411766</v>
      </c>
      <c r="J143" s="490">
        <f>'B) D RI'!U144</f>
        <v>127167.81867647056</v>
      </c>
      <c r="K143" s="68">
        <f t="shared" si="21"/>
        <v>32.004215581302326</v>
      </c>
      <c r="L143" s="35">
        <f>'B) D RI'!S144</f>
        <v>68</v>
      </c>
      <c r="M143" s="35">
        <f t="shared" si="16"/>
        <v>35.995784418697674</v>
      </c>
      <c r="N143" s="35">
        <f>'J) Plafonnement effort'!G142+'J) Plafonnement effort'!H142-'K) Plafonnement aide'!I142</f>
        <v>32.210925538566251</v>
      </c>
      <c r="O143" s="133">
        <f t="shared" si="17"/>
        <v>68.206709957263925</v>
      </c>
      <c r="P143" s="49">
        <f t="shared" si="18"/>
        <v>0</v>
      </c>
      <c r="Q143" s="59">
        <f t="shared" si="22"/>
        <v>0</v>
      </c>
      <c r="R143" s="154">
        <f t="shared" si="19"/>
        <v>68.206709957263925</v>
      </c>
      <c r="S143" s="133">
        <f t="shared" si="20"/>
        <v>0.20670995726392505</v>
      </c>
      <c r="T143" s="153">
        <f t="shared" si="23"/>
        <v>0</v>
      </c>
      <c r="V143" s="13"/>
    </row>
    <row r="144" spans="1:22" x14ac:dyDescent="0.25">
      <c r="A144" s="51">
        <f>'A) Base RI'!A145</f>
        <v>5635</v>
      </c>
      <c r="B144" s="484" t="str">
        <f>'A) Base RI'!B145</f>
        <v>Ecublens</v>
      </c>
      <c r="C144" s="493">
        <v>7705199.837431292</v>
      </c>
      <c r="D144" s="487">
        <v>-948171.32835001685</v>
      </c>
      <c r="E144" s="493">
        <v>0</v>
      </c>
      <c r="F144" s="487">
        <v>0</v>
      </c>
      <c r="G144" s="493">
        <v>0</v>
      </c>
      <c r="H144" s="487">
        <v>6757028.5090812752</v>
      </c>
      <c r="I144" s="159">
        <v>424543.31159592536</v>
      </c>
      <c r="J144" s="490">
        <f>'B) D RI'!U145</f>
        <v>453953.99228353141</v>
      </c>
      <c r="K144" s="68">
        <f t="shared" si="21"/>
        <v>15.915993314511393</v>
      </c>
      <c r="L144" s="35">
        <f>'B) D RI'!S145</f>
        <v>62</v>
      </c>
      <c r="M144" s="35">
        <f t="shared" si="16"/>
        <v>46.084006685488603</v>
      </c>
      <c r="N144" s="35">
        <f>'J) Plafonnement effort'!G143+'J) Plafonnement effort'!H143-'K) Plafonnement aide'!I143</f>
        <v>11.279486646021658</v>
      </c>
      <c r="O144" s="133">
        <f t="shared" si="17"/>
        <v>57.363493331510263</v>
      </c>
      <c r="P144" s="49">
        <f t="shared" si="18"/>
        <v>0</v>
      </c>
      <c r="Q144" s="59">
        <f t="shared" si="22"/>
        <v>0</v>
      </c>
      <c r="R144" s="154">
        <f t="shared" si="19"/>
        <v>57.363493331510263</v>
      </c>
      <c r="S144" s="133">
        <f t="shared" si="20"/>
        <v>-4.6365066684897371</v>
      </c>
      <c r="T144" s="153">
        <f t="shared" si="23"/>
        <v>0</v>
      </c>
      <c r="V144" s="13"/>
    </row>
    <row r="145" spans="1:22" x14ac:dyDescent="0.25">
      <c r="A145" s="51">
        <f>'A) Base RI'!A146</f>
        <v>5636</v>
      </c>
      <c r="B145" s="484" t="str">
        <f>'A) Base RI'!B146</f>
        <v>Etoy</v>
      </c>
      <c r="C145" s="493">
        <v>4869832.6173175424</v>
      </c>
      <c r="D145" s="487">
        <v>2043453.317690786</v>
      </c>
      <c r="E145" s="493">
        <v>0</v>
      </c>
      <c r="F145" s="487">
        <v>0</v>
      </c>
      <c r="G145" s="493">
        <v>0</v>
      </c>
      <c r="H145" s="487">
        <v>6913285.9350083284</v>
      </c>
      <c r="I145" s="159">
        <v>150854.83475409835</v>
      </c>
      <c r="J145" s="490">
        <f>'B) D RI'!U146</f>
        <v>157303.40508196724</v>
      </c>
      <c r="K145" s="68">
        <f t="shared" si="21"/>
        <v>45.827407164492698</v>
      </c>
      <c r="L145" s="35">
        <f>'B) D RI'!S146</f>
        <v>61</v>
      </c>
      <c r="M145" s="35">
        <f t="shared" si="16"/>
        <v>15.172592835507302</v>
      </c>
      <c r="N145" s="35">
        <f>'J) Plafonnement effort'!G144+'J) Plafonnement effort'!H144-'K) Plafonnement aide'!I144</f>
        <v>33.239386388406828</v>
      </c>
      <c r="O145" s="133">
        <f t="shared" si="17"/>
        <v>48.41197922391413</v>
      </c>
      <c r="P145" s="49">
        <f t="shared" si="18"/>
        <v>0</v>
      </c>
      <c r="Q145" s="59">
        <f t="shared" si="22"/>
        <v>0</v>
      </c>
      <c r="R145" s="154">
        <f t="shared" si="19"/>
        <v>48.41197922391413</v>
      </c>
      <c r="S145" s="133">
        <f t="shared" si="20"/>
        <v>-12.58802077608587</v>
      </c>
      <c r="T145" s="153">
        <f t="shared" si="23"/>
        <v>0</v>
      </c>
      <c r="V145" s="13"/>
    </row>
    <row r="146" spans="1:22" x14ac:dyDescent="0.25">
      <c r="A146" s="51">
        <f>'A) Base RI'!A147</f>
        <v>5637</v>
      </c>
      <c r="B146" s="484" t="str">
        <f>'A) Base RI'!B147</f>
        <v>Lavigny</v>
      </c>
      <c r="C146" s="493">
        <v>663503.37035954942</v>
      </c>
      <c r="D146" s="487">
        <v>373433.9436036445</v>
      </c>
      <c r="E146" s="493">
        <v>0</v>
      </c>
      <c r="F146" s="487">
        <v>0</v>
      </c>
      <c r="G146" s="493">
        <v>0</v>
      </c>
      <c r="H146" s="487">
        <v>1036937.3139631939</v>
      </c>
      <c r="I146" s="159">
        <v>35788.809619686814</v>
      </c>
      <c r="J146" s="490">
        <f>'B) D RI'!U147</f>
        <v>36259.562058165546</v>
      </c>
      <c r="K146" s="68">
        <f t="shared" si="21"/>
        <v>28.973786079568079</v>
      </c>
      <c r="L146" s="35">
        <f>'B) D RI'!S147</f>
        <v>74.5</v>
      </c>
      <c r="M146" s="35">
        <f t="shared" si="16"/>
        <v>45.526213920431921</v>
      </c>
      <c r="N146" s="35">
        <f>'J) Plafonnement effort'!G145+'J) Plafonnement effort'!H145-'K) Plafonnement aide'!I145</f>
        <v>26.191629549532642</v>
      </c>
      <c r="O146" s="133">
        <f t="shared" si="17"/>
        <v>71.717843469964563</v>
      </c>
      <c r="P146" s="49">
        <f t="shared" si="18"/>
        <v>0</v>
      </c>
      <c r="Q146" s="59">
        <f t="shared" si="22"/>
        <v>0</v>
      </c>
      <c r="R146" s="154">
        <f t="shared" si="19"/>
        <v>71.717843469964563</v>
      </c>
      <c r="S146" s="133">
        <f t="shared" si="20"/>
        <v>-2.7821565300354365</v>
      </c>
      <c r="T146" s="153">
        <f t="shared" si="23"/>
        <v>0</v>
      </c>
      <c r="V146" s="13"/>
    </row>
    <row r="147" spans="1:22" x14ac:dyDescent="0.25">
      <c r="A147" s="51">
        <f>'A) Base RI'!A148</f>
        <v>5638</v>
      </c>
      <c r="B147" s="484" t="str">
        <f>'A) Base RI'!B148</f>
        <v>Lonay</v>
      </c>
      <c r="C147" s="493">
        <v>3741870.5445950818</v>
      </c>
      <c r="D147" s="487">
        <v>2113626.6583857099</v>
      </c>
      <c r="E147" s="493">
        <v>0</v>
      </c>
      <c r="F147" s="487">
        <v>0</v>
      </c>
      <c r="G147" s="493">
        <v>0</v>
      </c>
      <c r="H147" s="487">
        <v>5855497.2029807921</v>
      </c>
      <c r="I147" s="159">
        <v>150874.30218181817</v>
      </c>
      <c r="J147" s="490">
        <f>'B) D RI'!U148</f>
        <v>153961.25072727271</v>
      </c>
      <c r="K147" s="68">
        <f t="shared" si="21"/>
        <v>38.810434370223959</v>
      </c>
      <c r="L147" s="35">
        <f>'B) D RI'!S148</f>
        <v>55</v>
      </c>
      <c r="M147" s="35">
        <f t="shared" si="16"/>
        <v>16.189565629776041</v>
      </c>
      <c r="N147" s="35">
        <f>'J) Plafonnement effort'!G146+'J) Plafonnement effort'!H146-'K) Plafonnement aide'!I146</f>
        <v>48.492788545766487</v>
      </c>
      <c r="O147" s="133">
        <f t="shared" si="17"/>
        <v>64.682354175542528</v>
      </c>
      <c r="P147" s="49">
        <f t="shared" si="18"/>
        <v>0</v>
      </c>
      <c r="Q147" s="59">
        <f t="shared" si="22"/>
        <v>0</v>
      </c>
      <c r="R147" s="154">
        <f t="shared" si="19"/>
        <v>64.682354175542528</v>
      </c>
      <c r="S147" s="133">
        <f t="shared" si="20"/>
        <v>9.6823541755425282</v>
      </c>
      <c r="T147" s="153">
        <f t="shared" si="23"/>
        <v>0</v>
      </c>
      <c r="V147" s="13"/>
    </row>
    <row r="148" spans="1:22" x14ac:dyDescent="0.25">
      <c r="A148" s="51">
        <f>'A) Base RI'!A149</f>
        <v>5639</v>
      </c>
      <c r="B148" s="484" t="str">
        <f>'A) Base RI'!B149</f>
        <v>Lully</v>
      </c>
      <c r="C148" s="493">
        <v>685766.95923887077</v>
      </c>
      <c r="D148" s="487">
        <v>696965.34855499119</v>
      </c>
      <c r="E148" s="493">
        <v>0</v>
      </c>
      <c r="F148" s="487">
        <v>0</v>
      </c>
      <c r="G148" s="493">
        <v>0</v>
      </c>
      <c r="H148" s="487">
        <v>1382732.307793862</v>
      </c>
      <c r="I148" s="159">
        <v>41723.705573770494</v>
      </c>
      <c r="J148" s="490">
        <f>'B) D RI'!U149</f>
        <v>51753.051967213112</v>
      </c>
      <c r="K148" s="68">
        <f t="shared" si="21"/>
        <v>33.140208636289323</v>
      </c>
      <c r="L148" s="35">
        <f>'B) D RI'!S149</f>
        <v>61</v>
      </c>
      <c r="M148" s="35">
        <f t="shared" si="16"/>
        <v>27.859791363710677</v>
      </c>
      <c r="N148" s="35">
        <f>'J) Plafonnement effort'!G147+'J) Plafonnement effort'!H147-'K) Plafonnement aide'!I147</f>
        <v>35.865395668588405</v>
      </c>
      <c r="O148" s="133">
        <f t="shared" si="17"/>
        <v>63.725187032299083</v>
      </c>
      <c r="P148" s="49">
        <f t="shared" si="18"/>
        <v>0</v>
      </c>
      <c r="Q148" s="59">
        <f t="shared" si="22"/>
        <v>0</v>
      </c>
      <c r="R148" s="154">
        <f t="shared" si="19"/>
        <v>63.725187032299083</v>
      </c>
      <c r="S148" s="133">
        <f t="shared" si="20"/>
        <v>2.7251870322990825</v>
      </c>
      <c r="T148" s="153">
        <f t="shared" si="23"/>
        <v>0</v>
      </c>
      <c r="V148" s="13"/>
    </row>
    <row r="149" spans="1:22" x14ac:dyDescent="0.25">
      <c r="A149" s="51">
        <f>'A) Base RI'!A150</f>
        <v>5640</v>
      </c>
      <c r="B149" s="484" t="str">
        <f>'A) Base RI'!B150</f>
        <v>Lussy-sur-Morges</v>
      </c>
      <c r="C149" s="493">
        <v>1367933.1713079782</v>
      </c>
      <c r="D149" s="487">
        <v>804586.71207194228</v>
      </c>
      <c r="E149" s="493">
        <v>0</v>
      </c>
      <c r="F149" s="487">
        <v>0</v>
      </c>
      <c r="G149" s="493">
        <v>0</v>
      </c>
      <c r="H149" s="487">
        <v>2172519.8833799204</v>
      </c>
      <c r="I149" s="159">
        <v>54175.567575757566</v>
      </c>
      <c r="J149" s="490">
        <f>'B) D RI'!U150</f>
        <v>55596.399848484849</v>
      </c>
      <c r="K149" s="68">
        <f t="shared" si="21"/>
        <v>40.101469732493911</v>
      </c>
      <c r="L149" s="35">
        <f>'B) D RI'!S150</f>
        <v>66</v>
      </c>
      <c r="M149" s="35">
        <f t="shared" si="16"/>
        <v>25.898530267506089</v>
      </c>
      <c r="N149" s="35">
        <f>'J) Plafonnement effort'!G148+'J) Plafonnement effort'!H148-'K) Plafonnement aide'!I148</f>
        <v>51.478263367441428</v>
      </c>
      <c r="O149" s="133">
        <f t="shared" si="17"/>
        <v>77.376793634947518</v>
      </c>
      <c r="P149" s="49">
        <f t="shared" si="18"/>
        <v>0</v>
      </c>
      <c r="Q149" s="59">
        <f t="shared" si="22"/>
        <v>0</v>
      </c>
      <c r="R149" s="154">
        <f t="shared" si="19"/>
        <v>77.376793634947518</v>
      </c>
      <c r="S149" s="133">
        <f t="shared" si="20"/>
        <v>11.376793634947518</v>
      </c>
      <c r="T149" s="153">
        <f t="shared" si="23"/>
        <v>0</v>
      </c>
      <c r="V149" s="13"/>
    </row>
    <row r="150" spans="1:22" x14ac:dyDescent="0.25">
      <c r="A150" s="51">
        <f>'A) Base RI'!A151</f>
        <v>5642</v>
      </c>
      <c r="B150" s="484" t="str">
        <f>'A) Base RI'!B151</f>
        <v>Morges</v>
      </c>
      <c r="C150" s="493">
        <v>13959435.56192866</v>
      </c>
      <c r="D150" s="487">
        <v>4048692.5650813263</v>
      </c>
      <c r="E150" s="493">
        <v>0</v>
      </c>
      <c r="F150" s="487">
        <v>0</v>
      </c>
      <c r="G150" s="493">
        <v>0</v>
      </c>
      <c r="H150" s="487">
        <v>18008128.127009988</v>
      </c>
      <c r="I150" s="159">
        <v>781778.61635036487</v>
      </c>
      <c r="J150" s="490">
        <f>'B) D RI'!U151</f>
        <v>777988.51795620425</v>
      </c>
      <c r="K150" s="68">
        <f t="shared" si="21"/>
        <v>23.03481797836665</v>
      </c>
      <c r="L150" s="35">
        <f>'B) D RI'!S151</f>
        <v>68.5</v>
      </c>
      <c r="M150" s="35">
        <f t="shared" si="16"/>
        <v>45.465182021633353</v>
      </c>
      <c r="N150" s="35">
        <f>'J) Plafonnement effort'!G149+'J) Plafonnement effort'!H149-'K) Plafonnement aide'!I149</f>
        <v>23.543489524762364</v>
      </c>
      <c r="O150" s="133">
        <f t="shared" si="17"/>
        <v>69.008671546395718</v>
      </c>
      <c r="P150" s="49">
        <f t="shared" si="18"/>
        <v>0</v>
      </c>
      <c r="Q150" s="59">
        <f t="shared" si="22"/>
        <v>0</v>
      </c>
      <c r="R150" s="154">
        <f t="shared" si="19"/>
        <v>69.008671546395718</v>
      </c>
      <c r="S150" s="133">
        <f t="shared" si="20"/>
        <v>0.50867154639571766</v>
      </c>
      <c r="T150" s="153">
        <f t="shared" si="23"/>
        <v>0</v>
      </c>
      <c r="V150" s="13"/>
    </row>
    <row r="151" spans="1:22" x14ac:dyDescent="0.25">
      <c r="A151" s="51">
        <f>'A) Base RI'!A152</f>
        <v>5643</v>
      </c>
      <c r="B151" s="484" t="str">
        <f>'A) Base RI'!B152</f>
        <v>Préverenges</v>
      </c>
      <c r="C151" s="493">
        <v>4401768.0671425899</v>
      </c>
      <c r="D151" s="487">
        <v>2939076.6267630802</v>
      </c>
      <c r="E151" s="493">
        <v>0</v>
      </c>
      <c r="F151" s="487">
        <v>0</v>
      </c>
      <c r="G151" s="493">
        <v>0</v>
      </c>
      <c r="H151" s="487">
        <v>7340844.6939056702</v>
      </c>
      <c r="I151" s="159">
        <v>262779.91921874997</v>
      </c>
      <c r="J151" s="490">
        <f>'B) D RI'!U152</f>
        <v>264736.09703124996</v>
      </c>
      <c r="K151" s="68">
        <f t="shared" si="21"/>
        <v>27.935333551095344</v>
      </c>
      <c r="L151" s="35">
        <f>'B) D RI'!S152</f>
        <v>64</v>
      </c>
      <c r="M151" s="35">
        <f t="shared" si="16"/>
        <v>36.06466644890466</v>
      </c>
      <c r="N151" s="35">
        <f>'J) Plafonnement effort'!G150+'J) Plafonnement effort'!H150-'K) Plafonnement aide'!I150</f>
        <v>27.455605520349124</v>
      </c>
      <c r="O151" s="133">
        <f t="shared" si="17"/>
        <v>63.520271969253784</v>
      </c>
      <c r="P151" s="49">
        <f t="shared" si="18"/>
        <v>0</v>
      </c>
      <c r="Q151" s="59">
        <f t="shared" si="22"/>
        <v>0</v>
      </c>
      <c r="R151" s="154">
        <f t="shared" si="19"/>
        <v>63.520271969253784</v>
      </c>
      <c r="S151" s="133">
        <f t="shared" si="20"/>
        <v>-0.47972803074621595</v>
      </c>
      <c r="T151" s="153">
        <f t="shared" si="23"/>
        <v>0</v>
      </c>
      <c r="V151" s="13"/>
    </row>
    <row r="152" spans="1:22" x14ac:dyDescent="0.25">
      <c r="A152" s="51">
        <f>'A) Base RI'!A153</f>
        <v>5644</v>
      </c>
      <c r="B152" s="484" t="str">
        <f>'A) Base RI'!B153</f>
        <v>Reverolle</v>
      </c>
      <c r="C152" s="493">
        <v>238774.97373223474</v>
      </c>
      <c r="D152" s="487">
        <v>177505.81919936254</v>
      </c>
      <c r="E152" s="493">
        <v>0</v>
      </c>
      <c r="F152" s="487">
        <v>0</v>
      </c>
      <c r="G152" s="493">
        <v>0</v>
      </c>
      <c r="H152" s="487">
        <v>416280.79293159727</v>
      </c>
      <c r="I152" s="159">
        <v>14128.860263157892</v>
      </c>
      <c r="J152" s="490">
        <f>'B) D RI'!U153</f>
        <v>15137.442236842104</v>
      </c>
      <c r="K152" s="68">
        <f t="shared" si="21"/>
        <v>29.463154506317963</v>
      </c>
      <c r="L152" s="35">
        <f>'B) D RI'!S153</f>
        <v>76</v>
      </c>
      <c r="M152" s="35">
        <f t="shared" si="16"/>
        <v>46.536845493682037</v>
      </c>
      <c r="N152" s="35">
        <f>'J) Plafonnement effort'!G151+'J) Plafonnement effort'!H151-'K) Plafonnement aide'!I151</f>
        <v>27.455469340236043</v>
      </c>
      <c r="O152" s="133">
        <f t="shared" si="17"/>
        <v>73.992314833918073</v>
      </c>
      <c r="P152" s="49">
        <f t="shared" si="18"/>
        <v>0</v>
      </c>
      <c r="Q152" s="59">
        <f t="shared" si="22"/>
        <v>0</v>
      </c>
      <c r="R152" s="154">
        <f t="shared" si="19"/>
        <v>73.992314833918073</v>
      </c>
      <c r="S152" s="133">
        <f t="shared" si="20"/>
        <v>-2.0076851660819273</v>
      </c>
      <c r="T152" s="153">
        <f t="shared" si="23"/>
        <v>0</v>
      </c>
      <c r="V152" s="13"/>
    </row>
    <row r="153" spans="1:22" x14ac:dyDescent="0.25">
      <c r="A153" s="51">
        <f>'A) Base RI'!A154</f>
        <v>5645</v>
      </c>
      <c r="B153" s="484" t="str">
        <f>'A) Base RI'!B154</f>
        <v>Romanel-sur-Morges</v>
      </c>
      <c r="C153" s="493">
        <v>457265.5289730982</v>
      </c>
      <c r="D153" s="487">
        <v>442116.67080437276</v>
      </c>
      <c r="E153" s="493">
        <v>0</v>
      </c>
      <c r="F153" s="487">
        <v>0</v>
      </c>
      <c r="G153" s="493">
        <v>0</v>
      </c>
      <c r="H153" s="487">
        <v>899382.1997774709</v>
      </c>
      <c r="I153" s="159">
        <v>26355.884598214288</v>
      </c>
      <c r="J153" s="490">
        <f>'B) D RI'!U154</f>
        <v>26934.860133928574</v>
      </c>
      <c r="K153" s="68">
        <f t="shared" si="21"/>
        <v>34.124530953455739</v>
      </c>
      <c r="L153" s="35">
        <f>'B) D RI'!S154</f>
        <v>56</v>
      </c>
      <c r="M153" s="35">
        <f t="shared" si="16"/>
        <v>21.875469046544261</v>
      </c>
      <c r="N153" s="35">
        <f>'J) Plafonnement effort'!G152+'J) Plafonnement effort'!H152-'K) Plafonnement aide'!I152</f>
        <v>33.319989019433883</v>
      </c>
      <c r="O153" s="133">
        <f t="shared" si="17"/>
        <v>55.195458065978144</v>
      </c>
      <c r="P153" s="49">
        <f t="shared" si="18"/>
        <v>0</v>
      </c>
      <c r="Q153" s="59">
        <f t="shared" si="22"/>
        <v>0</v>
      </c>
      <c r="R153" s="154">
        <f t="shared" si="19"/>
        <v>55.195458065978144</v>
      </c>
      <c r="S153" s="133">
        <f t="shared" si="20"/>
        <v>-0.80454193402185581</v>
      </c>
      <c r="T153" s="153">
        <f t="shared" si="23"/>
        <v>0</v>
      </c>
      <c r="V153" s="13"/>
    </row>
    <row r="154" spans="1:22" x14ac:dyDescent="0.25">
      <c r="A154" s="51">
        <f>'A) Base RI'!A155</f>
        <v>5646</v>
      </c>
      <c r="B154" s="484" t="str">
        <f>'A) Base RI'!B155</f>
        <v>Saint-Prex</v>
      </c>
      <c r="C154" s="493">
        <v>12270280.09833025</v>
      </c>
      <c r="D154" s="487">
        <v>6000710.9193396475</v>
      </c>
      <c r="E154" s="493">
        <v>0</v>
      </c>
      <c r="F154" s="487">
        <v>0</v>
      </c>
      <c r="G154" s="493">
        <v>0</v>
      </c>
      <c r="H154" s="487">
        <v>18270991.017669898</v>
      </c>
      <c r="I154" s="159">
        <v>529776.58672727272</v>
      </c>
      <c r="J154" s="490">
        <f>'B) D RI'!U155</f>
        <v>386152.86527272721</v>
      </c>
      <c r="K154" s="68">
        <f t="shared" si="21"/>
        <v>34.488105883538687</v>
      </c>
      <c r="L154" s="35">
        <f>'B) D RI'!S155</f>
        <v>55</v>
      </c>
      <c r="M154" s="35">
        <f t="shared" si="16"/>
        <v>20.511894116461313</v>
      </c>
      <c r="N154" s="35">
        <f>'J) Plafonnement effort'!G153+'J) Plafonnement effort'!H153-'K) Plafonnement aide'!I153</f>
        <v>32.774295283732407</v>
      </c>
      <c r="O154" s="133">
        <f t="shared" si="17"/>
        <v>53.28618940019372</v>
      </c>
      <c r="P154" s="49">
        <f t="shared" si="18"/>
        <v>0</v>
      </c>
      <c r="Q154" s="59">
        <f t="shared" si="22"/>
        <v>0</v>
      </c>
      <c r="R154" s="154">
        <f t="shared" si="19"/>
        <v>53.28618940019372</v>
      </c>
      <c r="S154" s="133">
        <f t="shared" si="20"/>
        <v>-1.7138105998062798</v>
      </c>
      <c r="T154" s="153">
        <f t="shared" si="23"/>
        <v>0</v>
      </c>
      <c r="V154" s="13"/>
    </row>
    <row r="155" spans="1:22" x14ac:dyDescent="0.25">
      <c r="A155" s="51">
        <f>'A) Base RI'!A156</f>
        <v>5648</v>
      </c>
      <c r="B155" s="484" t="str">
        <f>'A) Base RI'!B156</f>
        <v>Saint-Sulpice</v>
      </c>
      <c r="C155" s="493">
        <v>7501667.0299877655</v>
      </c>
      <c r="D155" s="487">
        <v>3951974.6925748205</v>
      </c>
      <c r="E155" s="493">
        <v>0</v>
      </c>
      <c r="F155" s="487">
        <v>0</v>
      </c>
      <c r="G155" s="493">
        <v>0</v>
      </c>
      <c r="H155" s="487">
        <v>11453641.722562585</v>
      </c>
      <c r="I155" s="159">
        <v>320539.61704545456</v>
      </c>
      <c r="J155" s="490">
        <f>'B) D RI'!U156</f>
        <v>363756.87836363638</v>
      </c>
      <c r="K155" s="68">
        <f t="shared" si="21"/>
        <v>35.732374762706435</v>
      </c>
      <c r="L155" s="35">
        <f>'B) D RI'!S156</f>
        <v>55</v>
      </c>
      <c r="M155" s="35">
        <f t="shared" si="16"/>
        <v>19.267625237293565</v>
      </c>
      <c r="N155" s="35">
        <f>'J) Plafonnement effort'!G154+'J) Plafonnement effort'!H154-'K) Plafonnement aide'!I154</f>
        <v>36.747842991025252</v>
      </c>
      <c r="O155" s="133">
        <f t="shared" si="17"/>
        <v>56.015468228318817</v>
      </c>
      <c r="P155" s="49">
        <f t="shared" si="18"/>
        <v>0</v>
      </c>
      <c r="Q155" s="59">
        <f t="shared" si="22"/>
        <v>0</v>
      </c>
      <c r="R155" s="154">
        <f t="shared" si="19"/>
        <v>56.015468228318817</v>
      </c>
      <c r="S155" s="133">
        <f t="shared" si="20"/>
        <v>1.0154682283188166</v>
      </c>
      <c r="T155" s="153">
        <f t="shared" si="23"/>
        <v>0</v>
      </c>
      <c r="V155" s="13"/>
    </row>
    <row r="156" spans="1:22" x14ac:dyDescent="0.25">
      <c r="A156" s="51">
        <f>'A) Base RI'!A157</f>
        <v>5649</v>
      </c>
      <c r="B156" s="484" t="str">
        <f>'A) Base RI'!B157</f>
        <v>Tolochenaz</v>
      </c>
      <c r="C156" s="493">
        <v>1604190.2370676289</v>
      </c>
      <c r="D156" s="487">
        <v>1004787.9506859914</v>
      </c>
      <c r="E156" s="493">
        <v>0</v>
      </c>
      <c r="F156" s="487">
        <v>0</v>
      </c>
      <c r="G156" s="493">
        <v>0</v>
      </c>
      <c r="H156" s="487">
        <v>2608978.1877536206</v>
      </c>
      <c r="I156" s="159">
        <v>78727.730769230766</v>
      </c>
      <c r="J156" s="490">
        <f>'B) D RI'!U157</f>
        <v>238285.06261538458</v>
      </c>
      <c r="K156" s="68">
        <f t="shared" si="21"/>
        <v>33.139252995887063</v>
      </c>
      <c r="L156" s="35">
        <f>'B) D RI'!S157</f>
        <v>65</v>
      </c>
      <c r="M156" s="35">
        <f t="shared" si="16"/>
        <v>31.860747004112937</v>
      </c>
      <c r="N156" s="35">
        <f>'J) Plafonnement effort'!G155+'J) Plafonnement effort'!H155-'K) Plafonnement aide'!I155</f>
        <v>45.237972970997035</v>
      </c>
      <c r="O156" s="133">
        <f t="shared" si="17"/>
        <v>77.098719975109972</v>
      </c>
      <c r="P156" s="49">
        <f t="shared" si="18"/>
        <v>0</v>
      </c>
      <c r="Q156" s="59">
        <f t="shared" si="22"/>
        <v>0</v>
      </c>
      <c r="R156" s="154">
        <f t="shared" si="19"/>
        <v>77.098719975109972</v>
      </c>
      <c r="S156" s="133">
        <f t="shared" si="20"/>
        <v>12.098719975109972</v>
      </c>
      <c r="T156" s="153">
        <f t="shared" si="23"/>
        <v>0</v>
      </c>
      <c r="V156" s="13"/>
    </row>
    <row r="157" spans="1:22" x14ac:dyDescent="0.25">
      <c r="A157" s="51">
        <f>'A) Base RI'!A158</f>
        <v>5650</v>
      </c>
      <c r="B157" s="484" t="str">
        <f>'A) Base RI'!B158</f>
        <v>Vaux-sur-Morges</v>
      </c>
      <c r="C157" s="493">
        <v>7686934.4183198381</v>
      </c>
      <c r="D157" s="487">
        <v>1796976.9289439006</v>
      </c>
      <c r="E157" s="493">
        <v>0</v>
      </c>
      <c r="F157" s="487">
        <v>0</v>
      </c>
      <c r="G157" s="493">
        <v>0</v>
      </c>
      <c r="H157" s="487">
        <v>9483911.3472637385</v>
      </c>
      <c r="I157" s="159">
        <v>258152.18179487175</v>
      </c>
      <c r="J157" s="490">
        <f>'B) D RI'!U158</f>
        <v>169784.43892857147</v>
      </c>
      <c r="K157" s="68">
        <f t="shared" si="21"/>
        <v>36.737676518262681</v>
      </c>
      <c r="L157" s="35">
        <f>'B) D RI'!S158</f>
        <v>56</v>
      </c>
      <c r="M157" s="35">
        <f t="shared" si="16"/>
        <v>19.262323481737319</v>
      </c>
      <c r="N157" s="35">
        <f>'J) Plafonnement effort'!G156+'J) Plafonnement effort'!H156-'K) Plafonnement aide'!I156</f>
        <v>54.031012250258669</v>
      </c>
      <c r="O157" s="133">
        <f t="shared" si="17"/>
        <v>73.293335731995995</v>
      </c>
      <c r="P157" s="49">
        <f t="shared" si="18"/>
        <v>0</v>
      </c>
      <c r="Q157" s="59">
        <f t="shared" si="22"/>
        <v>0</v>
      </c>
      <c r="R157" s="154">
        <f t="shared" si="19"/>
        <v>73.293335731995995</v>
      </c>
      <c r="S157" s="133">
        <f t="shared" si="20"/>
        <v>17.293335731995995</v>
      </c>
      <c r="T157" s="153">
        <f t="shared" si="23"/>
        <v>0</v>
      </c>
      <c r="V157" s="13"/>
    </row>
    <row r="158" spans="1:22" x14ac:dyDescent="0.25">
      <c r="A158" s="51">
        <f>'A) Base RI'!A159</f>
        <v>5651</v>
      </c>
      <c r="B158" s="484" t="str">
        <f>'A) Base RI'!B159</f>
        <v>Villars-Sainte-Croix</v>
      </c>
      <c r="C158" s="493">
        <v>798458.86107769748</v>
      </c>
      <c r="D158" s="487">
        <v>642619.06754763552</v>
      </c>
      <c r="E158" s="493">
        <v>0</v>
      </c>
      <c r="F158" s="487">
        <v>0</v>
      </c>
      <c r="G158" s="493">
        <v>0</v>
      </c>
      <c r="H158" s="487">
        <v>1441077.9286253331</v>
      </c>
      <c r="I158" s="159">
        <v>39092.930338983046</v>
      </c>
      <c r="J158" s="490">
        <f>'B) D RI'!U159</f>
        <v>53160.152372881355</v>
      </c>
      <c r="K158" s="68">
        <f t="shared" si="21"/>
        <v>36.862878175911668</v>
      </c>
      <c r="L158" s="35">
        <f>'B) D RI'!S159</f>
        <v>59</v>
      </c>
      <c r="M158" s="35">
        <f t="shared" si="16"/>
        <v>22.137121824088332</v>
      </c>
      <c r="N158" s="35">
        <f>'J) Plafonnement effort'!G157+'J) Plafonnement effort'!H157-'K) Plafonnement aide'!I157</f>
        <v>35.59920568293569</v>
      </c>
      <c r="O158" s="133">
        <f t="shared" si="17"/>
        <v>57.736327507024022</v>
      </c>
      <c r="P158" s="49">
        <f t="shared" si="18"/>
        <v>0</v>
      </c>
      <c r="Q158" s="59">
        <f t="shared" si="22"/>
        <v>0</v>
      </c>
      <c r="R158" s="154">
        <f t="shared" si="19"/>
        <v>57.736327507024022</v>
      </c>
      <c r="S158" s="133">
        <f t="shared" si="20"/>
        <v>-1.2636724929759779</v>
      </c>
      <c r="T158" s="153">
        <f t="shared" si="23"/>
        <v>0</v>
      </c>
      <c r="V158" s="13"/>
    </row>
    <row r="159" spans="1:22" x14ac:dyDescent="0.25">
      <c r="A159" s="51">
        <f>'A) Base RI'!A160</f>
        <v>5652</v>
      </c>
      <c r="B159" s="484" t="str">
        <f>'A) Base RI'!B160</f>
        <v>Villars-sous-Yens</v>
      </c>
      <c r="C159" s="493">
        <v>385884.38663733873</v>
      </c>
      <c r="D159" s="487">
        <v>245223.59214067826</v>
      </c>
      <c r="E159" s="493">
        <v>0</v>
      </c>
      <c r="F159" s="487">
        <v>0</v>
      </c>
      <c r="G159" s="493">
        <v>0</v>
      </c>
      <c r="H159" s="487">
        <v>631107.97877801699</v>
      </c>
      <c r="I159" s="159">
        <v>21921.455131578947</v>
      </c>
      <c r="J159" s="490">
        <f>'B) D RI'!U160</f>
        <v>25892.335109649121</v>
      </c>
      <c r="K159" s="68">
        <f t="shared" si="21"/>
        <v>28.789511234082017</v>
      </c>
      <c r="L159" s="35">
        <f>'B) D RI'!S160</f>
        <v>76</v>
      </c>
      <c r="M159" s="35">
        <f t="shared" si="16"/>
        <v>47.210488765917987</v>
      </c>
      <c r="N159" s="35">
        <f>'J) Plafonnement effort'!G158+'J) Plafonnement effort'!H158-'K) Plafonnement aide'!I158</f>
        <v>30.75531580079813</v>
      </c>
      <c r="O159" s="133">
        <f t="shared" si="17"/>
        <v>77.965804566716116</v>
      </c>
      <c r="P159" s="49">
        <f t="shared" si="18"/>
        <v>0</v>
      </c>
      <c r="Q159" s="59">
        <f t="shared" si="22"/>
        <v>0</v>
      </c>
      <c r="R159" s="154">
        <f t="shared" si="19"/>
        <v>77.965804566716116</v>
      </c>
      <c r="S159" s="133">
        <f t="shared" si="20"/>
        <v>1.9658045667161161</v>
      </c>
      <c r="T159" s="153">
        <f t="shared" si="23"/>
        <v>0</v>
      </c>
      <c r="V159" s="13"/>
    </row>
    <row r="160" spans="1:22" x14ac:dyDescent="0.25">
      <c r="A160" s="51">
        <f>'A) Base RI'!A161</f>
        <v>5653</v>
      </c>
      <c r="B160" s="484" t="str">
        <f>'A) Base RI'!B161</f>
        <v>Vufflens-le-Château</v>
      </c>
      <c r="C160" s="493">
        <v>1210413.0951666122</v>
      </c>
      <c r="D160" s="487">
        <v>954070.83439521003</v>
      </c>
      <c r="E160" s="493">
        <v>0</v>
      </c>
      <c r="F160" s="487">
        <v>0</v>
      </c>
      <c r="G160" s="493">
        <v>0</v>
      </c>
      <c r="H160" s="487">
        <v>2164483.9295618222</v>
      </c>
      <c r="I160" s="159">
        <v>61105.159227272721</v>
      </c>
      <c r="J160" s="490">
        <f>'B) D RI'!U161</f>
        <v>58132.597454545445</v>
      </c>
      <c r="K160" s="68">
        <f t="shared" si="21"/>
        <v>35.422277872009218</v>
      </c>
      <c r="L160" s="35">
        <f>'B) D RI'!S161</f>
        <v>55</v>
      </c>
      <c r="M160" s="35">
        <f t="shared" si="16"/>
        <v>19.577722127990782</v>
      </c>
      <c r="N160" s="35">
        <f>'J) Plafonnement effort'!G159+'J) Plafonnement effort'!H159-'K) Plafonnement aide'!I159</f>
        <v>34.516335836089837</v>
      </c>
      <c r="O160" s="133">
        <f t="shared" si="17"/>
        <v>54.094057964080619</v>
      </c>
      <c r="P160" s="49">
        <f t="shared" si="18"/>
        <v>0</v>
      </c>
      <c r="Q160" s="59">
        <f t="shared" si="22"/>
        <v>0</v>
      </c>
      <c r="R160" s="154">
        <f t="shared" si="19"/>
        <v>54.094057964080619</v>
      </c>
      <c r="S160" s="133">
        <f t="shared" si="20"/>
        <v>-0.90594203591938083</v>
      </c>
      <c r="T160" s="153">
        <f t="shared" si="23"/>
        <v>0</v>
      </c>
      <c r="V160" s="13"/>
    </row>
    <row r="161" spans="1:22" x14ac:dyDescent="0.25">
      <c r="A161" s="51">
        <f>'A) Base RI'!A162</f>
        <v>5654</v>
      </c>
      <c r="B161" s="484" t="str">
        <f>'A) Base RI'!B162</f>
        <v>Vullierens</v>
      </c>
      <c r="C161" s="493">
        <v>299970.02603720711</v>
      </c>
      <c r="D161" s="487">
        <v>199138.74325528854</v>
      </c>
      <c r="E161" s="493">
        <v>0</v>
      </c>
      <c r="F161" s="487">
        <v>0</v>
      </c>
      <c r="G161" s="493">
        <v>0</v>
      </c>
      <c r="H161" s="487">
        <v>499108.76929249568</v>
      </c>
      <c r="I161" s="159">
        <v>17141.735000000001</v>
      </c>
      <c r="J161" s="490">
        <f>'B) D RI'!U162</f>
        <v>18691.767368421053</v>
      </c>
      <c r="K161" s="68">
        <f t="shared" si="21"/>
        <v>29.11658413179854</v>
      </c>
      <c r="L161" s="35">
        <f>'B) D RI'!S162</f>
        <v>76</v>
      </c>
      <c r="M161" s="35">
        <f t="shared" si="16"/>
        <v>46.88341586820146</v>
      </c>
      <c r="N161" s="35">
        <f>'J) Plafonnement effort'!G160+'J) Plafonnement effort'!H160-'K) Plafonnement aide'!I160</f>
        <v>27.107585287996187</v>
      </c>
      <c r="O161" s="133">
        <f t="shared" si="17"/>
        <v>73.991001156197655</v>
      </c>
      <c r="P161" s="49">
        <f t="shared" si="18"/>
        <v>0</v>
      </c>
      <c r="Q161" s="59">
        <f t="shared" si="22"/>
        <v>0</v>
      </c>
      <c r="R161" s="154">
        <f t="shared" si="19"/>
        <v>73.991001156197655</v>
      </c>
      <c r="S161" s="133">
        <f t="shared" si="20"/>
        <v>-2.0089988438023454</v>
      </c>
      <c r="T161" s="153">
        <f t="shared" si="23"/>
        <v>0</v>
      </c>
      <c r="V161" s="13"/>
    </row>
    <row r="162" spans="1:22" x14ac:dyDescent="0.25">
      <c r="A162" s="51">
        <f>'A) Base RI'!A163</f>
        <v>5655</v>
      </c>
      <c r="B162" s="484" t="str">
        <f>'A) Base RI'!B163</f>
        <v>Yens</v>
      </c>
      <c r="C162" s="493">
        <v>1465853.2623299533</v>
      </c>
      <c r="D162" s="487">
        <v>1280429.4483129671</v>
      </c>
      <c r="E162" s="493">
        <v>0</v>
      </c>
      <c r="F162" s="487">
        <v>0</v>
      </c>
      <c r="G162" s="493">
        <v>0</v>
      </c>
      <c r="H162" s="487">
        <v>2746282.7106429203</v>
      </c>
      <c r="I162" s="159">
        <v>83580.564109589031</v>
      </c>
      <c r="J162" s="490">
        <f>'B) D RI'!U163</f>
        <v>72322.592328767118</v>
      </c>
      <c r="K162" s="68">
        <f t="shared" si="21"/>
        <v>32.857910686532982</v>
      </c>
      <c r="L162" s="35">
        <f>'B) D RI'!S163</f>
        <v>73</v>
      </c>
      <c r="M162" s="35">
        <f t="shared" si="16"/>
        <v>40.142089313467018</v>
      </c>
      <c r="N162" s="35">
        <f>'J) Plafonnement effort'!G161+'J) Plafonnement effort'!H161-'K) Plafonnement aide'!I161</f>
        <v>35.870942615194593</v>
      </c>
      <c r="O162" s="133">
        <f t="shared" si="17"/>
        <v>76.013031928661604</v>
      </c>
      <c r="P162" s="49">
        <f t="shared" si="18"/>
        <v>0</v>
      </c>
      <c r="Q162" s="59">
        <f t="shared" si="22"/>
        <v>0</v>
      </c>
      <c r="R162" s="154">
        <f t="shared" si="19"/>
        <v>76.013031928661604</v>
      </c>
      <c r="S162" s="133">
        <f t="shared" si="20"/>
        <v>3.0130319286616043</v>
      </c>
      <c r="T162" s="153">
        <f t="shared" si="23"/>
        <v>0</v>
      </c>
      <c r="V162" s="13"/>
    </row>
    <row r="163" spans="1:22" x14ac:dyDescent="0.25">
      <c r="A163" s="51">
        <f>'A) Base RI'!A164</f>
        <v>5661</v>
      </c>
      <c r="B163" s="484" t="str">
        <f>'A) Base RI'!B164</f>
        <v>Boulens</v>
      </c>
      <c r="C163" s="493">
        <v>164437.02762611519</v>
      </c>
      <c r="D163" s="487">
        <v>-23712.195392816968</v>
      </c>
      <c r="E163" s="493">
        <v>0</v>
      </c>
      <c r="F163" s="487">
        <v>0</v>
      </c>
      <c r="G163" s="493">
        <v>0</v>
      </c>
      <c r="H163" s="487">
        <v>140724.83223329822</v>
      </c>
      <c r="I163" s="159">
        <v>9592.9711392405043</v>
      </c>
      <c r="J163" s="490">
        <f>'B) D RI'!U164</f>
        <v>9059.2982278481013</v>
      </c>
      <c r="K163" s="68">
        <f t="shared" si="21"/>
        <v>14.669577359370614</v>
      </c>
      <c r="L163" s="35">
        <f>'B) D RI'!S164</f>
        <v>79</v>
      </c>
      <c r="M163" s="35">
        <f t="shared" si="16"/>
        <v>64.330422640629394</v>
      </c>
      <c r="N163" s="35">
        <f>'J) Plafonnement effort'!G162+'J) Plafonnement effort'!H162-'K) Plafonnement aide'!I162</f>
        <v>7.565780110663006</v>
      </c>
      <c r="O163" s="133">
        <f t="shared" si="17"/>
        <v>71.896202751292407</v>
      </c>
      <c r="P163" s="49">
        <f t="shared" si="18"/>
        <v>0</v>
      </c>
      <c r="Q163" s="59">
        <f t="shared" si="22"/>
        <v>0</v>
      </c>
      <c r="R163" s="154">
        <f t="shared" si="19"/>
        <v>71.896202751292407</v>
      </c>
      <c r="S163" s="133">
        <f t="shared" si="20"/>
        <v>-7.1037972487075933</v>
      </c>
      <c r="T163" s="153">
        <f t="shared" si="23"/>
        <v>0</v>
      </c>
      <c r="V163" s="13"/>
    </row>
    <row r="164" spans="1:22" x14ac:dyDescent="0.25">
      <c r="A164" s="51">
        <f>'A) Base RI'!A165</f>
        <v>5663</v>
      </c>
      <c r="B164" s="484" t="str">
        <f>'A) Base RI'!B165</f>
        <v>Bussy-sur-Moudon</v>
      </c>
      <c r="C164" s="493">
        <v>90541.05257045076</v>
      </c>
      <c r="D164" s="487">
        <v>-13741.759932477624</v>
      </c>
      <c r="E164" s="493">
        <v>0</v>
      </c>
      <c r="F164" s="487">
        <v>0</v>
      </c>
      <c r="G164" s="493">
        <v>0</v>
      </c>
      <c r="H164" s="487">
        <v>76799.292637973136</v>
      </c>
      <c r="I164" s="159">
        <v>5468.4132499999996</v>
      </c>
      <c r="J164" s="490">
        <f>'B) D RI'!U165</f>
        <v>5679.6416249999993</v>
      </c>
      <c r="K164" s="68">
        <f t="shared" si="21"/>
        <v>14.044164024723834</v>
      </c>
      <c r="L164" s="35">
        <f>'B) D RI'!S165</f>
        <v>80</v>
      </c>
      <c r="M164" s="35">
        <f t="shared" si="16"/>
        <v>65.955835975276159</v>
      </c>
      <c r="N164" s="35">
        <f>'J) Plafonnement effort'!G163+'J) Plafonnement effort'!H163-'K) Plafonnement aide'!I163</f>
        <v>3.7562888564396655</v>
      </c>
      <c r="O164" s="133">
        <f t="shared" si="17"/>
        <v>69.712124831715826</v>
      </c>
      <c r="P164" s="49">
        <f t="shared" si="18"/>
        <v>0</v>
      </c>
      <c r="Q164" s="59">
        <f t="shared" si="22"/>
        <v>0</v>
      </c>
      <c r="R164" s="154">
        <f t="shared" si="19"/>
        <v>69.712124831715826</v>
      </c>
      <c r="S164" s="133">
        <f t="shared" si="20"/>
        <v>-10.287875168284174</v>
      </c>
      <c r="T164" s="153">
        <f t="shared" si="23"/>
        <v>0</v>
      </c>
      <c r="V164" s="13"/>
    </row>
    <row r="165" spans="1:22" x14ac:dyDescent="0.25">
      <c r="A165" s="51">
        <f>'A) Base RI'!A166</f>
        <v>5665</v>
      </c>
      <c r="B165" s="484" t="str">
        <f>'A) Base RI'!B166</f>
        <v>Chavannes-sur-Moudon</v>
      </c>
      <c r="C165" s="493">
        <v>74281.116665986046</v>
      </c>
      <c r="D165" s="487">
        <v>-33845.490999310918</v>
      </c>
      <c r="E165" s="493">
        <v>0</v>
      </c>
      <c r="F165" s="487">
        <v>0</v>
      </c>
      <c r="G165" s="493">
        <v>0</v>
      </c>
      <c r="H165" s="487">
        <v>40435.625666675129</v>
      </c>
      <c r="I165" s="159">
        <v>4982.8790410958891</v>
      </c>
      <c r="J165" s="490">
        <f>'B) D RI'!U166</f>
        <v>5041.8972602739723</v>
      </c>
      <c r="K165" s="68">
        <f t="shared" si="21"/>
        <v>8.1149121488170994</v>
      </c>
      <c r="L165" s="35">
        <f>'B) D RI'!S166</f>
        <v>73</v>
      </c>
      <c r="M165" s="35">
        <f t="shared" si="16"/>
        <v>64.885087851182902</v>
      </c>
      <c r="N165" s="35">
        <f>'J) Plafonnement effort'!G164+'J) Plafonnement effort'!H164-'K) Plafonnement aide'!I164</f>
        <v>8.2661228504140993</v>
      </c>
      <c r="O165" s="133">
        <f t="shared" si="17"/>
        <v>73.151210701596995</v>
      </c>
      <c r="P165" s="49">
        <f t="shared" si="18"/>
        <v>0</v>
      </c>
      <c r="Q165" s="59">
        <f t="shared" si="22"/>
        <v>0</v>
      </c>
      <c r="R165" s="154">
        <f t="shared" si="19"/>
        <v>73.151210701596995</v>
      </c>
      <c r="S165" s="133">
        <f t="shared" si="20"/>
        <v>0.15121070159699457</v>
      </c>
      <c r="T165" s="153">
        <f t="shared" si="23"/>
        <v>0</v>
      </c>
      <c r="V165" s="13"/>
    </row>
    <row r="166" spans="1:22" x14ac:dyDescent="0.25">
      <c r="A166" s="51">
        <f>'A) Base RI'!A167</f>
        <v>5669</v>
      </c>
      <c r="B166" s="484" t="str">
        <f>'A) Base RI'!B167</f>
        <v>Curtilles</v>
      </c>
      <c r="C166" s="493">
        <v>124442.62741983566</v>
      </c>
      <c r="D166" s="487">
        <v>12427.086547126761</v>
      </c>
      <c r="E166" s="493">
        <v>0</v>
      </c>
      <c r="F166" s="487">
        <v>0</v>
      </c>
      <c r="G166" s="493">
        <v>0</v>
      </c>
      <c r="H166" s="487">
        <v>136869.71396696242</v>
      </c>
      <c r="I166" s="159">
        <v>8279.174027777779</v>
      </c>
      <c r="J166" s="490">
        <f>'B) D RI'!U167</f>
        <v>9002.5637333333325</v>
      </c>
      <c r="K166" s="68">
        <f t="shared" si="21"/>
        <v>16.531807823793233</v>
      </c>
      <c r="L166" s="35">
        <f>'B) D RI'!S167</f>
        <v>75</v>
      </c>
      <c r="M166" s="35">
        <f t="shared" si="16"/>
        <v>58.46819217620677</v>
      </c>
      <c r="N166" s="35">
        <f>'J) Plafonnement effort'!G165+'J) Plafonnement effort'!H165-'K) Plafonnement aide'!I165</f>
        <v>19.922404151068537</v>
      </c>
      <c r="O166" s="133">
        <f t="shared" si="17"/>
        <v>78.390596327275304</v>
      </c>
      <c r="P166" s="49">
        <f t="shared" si="18"/>
        <v>0</v>
      </c>
      <c r="Q166" s="59">
        <f t="shared" si="22"/>
        <v>0</v>
      </c>
      <c r="R166" s="154">
        <f t="shared" si="19"/>
        <v>78.390596327275304</v>
      </c>
      <c r="S166" s="133">
        <f t="shared" si="20"/>
        <v>3.3905963272753041</v>
      </c>
      <c r="T166" s="153">
        <f t="shared" si="23"/>
        <v>0</v>
      </c>
      <c r="V166" s="13"/>
    </row>
    <row r="167" spans="1:22" x14ac:dyDescent="0.25">
      <c r="A167" s="51">
        <f>'A) Base RI'!A168</f>
        <v>5671</v>
      </c>
      <c r="B167" s="484" t="str">
        <f>'A) Base RI'!B168</f>
        <v>Dompierre</v>
      </c>
      <c r="C167" s="493">
        <v>97852.814244131325</v>
      </c>
      <c r="D167" s="487">
        <v>-2283.0436604369461</v>
      </c>
      <c r="E167" s="493">
        <v>0</v>
      </c>
      <c r="F167" s="487">
        <v>0</v>
      </c>
      <c r="G167" s="493">
        <v>0</v>
      </c>
      <c r="H167" s="487">
        <v>95569.770583694379</v>
      </c>
      <c r="I167" s="159">
        <v>6672.7971250000001</v>
      </c>
      <c r="J167" s="490">
        <f>'B) D RI'!U168</f>
        <v>6375.2653750000009</v>
      </c>
      <c r="K167" s="68">
        <f t="shared" si="21"/>
        <v>14.322295252411765</v>
      </c>
      <c r="L167" s="35">
        <f>'B) D RI'!S168</f>
        <v>80</v>
      </c>
      <c r="M167" s="35">
        <f t="shared" ref="M167:M218" si="24">L167-K167</f>
        <v>65.677704747588237</v>
      </c>
      <c r="N167" s="35">
        <f>'J) Plafonnement effort'!G166+'J) Plafonnement effort'!H166-'K) Plafonnement aide'!I166</f>
        <v>-0.1507783585621052</v>
      </c>
      <c r="O167" s="133">
        <f t="shared" ref="O167:O218" si="25">M167+N167</f>
        <v>65.52692638902613</v>
      </c>
      <c r="P167" s="49">
        <f t="shared" ref="P167:P218" si="26">IF(O167&gt;$P$5,$P$5-O167,0)</f>
        <v>0</v>
      </c>
      <c r="Q167" s="59">
        <f t="shared" si="22"/>
        <v>0</v>
      </c>
      <c r="R167" s="154">
        <f t="shared" ref="R167:R218" si="27">O167+P167</f>
        <v>65.52692638902613</v>
      </c>
      <c r="S167" s="133">
        <f t="shared" ref="S167:S218" si="28">R167-L167</f>
        <v>-14.47307361097387</v>
      </c>
      <c r="T167" s="153">
        <f t="shared" si="23"/>
        <v>0</v>
      </c>
      <c r="V167" s="13"/>
    </row>
    <row r="168" spans="1:22" x14ac:dyDescent="0.25">
      <c r="A168" s="51">
        <f>'A) Base RI'!A169</f>
        <v>5673</v>
      </c>
      <c r="B168" s="484" t="str">
        <f>'A) Base RI'!B169</f>
        <v>Hermenches</v>
      </c>
      <c r="C168" s="493">
        <v>128229.48271313414</v>
      </c>
      <c r="D168" s="487">
        <v>-89942.380270690337</v>
      </c>
      <c r="E168" s="493">
        <v>0</v>
      </c>
      <c r="F168" s="487">
        <v>0</v>
      </c>
      <c r="G168" s="493">
        <v>0</v>
      </c>
      <c r="H168" s="487">
        <v>38287.102442443807</v>
      </c>
      <c r="I168" s="159">
        <v>7873.3323555555571</v>
      </c>
      <c r="J168" s="490">
        <f>'B) D RI'!U169</f>
        <v>8890.2024444444451</v>
      </c>
      <c r="K168" s="68">
        <f t="shared" ref="K168:K220" si="29">H168/I168</f>
        <v>4.8628840640047128</v>
      </c>
      <c r="L168" s="35">
        <f>'B) D RI'!S169</f>
        <v>75</v>
      </c>
      <c r="M168" s="35">
        <f t="shared" si="24"/>
        <v>70.137115935995283</v>
      </c>
      <c r="N168" s="35">
        <f>'J) Plafonnement effort'!G167+'J) Plafonnement effort'!H167-'K) Plafonnement aide'!I167</f>
        <v>3.5647376329644125</v>
      </c>
      <c r="O168" s="133">
        <f t="shared" si="25"/>
        <v>73.701853568959692</v>
      </c>
      <c r="P168" s="49">
        <f t="shared" si="26"/>
        <v>0</v>
      </c>
      <c r="Q168" s="59">
        <f t="shared" ref="Q168:Q221" si="30">P168*J168</f>
        <v>0</v>
      </c>
      <c r="R168" s="154">
        <f t="shared" si="27"/>
        <v>73.701853568959692</v>
      </c>
      <c r="S168" s="133">
        <f t="shared" si="28"/>
        <v>-1.2981464310403084</v>
      </c>
      <c r="T168" s="153">
        <f t="shared" si="23"/>
        <v>0</v>
      </c>
      <c r="V168" s="13"/>
    </row>
    <row r="169" spans="1:22" x14ac:dyDescent="0.25">
      <c r="A169" s="51">
        <f>'A) Base RI'!A170</f>
        <v>5674</v>
      </c>
      <c r="B169" s="484" t="str">
        <f>'A) Base RI'!B170</f>
        <v>Lovatens</v>
      </c>
      <c r="C169" s="493">
        <v>82993.370902200055</v>
      </c>
      <c r="D169" s="487">
        <v>-851.28496045633801</v>
      </c>
      <c r="E169" s="493">
        <v>0</v>
      </c>
      <c r="F169" s="487">
        <v>0</v>
      </c>
      <c r="G169" s="493">
        <v>0</v>
      </c>
      <c r="H169" s="487">
        <v>82142.085941743717</v>
      </c>
      <c r="I169" s="159">
        <v>3776.8391809523814</v>
      </c>
      <c r="J169" s="490">
        <f>'B) D RI'!U170</f>
        <v>3625.6310666666668</v>
      </c>
      <c r="K169" s="68">
        <f t="shared" si="29"/>
        <v>21.748896896645324</v>
      </c>
      <c r="L169" s="35">
        <f>'B) D RI'!S170</f>
        <v>75</v>
      </c>
      <c r="M169" s="35">
        <f t="shared" si="24"/>
        <v>53.25110310335468</v>
      </c>
      <c r="N169" s="35">
        <f>'J) Plafonnement effort'!G168+'J) Plafonnement effort'!H168-'K) Plafonnement aide'!I168</f>
        <v>9.1016489624660046</v>
      </c>
      <c r="O169" s="133">
        <f t="shared" si="25"/>
        <v>62.352752065820681</v>
      </c>
      <c r="P169" s="49">
        <f t="shared" si="26"/>
        <v>0</v>
      </c>
      <c r="Q169" s="59">
        <f t="shared" si="30"/>
        <v>0</v>
      </c>
      <c r="R169" s="154">
        <f t="shared" si="27"/>
        <v>62.352752065820681</v>
      </c>
      <c r="S169" s="133">
        <f t="shared" si="28"/>
        <v>-12.647247934179319</v>
      </c>
      <c r="T169" s="153">
        <f t="shared" si="23"/>
        <v>0</v>
      </c>
      <c r="V169" s="13"/>
    </row>
    <row r="170" spans="1:22" x14ac:dyDescent="0.25">
      <c r="A170" s="51">
        <f>'A) Base RI'!A171</f>
        <v>5675</v>
      </c>
      <c r="B170" s="484" t="str">
        <f>'A) Base RI'!B171</f>
        <v>Lucens</v>
      </c>
      <c r="C170" s="493">
        <v>1586853.1866880525</v>
      </c>
      <c r="D170" s="493">
        <v>-827064.94033201819</v>
      </c>
      <c r="E170" s="493">
        <v>1195.5629003987528</v>
      </c>
      <c r="F170" s="493">
        <v>0</v>
      </c>
      <c r="G170" s="493">
        <v>0</v>
      </c>
      <c r="H170" s="487">
        <v>760983.80925643304</v>
      </c>
      <c r="I170" s="159">
        <v>93015</v>
      </c>
      <c r="J170" s="490">
        <f>'B) D RI'!U171</f>
        <v>86340.116763085374</v>
      </c>
      <c r="K170" s="68">
        <f t="shared" ref="K170" si="31">H170/I170</f>
        <v>8.181302040062711</v>
      </c>
      <c r="L170" s="35">
        <f>'B) D RI'!S171</f>
        <v>66</v>
      </c>
      <c r="M170" s="35">
        <f t="shared" ref="M170" si="32">L170-K170</f>
        <v>57.818697959937289</v>
      </c>
      <c r="N170" s="35">
        <f>'J) Plafonnement effort'!G169+'J) Plafonnement effort'!H169-'K) Plafonnement aide'!I169</f>
        <v>-3.5295159314936324</v>
      </c>
      <c r="O170" s="133">
        <f t="shared" ref="O170" si="33">M170+N170</f>
        <v>54.289182028443655</v>
      </c>
      <c r="P170" s="49">
        <f t="shared" ref="P170" si="34">IF(O170&gt;$P$5,$P$5-O170,0)</f>
        <v>0</v>
      </c>
      <c r="Q170" s="59">
        <f t="shared" ref="Q170" si="35">P170*J170</f>
        <v>0</v>
      </c>
      <c r="R170" s="154">
        <f t="shared" ref="R170" si="36">O170+P170</f>
        <v>54.289182028443655</v>
      </c>
      <c r="S170" s="133">
        <f t="shared" ref="S170" si="37">R170-L170</f>
        <v>-11.710817971556345</v>
      </c>
      <c r="T170" s="153">
        <f t="shared" si="23"/>
        <v>0</v>
      </c>
      <c r="V170" s="13"/>
    </row>
    <row r="171" spans="1:22" x14ac:dyDescent="0.25">
      <c r="A171" s="51">
        <f>'A) Base RI'!A172</f>
        <v>5678</v>
      </c>
      <c r="B171" s="484" t="str">
        <f>'A) Base RI'!B172</f>
        <v>Moudon</v>
      </c>
      <c r="C171" s="493">
        <v>2207078.375531971</v>
      </c>
      <c r="D171" s="487">
        <v>-3265966.7084689769</v>
      </c>
      <c r="E171" s="493">
        <v>381747.70833700593</v>
      </c>
      <c r="F171" s="487">
        <v>0</v>
      </c>
      <c r="G171" s="493">
        <v>0</v>
      </c>
      <c r="H171" s="487">
        <v>-677140.62459999998</v>
      </c>
      <c r="I171" s="159">
        <v>123116.47720000001</v>
      </c>
      <c r="J171" s="490">
        <f>'B) D RI'!U172</f>
        <v>119887.03426666667</v>
      </c>
      <c r="K171" s="68">
        <f t="shared" si="29"/>
        <v>-5.4999999999999991</v>
      </c>
      <c r="L171" s="35">
        <f>'B) D RI'!S172</f>
        <v>75</v>
      </c>
      <c r="M171" s="35">
        <f t="shared" si="24"/>
        <v>80.5</v>
      </c>
      <c r="N171" s="35">
        <f>'J) Plafonnement effort'!G170+'J) Plafonnement effort'!H170-'K) Plafonnement aide'!I170</f>
        <v>-16.074097248281078</v>
      </c>
      <c r="O171" s="133">
        <f t="shared" si="25"/>
        <v>64.425902751718922</v>
      </c>
      <c r="P171" s="49">
        <f t="shared" si="26"/>
        <v>0</v>
      </c>
      <c r="Q171" s="59">
        <f t="shared" si="30"/>
        <v>0</v>
      </c>
      <c r="R171" s="154">
        <f t="shared" si="27"/>
        <v>64.425902751718922</v>
      </c>
      <c r="S171" s="133">
        <f t="shared" si="28"/>
        <v>-10.574097248281078</v>
      </c>
      <c r="T171" s="153">
        <f t="shared" si="23"/>
        <v>0</v>
      </c>
      <c r="V171" s="13"/>
    </row>
    <row r="172" spans="1:22" x14ac:dyDescent="0.25">
      <c r="A172" s="51">
        <f>'A) Base RI'!A173</f>
        <v>5680</v>
      </c>
      <c r="B172" s="484" t="str">
        <f>'A) Base RI'!B173</f>
        <v>Ogens</v>
      </c>
      <c r="C172" s="493">
        <v>144446.46377139594</v>
      </c>
      <c r="D172" s="487">
        <v>18071.487676330144</v>
      </c>
      <c r="E172" s="493">
        <v>0</v>
      </c>
      <c r="F172" s="487">
        <v>0</v>
      </c>
      <c r="G172" s="493">
        <v>0</v>
      </c>
      <c r="H172" s="487">
        <v>162517.95144772608</v>
      </c>
      <c r="I172" s="159">
        <v>8504.3488034188031</v>
      </c>
      <c r="J172" s="490">
        <f>'B) D RI'!U173</f>
        <v>7440.7528632478625</v>
      </c>
      <c r="K172" s="68">
        <f t="shared" si="29"/>
        <v>19.109981869792644</v>
      </c>
      <c r="L172" s="35">
        <f>'B) D RI'!S173</f>
        <v>78</v>
      </c>
      <c r="M172" s="35">
        <f t="shared" si="24"/>
        <v>58.890018130207352</v>
      </c>
      <c r="N172" s="35">
        <f>'J) Plafonnement effort'!G171+'J) Plafonnement effort'!H171-'K) Plafonnement aide'!I171</f>
        <v>9.648727998499373</v>
      </c>
      <c r="O172" s="133">
        <f t="shared" si="25"/>
        <v>68.53874612870672</v>
      </c>
      <c r="P172" s="49">
        <f t="shared" si="26"/>
        <v>0</v>
      </c>
      <c r="Q172" s="59">
        <f t="shared" si="30"/>
        <v>0</v>
      </c>
      <c r="R172" s="154">
        <f t="shared" si="27"/>
        <v>68.53874612870672</v>
      </c>
      <c r="S172" s="133">
        <f t="shared" si="28"/>
        <v>-9.4612538712932803</v>
      </c>
      <c r="T172" s="153">
        <f t="shared" si="23"/>
        <v>0</v>
      </c>
      <c r="V172" s="13"/>
    </row>
    <row r="173" spans="1:22" x14ac:dyDescent="0.25">
      <c r="A173" s="51">
        <f>'A) Base RI'!A174</f>
        <v>5683</v>
      </c>
      <c r="B173" s="484" t="str">
        <f>'A) Base RI'!B174</f>
        <v>Prévonloup</v>
      </c>
      <c r="C173" s="493">
        <v>60543.133603362345</v>
      </c>
      <c r="D173" s="487">
        <v>-9583.1736508911417</v>
      </c>
      <c r="E173" s="493">
        <v>0</v>
      </c>
      <c r="F173" s="487">
        <v>0</v>
      </c>
      <c r="G173" s="493">
        <v>0</v>
      </c>
      <c r="H173" s="487">
        <v>50959.959952471203</v>
      </c>
      <c r="I173" s="159">
        <v>4128.5685135135127</v>
      </c>
      <c r="J173" s="490">
        <f>'B) D RI'!U174</f>
        <v>3896.046081081081</v>
      </c>
      <c r="K173" s="68">
        <f t="shared" si="29"/>
        <v>12.343251610254381</v>
      </c>
      <c r="L173" s="35">
        <f>'B) D RI'!S174</f>
        <v>74</v>
      </c>
      <c r="M173" s="35">
        <f t="shared" si="24"/>
        <v>61.656748389745616</v>
      </c>
      <c r="N173" s="35">
        <f>'J) Plafonnement effort'!G172+'J) Plafonnement effort'!H172-'K) Plafonnement aide'!I172</f>
        <v>-10.194984386039108</v>
      </c>
      <c r="O173" s="133">
        <f t="shared" si="25"/>
        <v>51.461764003706506</v>
      </c>
      <c r="P173" s="49">
        <f t="shared" si="26"/>
        <v>0</v>
      </c>
      <c r="Q173" s="59">
        <f t="shared" si="30"/>
        <v>0</v>
      </c>
      <c r="R173" s="154">
        <f t="shared" si="27"/>
        <v>51.461764003706506</v>
      </c>
      <c r="S173" s="133">
        <f t="shared" si="28"/>
        <v>-22.538235996293494</v>
      </c>
      <c r="T173" s="153">
        <f t="shared" si="23"/>
        <v>0</v>
      </c>
      <c r="V173" s="13"/>
    </row>
    <row r="174" spans="1:22" x14ac:dyDescent="0.25">
      <c r="A174" s="51">
        <f>'A) Base RI'!A175</f>
        <v>5684</v>
      </c>
      <c r="B174" s="484" t="str">
        <f>'A) Base RI'!B175</f>
        <v>Rossenges</v>
      </c>
      <c r="C174" s="493">
        <v>31087.902925338025</v>
      </c>
      <c r="D174" s="487">
        <v>25864.882055026384</v>
      </c>
      <c r="E174" s="493">
        <v>0</v>
      </c>
      <c r="F174" s="487">
        <v>0</v>
      </c>
      <c r="G174" s="493">
        <v>0</v>
      </c>
      <c r="H174" s="487">
        <v>56952.784980364406</v>
      </c>
      <c r="I174" s="159">
        <v>2119.9519999999998</v>
      </c>
      <c r="J174" s="490">
        <f>'B) D RI'!U175</f>
        <v>2935.9523333333332</v>
      </c>
      <c r="K174" s="68">
        <f t="shared" si="29"/>
        <v>26.865129484235688</v>
      </c>
      <c r="L174" s="35">
        <f>'B) D RI'!S175</f>
        <v>60</v>
      </c>
      <c r="M174" s="35">
        <f t="shared" si="24"/>
        <v>33.134870515764312</v>
      </c>
      <c r="N174" s="35">
        <f>'J) Plafonnement effort'!G173+'J) Plafonnement effort'!H173-'K) Plafonnement aide'!I173</f>
        <v>31.383282513091245</v>
      </c>
      <c r="O174" s="133">
        <f t="shared" si="25"/>
        <v>64.518153028855551</v>
      </c>
      <c r="P174" s="49">
        <f t="shared" si="26"/>
        <v>0</v>
      </c>
      <c r="Q174" s="59">
        <f t="shared" si="30"/>
        <v>0</v>
      </c>
      <c r="R174" s="154">
        <f t="shared" si="27"/>
        <v>64.518153028855551</v>
      </c>
      <c r="S174" s="133">
        <f t="shared" si="28"/>
        <v>4.5181530288555507</v>
      </c>
      <c r="T174" s="153">
        <f t="shared" si="23"/>
        <v>0</v>
      </c>
      <c r="V174" s="13"/>
    </row>
    <row r="175" spans="1:22" x14ac:dyDescent="0.25">
      <c r="A175" s="51">
        <f>'A) Base RI'!A176</f>
        <v>5688</v>
      </c>
      <c r="B175" s="484" t="str">
        <f>'A) Base RI'!B176</f>
        <v>Syens</v>
      </c>
      <c r="C175" s="493">
        <v>92608.175542923476</v>
      </c>
      <c r="D175" s="487">
        <v>40263.378643189324</v>
      </c>
      <c r="E175" s="493">
        <v>0</v>
      </c>
      <c r="F175" s="487">
        <v>0</v>
      </c>
      <c r="G175" s="493">
        <v>0</v>
      </c>
      <c r="H175" s="487">
        <v>132871.5541861128</v>
      </c>
      <c r="I175" s="159">
        <v>4845.4007936507942</v>
      </c>
      <c r="J175" s="490">
        <f>'B) D RI'!U176</f>
        <v>6288.5417989418002</v>
      </c>
      <c r="K175" s="68">
        <f t="shared" si="29"/>
        <v>27.422200937479104</v>
      </c>
      <c r="L175" s="35">
        <f>'B) D RI'!S176</f>
        <v>75.599999999999994</v>
      </c>
      <c r="M175" s="35">
        <f t="shared" si="24"/>
        <v>48.17779906252089</v>
      </c>
      <c r="N175" s="35">
        <f>'J) Plafonnement effort'!G174+'J) Plafonnement effort'!H174-'K) Plafonnement aide'!I174</f>
        <v>29.555370731289823</v>
      </c>
      <c r="O175" s="133">
        <f t="shared" si="25"/>
        <v>77.733169793810717</v>
      </c>
      <c r="P175" s="49">
        <f t="shared" si="26"/>
        <v>0</v>
      </c>
      <c r="Q175" s="59">
        <f t="shared" si="30"/>
        <v>0</v>
      </c>
      <c r="R175" s="154">
        <f t="shared" si="27"/>
        <v>77.733169793810717</v>
      </c>
      <c r="S175" s="133">
        <f t="shared" si="28"/>
        <v>2.1331697938107226</v>
      </c>
      <c r="T175" s="153">
        <f t="shared" si="23"/>
        <v>0</v>
      </c>
      <c r="V175" s="13"/>
    </row>
    <row r="176" spans="1:22" x14ac:dyDescent="0.25">
      <c r="A176" s="51">
        <f>'A) Base RI'!A177</f>
        <v>5690</v>
      </c>
      <c r="B176" s="484" t="str">
        <f>'A) Base RI'!B177</f>
        <v>Villars-le-Comte</v>
      </c>
      <c r="C176" s="493">
        <v>49066.05599845964</v>
      </c>
      <c r="D176" s="487">
        <v>-24221.497536713468</v>
      </c>
      <c r="E176" s="493">
        <v>0</v>
      </c>
      <c r="F176" s="487">
        <v>0</v>
      </c>
      <c r="G176" s="493">
        <v>0</v>
      </c>
      <c r="H176" s="487">
        <v>24844.558461746172</v>
      </c>
      <c r="I176" s="159">
        <v>3252.2851315789467</v>
      </c>
      <c r="J176" s="490">
        <f>'B) D RI'!U177</f>
        <v>3582.5831666666668</v>
      </c>
      <c r="K176" s="68">
        <f t="shared" si="29"/>
        <v>7.6391083366311205</v>
      </c>
      <c r="L176" s="35">
        <f>'B) D RI'!S177</f>
        <v>70</v>
      </c>
      <c r="M176" s="35">
        <f t="shared" si="24"/>
        <v>62.360891663368882</v>
      </c>
      <c r="N176" s="35">
        <f>'J) Plafonnement effort'!G175+'J) Plafonnement effort'!H175-'K) Plafonnement aide'!I175</f>
        <v>16.912606706440972</v>
      </c>
      <c r="O176" s="133">
        <f t="shared" si="25"/>
        <v>79.273498369809857</v>
      </c>
      <c r="P176" s="49">
        <f t="shared" si="26"/>
        <v>0</v>
      </c>
      <c r="Q176" s="59">
        <f t="shared" si="30"/>
        <v>0</v>
      </c>
      <c r="R176" s="154">
        <f t="shared" si="27"/>
        <v>79.273498369809857</v>
      </c>
      <c r="S176" s="133">
        <f t="shared" si="28"/>
        <v>9.2734983698098574</v>
      </c>
      <c r="T176" s="153">
        <f t="shared" si="23"/>
        <v>0</v>
      </c>
      <c r="V176" s="13"/>
    </row>
    <row r="177" spans="1:22" x14ac:dyDescent="0.25">
      <c r="A177" s="51">
        <f>'A) Base RI'!A178</f>
        <v>5692</v>
      </c>
      <c r="B177" s="484" t="str">
        <f>'A) Base RI'!B178</f>
        <v>Vucherens</v>
      </c>
      <c r="C177" s="493">
        <v>318908.82406292035</v>
      </c>
      <c r="D177" s="487">
        <v>71708.210889200243</v>
      </c>
      <c r="E177" s="493">
        <v>0</v>
      </c>
      <c r="F177" s="487">
        <v>0</v>
      </c>
      <c r="G177" s="493">
        <v>0</v>
      </c>
      <c r="H177" s="487">
        <v>390617.03495212062</v>
      </c>
      <c r="I177" s="159">
        <v>16993.232405063292</v>
      </c>
      <c r="J177" s="490">
        <f>'B) D RI'!U178</f>
        <v>17338.328227848098</v>
      </c>
      <c r="K177" s="68">
        <f t="shared" si="29"/>
        <v>22.986623476986793</v>
      </c>
      <c r="L177" s="35">
        <f>'B) D RI'!S178</f>
        <v>79</v>
      </c>
      <c r="M177" s="35">
        <f t="shared" si="24"/>
        <v>56.013376523013207</v>
      </c>
      <c r="N177" s="35">
        <f>'J) Plafonnement effort'!G176+'J) Plafonnement effort'!H176-'K) Plafonnement aide'!I176</f>
        <v>17.444478717225753</v>
      </c>
      <c r="O177" s="133">
        <f t="shared" si="25"/>
        <v>73.457855240238956</v>
      </c>
      <c r="P177" s="49">
        <f t="shared" si="26"/>
        <v>0</v>
      </c>
      <c r="Q177" s="59">
        <f t="shared" si="30"/>
        <v>0</v>
      </c>
      <c r="R177" s="154">
        <f t="shared" si="27"/>
        <v>73.457855240238956</v>
      </c>
      <c r="S177" s="133">
        <f t="shared" si="28"/>
        <v>-5.5421447597610438</v>
      </c>
      <c r="T177" s="153">
        <f t="shared" si="23"/>
        <v>0</v>
      </c>
      <c r="V177" s="13"/>
    </row>
    <row r="178" spans="1:22" x14ac:dyDescent="0.25">
      <c r="A178" s="51">
        <f>'A) Base RI'!A179</f>
        <v>5693</v>
      </c>
      <c r="B178" s="484" t="str">
        <f>'A) Base RI'!B179</f>
        <v>Montanaire</v>
      </c>
      <c r="C178" s="493">
        <v>1079111.6535509767</v>
      </c>
      <c r="D178" s="487">
        <v>-402660.65371391946</v>
      </c>
      <c r="E178" s="493">
        <v>0</v>
      </c>
      <c r="F178" s="487">
        <v>0</v>
      </c>
      <c r="G178" s="493">
        <v>0</v>
      </c>
      <c r="H178" s="487">
        <v>676450.9998370572</v>
      </c>
      <c r="I178" s="159">
        <v>63585.08152777778</v>
      </c>
      <c r="J178" s="490">
        <f>'B) D RI'!U179</f>
        <v>71023.934305555566</v>
      </c>
      <c r="K178" s="68">
        <f>H178/I178</f>
        <v>10.638517456984667</v>
      </c>
      <c r="L178" s="35">
        <f>'B) D RI'!S179</f>
        <v>72</v>
      </c>
      <c r="M178" s="35">
        <f>L178-K178</f>
        <v>61.361482543015335</v>
      </c>
      <c r="N178" s="35">
        <f>'J) Plafonnement effort'!G177+'J) Plafonnement effort'!H177-'K) Plafonnement aide'!I177</f>
        <v>8.5140467904617374</v>
      </c>
      <c r="O178" s="133">
        <f>M178+N178</f>
        <v>69.875529333477076</v>
      </c>
      <c r="P178" s="49">
        <f t="shared" si="26"/>
        <v>0</v>
      </c>
      <c r="Q178" s="59">
        <f>P178*J178</f>
        <v>0</v>
      </c>
      <c r="R178" s="154">
        <f>O178+P178</f>
        <v>69.875529333477076</v>
      </c>
      <c r="S178" s="133">
        <f>R178-L178</f>
        <v>-2.1244706665229245</v>
      </c>
      <c r="T178" s="153">
        <f t="shared" si="23"/>
        <v>0</v>
      </c>
      <c r="V178" s="13"/>
    </row>
    <row r="179" spans="1:22" x14ac:dyDescent="0.25">
      <c r="A179" s="51">
        <f>'A) Base RI'!A180</f>
        <v>5701</v>
      </c>
      <c r="B179" s="484" t="str">
        <f>'A) Base RI'!B180</f>
        <v>Arnex-sur-Nyon</v>
      </c>
      <c r="C179" s="493">
        <v>347422.95246436947</v>
      </c>
      <c r="D179" s="487">
        <v>239984.31839606108</v>
      </c>
      <c r="E179" s="493">
        <v>0</v>
      </c>
      <c r="F179" s="487">
        <v>0</v>
      </c>
      <c r="G179" s="493">
        <v>0</v>
      </c>
      <c r="H179" s="487">
        <v>587407.27086043055</v>
      </c>
      <c r="I179" s="159">
        <v>15270.610714285714</v>
      </c>
      <c r="J179" s="490">
        <f>'B) D RI'!U180</f>
        <v>14557.077428571431</v>
      </c>
      <c r="K179" s="68">
        <f>H179/I179</f>
        <v>38.466521205396766</v>
      </c>
      <c r="L179" s="35">
        <f>'B) D RI'!S180</f>
        <v>70</v>
      </c>
      <c r="M179" s="35">
        <f>L179-K179</f>
        <v>31.533478794603234</v>
      </c>
      <c r="N179" s="35">
        <f>'J) Plafonnement effort'!G178+'J) Plafonnement effort'!H178-'K) Plafonnement aide'!I178</f>
        <v>35.618073044169307</v>
      </c>
      <c r="O179" s="133">
        <f>M179+N179</f>
        <v>67.151551838772548</v>
      </c>
      <c r="P179" s="49">
        <f t="shared" si="26"/>
        <v>0</v>
      </c>
      <c r="Q179" s="59">
        <f>P179*J179</f>
        <v>0</v>
      </c>
      <c r="R179" s="154">
        <f>O179+P179</f>
        <v>67.151551838772548</v>
      </c>
      <c r="S179" s="133">
        <f>R179-L179</f>
        <v>-2.8484481612274521</v>
      </c>
      <c r="T179" s="153">
        <f t="shared" si="23"/>
        <v>0</v>
      </c>
      <c r="V179" s="13"/>
    </row>
    <row r="180" spans="1:22" x14ac:dyDescent="0.25">
      <c r="A180" s="51">
        <f>'A) Base RI'!A181</f>
        <v>5702</v>
      </c>
      <c r="B180" s="484" t="str">
        <f>'A) Base RI'!B181</f>
        <v>Arzier-Le Muids</v>
      </c>
      <c r="C180" s="493">
        <v>2905312.9585946631</v>
      </c>
      <c r="D180" s="487">
        <v>2150282.0291104922</v>
      </c>
      <c r="E180" s="493">
        <v>0</v>
      </c>
      <c r="F180" s="487">
        <v>0</v>
      </c>
      <c r="G180" s="493">
        <v>0</v>
      </c>
      <c r="H180" s="487">
        <v>5055594.9877051553</v>
      </c>
      <c r="I180" s="159">
        <v>153872.87421874999</v>
      </c>
      <c r="J180" s="490">
        <f>'B) D RI'!U181</f>
        <v>156245.38328125002</v>
      </c>
      <c r="K180" s="68">
        <f t="shared" si="29"/>
        <v>32.855660969314059</v>
      </c>
      <c r="L180" s="35">
        <f>'B) D RI'!S181</f>
        <v>64</v>
      </c>
      <c r="M180" s="35">
        <f t="shared" si="24"/>
        <v>31.144339030685941</v>
      </c>
      <c r="N180" s="35">
        <f>'J) Plafonnement effort'!G179+'J) Plafonnement effort'!H179-'K) Plafonnement aide'!I179</f>
        <v>31.977162158181564</v>
      </c>
      <c r="O180" s="133">
        <f t="shared" si="25"/>
        <v>63.121501188867505</v>
      </c>
      <c r="P180" s="49">
        <f t="shared" si="26"/>
        <v>0</v>
      </c>
      <c r="Q180" s="59">
        <f t="shared" si="30"/>
        <v>0</v>
      </c>
      <c r="R180" s="154">
        <f t="shared" si="27"/>
        <v>63.121501188867505</v>
      </c>
      <c r="S180" s="133">
        <f t="shared" si="28"/>
        <v>-0.87849881113249495</v>
      </c>
      <c r="T180" s="153">
        <f t="shared" si="23"/>
        <v>0</v>
      </c>
      <c r="V180" s="13"/>
    </row>
    <row r="181" spans="1:22" x14ac:dyDescent="0.25">
      <c r="A181" s="51">
        <f>'A) Base RI'!A182</f>
        <v>5703</v>
      </c>
      <c r="B181" s="484" t="str">
        <f>'A) Base RI'!B182</f>
        <v>Bassins</v>
      </c>
      <c r="C181" s="493">
        <v>873397.79854480608</v>
      </c>
      <c r="D181" s="487">
        <v>656553.76923339057</v>
      </c>
      <c r="E181" s="493">
        <v>0</v>
      </c>
      <c r="F181" s="487">
        <v>0</v>
      </c>
      <c r="G181" s="493">
        <v>0</v>
      </c>
      <c r="H181" s="487">
        <v>1529951.5677781967</v>
      </c>
      <c r="I181" s="159">
        <v>52372.205915492945</v>
      </c>
      <c r="J181" s="490">
        <f>'B) D RI'!U182</f>
        <v>56627.812818532817</v>
      </c>
      <c r="K181" s="68">
        <f t="shared" si="29"/>
        <v>29.213044228973381</v>
      </c>
      <c r="L181" s="35">
        <f>'B) D RI'!S182</f>
        <v>74</v>
      </c>
      <c r="M181" s="35">
        <f t="shared" si="24"/>
        <v>44.786955771026619</v>
      </c>
      <c r="N181" s="35">
        <f>'J) Plafonnement effort'!G180+'J) Plafonnement effort'!H180-'K) Plafonnement aide'!I180</f>
        <v>27.893202940324144</v>
      </c>
      <c r="O181" s="133">
        <f t="shared" si="25"/>
        <v>72.680158711350771</v>
      </c>
      <c r="P181" s="49">
        <f t="shared" si="26"/>
        <v>0</v>
      </c>
      <c r="Q181" s="59">
        <f t="shared" si="30"/>
        <v>0</v>
      </c>
      <c r="R181" s="154">
        <f t="shared" si="27"/>
        <v>72.680158711350771</v>
      </c>
      <c r="S181" s="133">
        <f t="shared" si="28"/>
        <v>-1.3198412886492292</v>
      </c>
      <c r="T181" s="153">
        <f t="shared" si="23"/>
        <v>0</v>
      </c>
      <c r="V181" s="13"/>
    </row>
    <row r="182" spans="1:22" x14ac:dyDescent="0.25">
      <c r="A182" s="51">
        <f>'A) Base RI'!A183</f>
        <v>5704</v>
      </c>
      <c r="B182" s="484" t="str">
        <f>'A) Base RI'!B183</f>
        <v>Begnins</v>
      </c>
      <c r="C182" s="493">
        <v>2371830.0732195866</v>
      </c>
      <c r="D182" s="487">
        <v>1706792.4128425368</v>
      </c>
      <c r="E182" s="493">
        <v>0</v>
      </c>
      <c r="F182" s="487">
        <v>0</v>
      </c>
      <c r="G182" s="493">
        <v>0</v>
      </c>
      <c r="H182" s="487">
        <v>4078622.4860621234</v>
      </c>
      <c r="I182" s="159">
        <v>118306.82039800995</v>
      </c>
      <c r="J182" s="490">
        <f>'B) D RI'!U183</f>
        <v>128280.7823880597</v>
      </c>
      <c r="K182" s="68">
        <f t="shared" si="29"/>
        <v>34.474956493131572</v>
      </c>
      <c r="L182" s="35">
        <f>'B) D RI'!S183</f>
        <v>67</v>
      </c>
      <c r="M182" s="35">
        <f t="shared" si="24"/>
        <v>32.525043506868428</v>
      </c>
      <c r="N182" s="35">
        <f>'J) Plafonnement effort'!G181+'J) Plafonnement effort'!H181-'K) Plafonnement aide'!I181</f>
        <v>36.649757904318534</v>
      </c>
      <c r="O182" s="133">
        <f t="shared" si="25"/>
        <v>69.174801411186962</v>
      </c>
      <c r="P182" s="49">
        <f t="shared" si="26"/>
        <v>0</v>
      </c>
      <c r="Q182" s="59">
        <f t="shared" si="30"/>
        <v>0</v>
      </c>
      <c r="R182" s="154">
        <f t="shared" si="27"/>
        <v>69.174801411186962</v>
      </c>
      <c r="S182" s="133">
        <f t="shared" si="28"/>
        <v>2.1748014111869622</v>
      </c>
      <c r="T182" s="153">
        <f t="shared" si="23"/>
        <v>0</v>
      </c>
      <c r="V182" s="13"/>
    </row>
    <row r="183" spans="1:22" x14ac:dyDescent="0.25">
      <c r="A183" s="51">
        <f>'A) Base RI'!A184</f>
        <v>5705</v>
      </c>
      <c r="B183" s="484" t="str">
        <f>'A) Base RI'!B184</f>
        <v>Bogis-Bossey</v>
      </c>
      <c r="C183" s="493">
        <v>869036.88769535359</v>
      </c>
      <c r="D183" s="487">
        <v>817649.95924687141</v>
      </c>
      <c r="E183" s="493">
        <v>0</v>
      </c>
      <c r="F183" s="487">
        <v>0</v>
      </c>
      <c r="G183" s="493">
        <v>0</v>
      </c>
      <c r="H183" s="487">
        <v>1686686.846942225</v>
      </c>
      <c r="I183" s="159">
        <v>49610.676285714275</v>
      </c>
      <c r="J183" s="490">
        <f>'B) D RI'!U184</f>
        <v>55070.038857142863</v>
      </c>
      <c r="K183" s="68">
        <f t="shared" si="29"/>
        <v>33.998465113202208</v>
      </c>
      <c r="L183" s="35">
        <f>'B) D RI'!S184</f>
        <v>70</v>
      </c>
      <c r="M183" s="35">
        <f t="shared" si="24"/>
        <v>36.001534886797792</v>
      </c>
      <c r="N183" s="35">
        <f>'J) Plafonnement effort'!G182+'J) Plafonnement effort'!H182-'K) Plafonnement aide'!I182</f>
        <v>35.467085073355854</v>
      </c>
      <c r="O183" s="133">
        <f t="shared" si="25"/>
        <v>71.468619960153646</v>
      </c>
      <c r="P183" s="49">
        <f t="shared" si="26"/>
        <v>0</v>
      </c>
      <c r="Q183" s="59">
        <f t="shared" si="30"/>
        <v>0</v>
      </c>
      <c r="R183" s="154">
        <f t="shared" si="27"/>
        <v>71.468619960153646</v>
      </c>
      <c r="S183" s="133">
        <f t="shared" si="28"/>
        <v>1.4686199601536458</v>
      </c>
      <c r="T183" s="153">
        <f t="shared" si="23"/>
        <v>0</v>
      </c>
      <c r="V183" s="13"/>
    </row>
    <row r="184" spans="1:22" x14ac:dyDescent="0.25">
      <c r="A184" s="51">
        <f>'A) Base RI'!A185</f>
        <v>5706</v>
      </c>
      <c r="B184" s="484" t="str">
        <f>'A) Base RI'!B185</f>
        <v>Borex</v>
      </c>
      <c r="C184" s="493">
        <v>1308351.7113967696</v>
      </c>
      <c r="D184" s="487">
        <v>1089297.0380831116</v>
      </c>
      <c r="E184" s="493">
        <v>0</v>
      </c>
      <c r="F184" s="487">
        <v>0</v>
      </c>
      <c r="G184" s="493">
        <v>0</v>
      </c>
      <c r="H184" s="487">
        <v>2397648.7494798815</v>
      </c>
      <c r="I184" s="159">
        <v>68211.153151515144</v>
      </c>
      <c r="J184" s="490">
        <f>'B) D RI'!U185</f>
        <v>71838.84494252874</v>
      </c>
      <c r="K184" s="68">
        <f t="shared" si="29"/>
        <v>35.150391669146316</v>
      </c>
      <c r="L184" s="35">
        <f>'B) D RI'!S185</f>
        <v>58</v>
      </c>
      <c r="M184" s="35">
        <f t="shared" si="24"/>
        <v>22.849608330853684</v>
      </c>
      <c r="N184" s="35">
        <f>'J) Plafonnement effort'!G183+'J) Plafonnement effort'!H183-'K) Plafonnement aide'!I183</f>
        <v>35.717952172094172</v>
      </c>
      <c r="O184" s="133">
        <f t="shared" si="25"/>
        <v>58.567560502947856</v>
      </c>
      <c r="P184" s="49">
        <f t="shared" si="26"/>
        <v>0</v>
      </c>
      <c r="Q184" s="59">
        <f t="shared" si="30"/>
        <v>0</v>
      </c>
      <c r="R184" s="154">
        <f t="shared" si="27"/>
        <v>58.567560502947856</v>
      </c>
      <c r="S184" s="133">
        <f t="shared" si="28"/>
        <v>0.56756050294785609</v>
      </c>
      <c r="T184" s="153">
        <f t="shared" si="23"/>
        <v>0</v>
      </c>
      <c r="V184" s="13"/>
    </row>
    <row r="185" spans="1:22" x14ac:dyDescent="0.25">
      <c r="A185" s="51">
        <f>'A) Base RI'!A186</f>
        <v>5707</v>
      </c>
      <c r="B185" s="484" t="str">
        <f>'A) Base RI'!B186</f>
        <v>Chavannes-de-Bogis</v>
      </c>
      <c r="C185" s="493">
        <v>2539208.226592402</v>
      </c>
      <c r="D185" s="487">
        <v>1445568.1442869166</v>
      </c>
      <c r="E185" s="493">
        <v>0</v>
      </c>
      <c r="F185" s="487">
        <v>0</v>
      </c>
      <c r="G185" s="493">
        <v>0</v>
      </c>
      <c r="H185" s="487">
        <v>3984776.3708793186</v>
      </c>
      <c r="I185" s="159">
        <v>101262.00960451979</v>
      </c>
      <c r="J185" s="490">
        <f>'B) D RI'!U186</f>
        <v>85072.573841807927</v>
      </c>
      <c r="K185" s="68">
        <f t="shared" si="29"/>
        <v>39.351148436041505</v>
      </c>
      <c r="L185" s="35">
        <f>'B) D RI'!S186</f>
        <v>59</v>
      </c>
      <c r="M185" s="35">
        <f t="shared" si="24"/>
        <v>19.648851563958495</v>
      </c>
      <c r="N185" s="35">
        <f>'J) Plafonnement effort'!G184+'J) Plafonnement effort'!H184-'K) Plafonnement aide'!I184</f>
        <v>36.846858630685105</v>
      </c>
      <c r="O185" s="133">
        <f t="shared" si="25"/>
        <v>56.4957101946436</v>
      </c>
      <c r="P185" s="49">
        <f t="shared" si="26"/>
        <v>0</v>
      </c>
      <c r="Q185" s="59">
        <f t="shared" si="30"/>
        <v>0</v>
      </c>
      <c r="R185" s="154">
        <f t="shared" si="27"/>
        <v>56.4957101946436</v>
      </c>
      <c r="S185" s="133">
        <f t="shared" si="28"/>
        <v>-2.5042898053564002</v>
      </c>
      <c r="T185" s="153">
        <f t="shared" si="23"/>
        <v>0</v>
      </c>
      <c r="V185" s="13"/>
    </row>
    <row r="186" spans="1:22" x14ac:dyDescent="0.25">
      <c r="A186" s="51">
        <f>'A) Base RI'!A187</f>
        <v>5708</v>
      </c>
      <c r="B186" s="484" t="str">
        <f>'A) Base RI'!B187</f>
        <v>Chavannes-des-Bois</v>
      </c>
      <c r="C186" s="493">
        <v>1449425.2365693864</v>
      </c>
      <c r="D186" s="487">
        <v>1007564.3955866465</v>
      </c>
      <c r="E186" s="493">
        <v>0</v>
      </c>
      <c r="F186" s="487">
        <v>0</v>
      </c>
      <c r="G186" s="493">
        <v>0</v>
      </c>
      <c r="H186" s="487">
        <v>2456989.6321560331</v>
      </c>
      <c r="I186" s="159">
        <v>66077.93781420766</v>
      </c>
      <c r="J186" s="490">
        <f>'B) D RI'!U187</f>
        <v>57314.783389830503</v>
      </c>
      <c r="K186" s="68">
        <f t="shared" si="29"/>
        <v>37.183206883126225</v>
      </c>
      <c r="L186" s="35">
        <f>'B) D RI'!S187</f>
        <v>59</v>
      </c>
      <c r="M186" s="35">
        <f t="shared" si="24"/>
        <v>21.816793116873775</v>
      </c>
      <c r="N186" s="35">
        <f>'J) Plafonnement effort'!G185+'J) Plafonnement effort'!H185-'K) Plafonnement aide'!I185</f>
        <v>33.884311507227899</v>
      </c>
      <c r="O186" s="133">
        <f t="shared" si="25"/>
        <v>55.701104624101674</v>
      </c>
      <c r="P186" s="49">
        <f t="shared" si="26"/>
        <v>0</v>
      </c>
      <c r="Q186" s="59">
        <f t="shared" si="30"/>
        <v>0</v>
      </c>
      <c r="R186" s="154">
        <f t="shared" si="27"/>
        <v>55.701104624101674</v>
      </c>
      <c r="S186" s="133">
        <f t="shared" si="28"/>
        <v>-3.2988953758983257</v>
      </c>
      <c r="T186" s="153">
        <f t="shared" si="23"/>
        <v>0</v>
      </c>
      <c r="V186" s="13"/>
    </row>
    <row r="187" spans="1:22" x14ac:dyDescent="0.25">
      <c r="A187" s="51">
        <f>'A) Base RI'!A188</f>
        <v>5709</v>
      </c>
      <c r="B187" s="484" t="str">
        <f>'A) Base RI'!B188</f>
        <v>Chéserex</v>
      </c>
      <c r="C187" s="493">
        <v>4069551.8048635563</v>
      </c>
      <c r="D187" s="487">
        <v>1810732.3839352152</v>
      </c>
      <c r="E187" s="493">
        <v>0</v>
      </c>
      <c r="F187" s="487">
        <v>0</v>
      </c>
      <c r="G187" s="493">
        <v>0</v>
      </c>
      <c r="H187" s="487">
        <v>5880284.1887987712</v>
      </c>
      <c r="I187" s="159">
        <v>141681.04461538463</v>
      </c>
      <c r="J187" s="490">
        <f>'B) D RI'!U188</f>
        <v>72047.552456140344</v>
      </c>
      <c r="K187" s="68">
        <f t="shared" si="29"/>
        <v>41.503676125212962</v>
      </c>
      <c r="L187" s="35">
        <f>'B) D RI'!S188</f>
        <v>57</v>
      </c>
      <c r="M187" s="35">
        <f t="shared" si="24"/>
        <v>15.496323874787038</v>
      </c>
      <c r="N187" s="35">
        <f>'J) Plafonnement effort'!G186+'J) Plafonnement effort'!H186-'K) Plafonnement aide'!I186</f>
        <v>43.519142321377821</v>
      </c>
      <c r="O187" s="133">
        <f t="shared" si="25"/>
        <v>59.015466196164859</v>
      </c>
      <c r="P187" s="49">
        <f t="shared" si="26"/>
        <v>0</v>
      </c>
      <c r="Q187" s="59">
        <f t="shared" si="30"/>
        <v>0</v>
      </c>
      <c r="R187" s="154">
        <f t="shared" si="27"/>
        <v>59.015466196164859</v>
      </c>
      <c r="S187" s="133">
        <f t="shared" si="28"/>
        <v>2.0154661961648586</v>
      </c>
      <c r="T187" s="153">
        <f t="shared" si="23"/>
        <v>0</v>
      </c>
      <c r="V187" s="13"/>
    </row>
    <row r="188" spans="1:22" x14ac:dyDescent="0.25">
      <c r="A188" s="51">
        <f>'A) Base RI'!A189</f>
        <v>5710</v>
      </c>
      <c r="B188" s="484" t="str">
        <f>'A) Base RI'!B189</f>
        <v>Coinsins</v>
      </c>
      <c r="C188" s="493">
        <v>1886163.6747306432</v>
      </c>
      <c r="D188" s="487">
        <v>900780.65037064883</v>
      </c>
      <c r="E188" s="493">
        <v>0</v>
      </c>
      <c r="F188" s="487">
        <v>0</v>
      </c>
      <c r="G188" s="493">
        <v>0</v>
      </c>
      <c r="H188" s="487">
        <v>2786944.3251012918</v>
      </c>
      <c r="I188" s="159">
        <v>77522.491219512216</v>
      </c>
      <c r="J188" s="490">
        <f>'B) D RI'!U189</f>
        <v>82032.182941176477</v>
      </c>
      <c r="K188" s="68">
        <f t="shared" si="29"/>
        <v>35.950138872727877</v>
      </c>
      <c r="L188" s="35">
        <f>'B) D RI'!S189</f>
        <v>51</v>
      </c>
      <c r="M188" s="35">
        <f t="shared" si="24"/>
        <v>15.049861127272123</v>
      </c>
      <c r="N188" s="35">
        <f>'J) Plafonnement effort'!G187+'J) Plafonnement effort'!H187-'K) Plafonnement aide'!I187</f>
        <v>44.634248929038726</v>
      </c>
      <c r="O188" s="133">
        <f t="shared" si="25"/>
        <v>59.68411005631085</v>
      </c>
      <c r="P188" s="49">
        <f t="shared" si="26"/>
        <v>0</v>
      </c>
      <c r="Q188" s="59">
        <f t="shared" si="30"/>
        <v>0</v>
      </c>
      <c r="R188" s="154">
        <f t="shared" si="27"/>
        <v>59.68411005631085</v>
      </c>
      <c r="S188" s="133">
        <f t="shared" si="28"/>
        <v>8.6841100563108498</v>
      </c>
      <c r="T188" s="153">
        <f t="shared" si="23"/>
        <v>0</v>
      </c>
      <c r="V188" s="13"/>
    </row>
    <row r="189" spans="1:22" x14ac:dyDescent="0.25">
      <c r="A189" s="51">
        <f>'A) Base RI'!A190</f>
        <v>5711</v>
      </c>
      <c r="B189" s="484" t="str">
        <f>'A) Base RI'!B190</f>
        <v>Commugny</v>
      </c>
      <c r="C189" s="493">
        <v>6224834.2932440741</v>
      </c>
      <c r="D189" s="487">
        <v>3138455.3632102422</v>
      </c>
      <c r="E189" s="493">
        <v>0</v>
      </c>
      <c r="F189" s="487">
        <v>0</v>
      </c>
      <c r="G189" s="493">
        <v>0</v>
      </c>
      <c r="H189" s="487">
        <v>9363289.6564543173</v>
      </c>
      <c r="I189" s="159">
        <v>249621.80260458836</v>
      </c>
      <c r="J189" s="490">
        <f>'B) D RI'!U190</f>
        <v>253155.78673414301</v>
      </c>
      <c r="K189" s="68">
        <f t="shared" si="29"/>
        <v>37.509903216611931</v>
      </c>
      <c r="L189" s="35">
        <f>'B) D RI'!S190</f>
        <v>57</v>
      </c>
      <c r="M189" s="35">
        <f t="shared" si="24"/>
        <v>19.490096783388069</v>
      </c>
      <c r="N189" s="35">
        <f>'J) Plafonnement effort'!G188+'J) Plafonnement effort'!H188-'K) Plafonnement aide'!I188</f>
        <v>38.206183381008799</v>
      </c>
      <c r="O189" s="133">
        <f t="shared" si="25"/>
        <v>57.696280164396867</v>
      </c>
      <c r="P189" s="49">
        <f t="shared" si="26"/>
        <v>0</v>
      </c>
      <c r="Q189" s="59">
        <f t="shared" si="30"/>
        <v>0</v>
      </c>
      <c r="R189" s="154">
        <f t="shared" si="27"/>
        <v>57.696280164396867</v>
      </c>
      <c r="S189" s="133">
        <f t="shared" si="28"/>
        <v>0.69628016439686746</v>
      </c>
      <c r="T189" s="153">
        <f t="shared" si="23"/>
        <v>0</v>
      </c>
      <c r="V189" s="13"/>
    </row>
    <row r="190" spans="1:22" x14ac:dyDescent="0.25">
      <c r="A190" s="51">
        <f>'A) Base RI'!A191</f>
        <v>5712</v>
      </c>
      <c r="B190" s="484" t="str">
        <f>'A) Base RI'!B191</f>
        <v>Coppet</v>
      </c>
      <c r="C190" s="493">
        <v>8594216.1653034016</v>
      </c>
      <c r="D190" s="487">
        <v>3814565.2329747463</v>
      </c>
      <c r="E190" s="493">
        <v>0</v>
      </c>
      <c r="F190" s="487">
        <v>0</v>
      </c>
      <c r="G190" s="493">
        <v>0</v>
      </c>
      <c r="H190" s="487">
        <v>12408781.398278147</v>
      </c>
      <c r="I190" s="159">
        <v>316866.86955974839</v>
      </c>
      <c r="J190" s="490">
        <f>'B) D RI'!U191</f>
        <v>325753.23345911951</v>
      </c>
      <c r="K190" s="68">
        <f t="shared" si="29"/>
        <v>39.160867198009001</v>
      </c>
      <c r="L190" s="35">
        <f>'B) D RI'!S191</f>
        <v>53</v>
      </c>
      <c r="M190" s="35">
        <f t="shared" si="24"/>
        <v>13.839132801990999</v>
      </c>
      <c r="N190" s="35">
        <f>'J) Plafonnement effort'!G189+'J) Plafonnement effort'!H189-'K) Plafonnement aide'!I189</f>
        <v>40.999539519013126</v>
      </c>
      <c r="O190" s="133">
        <f t="shared" si="25"/>
        <v>54.838672321004125</v>
      </c>
      <c r="P190" s="49">
        <f t="shared" si="26"/>
        <v>0</v>
      </c>
      <c r="Q190" s="59">
        <f t="shared" si="30"/>
        <v>0</v>
      </c>
      <c r="R190" s="154">
        <f t="shared" si="27"/>
        <v>54.838672321004125</v>
      </c>
      <c r="S190" s="133">
        <f t="shared" si="28"/>
        <v>1.8386723210041254</v>
      </c>
      <c r="T190" s="153">
        <f t="shared" si="23"/>
        <v>0</v>
      </c>
      <c r="V190" s="13"/>
    </row>
    <row r="191" spans="1:22" x14ac:dyDescent="0.25">
      <c r="A191" s="51">
        <f>'A) Base RI'!A192</f>
        <v>5713</v>
      </c>
      <c r="B191" s="484" t="str">
        <f>'A) Base RI'!B192</f>
        <v>Crans-près-Céligny</v>
      </c>
      <c r="C191" s="493">
        <v>6189339.1617117394</v>
      </c>
      <c r="D191" s="487">
        <v>2805079.3085126486</v>
      </c>
      <c r="E191" s="493">
        <v>0</v>
      </c>
      <c r="F191" s="487">
        <v>0</v>
      </c>
      <c r="G191" s="493">
        <v>0</v>
      </c>
      <c r="H191" s="487">
        <v>8994418.4702243879</v>
      </c>
      <c r="I191" s="159">
        <v>229285.72754716981</v>
      </c>
      <c r="J191" s="490">
        <f>'B) D RI'!U192</f>
        <v>239255.01584905662</v>
      </c>
      <c r="K191" s="68">
        <f t="shared" si="29"/>
        <v>39.227991059208037</v>
      </c>
      <c r="L191" s="35">
        <f>'B) D RI'!S192</f>
        <v>53</v>
      </c>
      <c r="M191" s="35">
        <f t="shared" si="24"/>
        <v>13.772008940791963</v>
      </c>
      <c r="N191" s="35">
        <f>'J) Plafonnement effort'!G190+'J) Plafonnement effort'!H190-'K) Plafonnement aide'!I190</f>
        <v>40.669208710536353</v>
      </c>
      <c r="O191" s="133">
        <f t="shared" si="25"/>
        <v>54.441217651328316</v>
      </c>
      <c r="P191" s="49">
        <f t="shared" si="26"/>
        <v>0</v>
      </c>
      <c r="Q191" s="59">
        <f t="shared" si="30"/>
        <v>0</v>
      </c>
      <c r="R191" s="154">
        <f t="shared" si="27"/>
        <v>54.441217651328316</v>
      </c>
      <c r="S191" s="133">
        <f t="shared" si="28"/>
        <v>1.4412176513283157</v>
      </c>
      <c r="T191" s="153">
        <f t="shared" si="23"/>
        <v>0</v>
      </c>
      <c r="V191" s="13"/>
    </row>
    <row r="192" spans="1:22" x14ac:dyDescent="0.25">
      <c r="A192" s="51">
        <f>'A) Base RI'!A193</f>
        <v>5714</v>
      </c>
      <c r="B192" s="484" t="str">
        <f>'A) Base RI'!B193</f>
        <v>Crassier</v>
      </c>
      <c r="C192" s="493">
        <v>1673389.2498454324</v>
      </c>
      <c r="D192" s="487">
        <v>1259847.5439377264</v>
      </c>
      <c r="E192" s="493">
        <v>0</v>
      </c>
      <c r="F192" s="487">
        <v>0</v>
      </c>
      <c r="G192" s="493">
        <v>0</v>
      </c>
      <c r="H192" s="487">
        <v>2933236.793783159</v>
      </c>
      <c r="I192" s="159">
        <v>82427.7421875</v>
      </c>
      <c r="J192" s="490">
        <f>'B) D RI'!U193</f>
        <v>82327.162031250002</v>
      </c>
      <c r="K192" s="68">
        <f t="shared" si="29"/>
        <v>35.585553066719548</v>
      </c>
      <c r="L192" s="35">
        <f>'B) D RI'!S193</f>
        <v>64</v>
      </c>
      <c r="M192" s="35">
        <f t="shared" si="24"/>
        <v>28.414446933280452</v>
      </c>
      <c r="N192" s="35">
        <f>'J) Plafonnement effort'!G191+'J) Plafonnement effort'!H191-'K) Plafonnement aide'!I191</f>
        <v>37.979491917586557</v>
      </c>
      <c r="O192" s="133">
        <f t="shared" si="25"/>
        <v>66.393938850867016</v>
      </c>
      <c r="P192" s="49">
        <f t="shared" si="26"/>
        <v>0</v>
      </c>
      <c r="Q192" s="59">
        <f t="shared" si="30"/>
        <v>0</v>
      </c>
      <c r="R192" s="154">
        <f t="shared" si="27"/>
        <v>66.393938850867016</v>
      </c>
      <c r="S192" s="133">
        <f t="shared" si="28"/>
        <v>2.3939388508670163</v>
      </c>
      <c r="T192" s="153">
        <f t="shared" si="23"/>
        <v>0</v>
      </c>
      <c r="V192" s="13"/>
    </row>
    <row r="193" spans="1:22" x14ac:dyDescent="0.25">
      <c r="A193" s="51">
        <f>'A) Base RI'!A194</f>
        <v>5715</v>
      </c>
      <c r="B193" s="484" t="str">
        <f>'A) Base RI'!B194</f>
        <v>Duillier</v>
      </c>
      <c r="C193" s="493">
        <v>1245463.0825579222</v>
      </c>
      <c r="D193" s="487">
        <v>1038831.3936155002</v>
      </c>
      <c r="E193" s="493">
        <v>0</v>
      </c>
      <c r="F193" s="487">
        <v>0</v>
      </c>
      <c r="G193" s="493">
        <v>0</v>
      </c>
      <c r="H193" s="487">
        <v>2284294.4761734223</v>
      </c>
      <c r="I193" s="159">
        <v>64112.353030303027</v>
      </c>
      <c r="J193" s="490">
        <f>'B) D RI'!U194</f>
        <v>59384.712424242425</v>
      </c>
      <c r="K193" s="68">
        <f t="shared" si="29"/>
        <v>35.629552936447972</v>
      </c>
      <c r="L193" s="35">
        <f>'B) D RI'!S194</f>
        <v>66</v>
      </c>
      <c r="M193" s="35">
        <f t="shared" si="24"/>
        <v>30.370447063552028</v>
      </c>
      <c r="N193" s="35">
        <f>'J) Plafonnement effort'!G192+'J) Plafonnement effort'!H192-'K) Plafonnement aide'!I192</f>
        <v>32.62534179308021</v>
      </c>
      <c r="O193" s="133">
        <f t="shared" si="25"/>
        <v>62.995788856632238</v>
      </c>
      <c r="P193" s="49">
        <f t="shared" si="26"/>
        <v>0</v>
      </c>
      <c r="Q193" s="59">
        <f t="shared" si="30"/>
        <v>0</v>
      </c>
      <c r="R193" s="154">
        <f t="shared" si="27"/>
        <v>62.995788856632238</v>
      </c>
      <c r="S193" s="133">
        <f t="shared" si="28"/>
        <v>-3.0042111433677618</v>
      </c>
      <c r="T193" s="153">
        <f t="shared" si="23"/>
        <v>0</v>
      </c>
      <c r="V193" s="13"/>
    </row>
    <row r="194" spans="1:22" x14ac:dyDescent="0.25">
      <c r="A194" s="51">
        <f>'A) Base RI'!A195</f>
        <v>5716</v>
      </c>
      <c r="B194" s="484" t="str">
        <f>'A) Base RI'!B195</f>
        <v>Eysins</v>
      </c>
      <c r="C194" s="493">
        <v>2290987.5894944808</v>
      </c>
      <c r="D194" s="487">
        <v>1398178.9680646276</v>
      </c>
      <c r="E194" s="493">
        <v>0</v>
      </c>
      <c r="F194" s="487">
        <v>0</v>
      </c>
      <c r="G194" s="493">
        <v>0</v>
      </c>
      <c r="H194" s="487">
        <v>3689166.5575591084</v>
      </c>
      <c r="I194" s="159">
        <v>93259.046229508182</v>
      </c>
      <c r="J194" s="490">
        <f>'B) D RI'!U195</f>
        <v>136046.47409836066</v>
      </c>
      <c r="K194" s="68">
        <f t="shared" si="29"/>
        <v>39.558270288119417</v>
      </c>
      <c r="L194" s="35">
        <f>'B) D RI'!S195</f>
        <v>61</v>
      </c>
      <c r="M194" s="35">
        <f t="shared" si="24"/>
        <v>21.441729711880583</v>
      </c>
      <c r="N194" s="35">
        <f>'J) Plafonnement effort'!G193+'J) Plafonnement effort'!H193-'K) Plafonnement aide'!I193</f>
        <v>40.378098947423929</v>
      </c>
      <c r="O194" s="133">
        <f t="shared" si="25"/>
        <v>61.819828659304513</v>
      </c>
      <c r="P194" s="49">
        <f t="shared" si="26"/>
        <v>0</v>
      </c>
      <c r="Q194" s="59">
        <f t="shared" si="30"/>
        <v>0</v>
      </c>
      <c r="R194" s="154">
        <f t="shared" si="27"/>
        <v>61.819828659304513</v>
      </c>
      <c r="S194" s="133">
        <f t="shared" si="28"/>
        <v>0.81982865930451254</v>
      </c>
      <c r="T194" s="153">
        <f t="shared" si="23"/>
        <v>0</v>
      </c>
      <c r="V194" s="13"/>
    </row>
    <row r="195" spans="1:22" x14ac:dyDescent="0.25">
      <c r="A195" s="51">
        <f>'A) Base RI'!A196</f>
        <v>5717</v>
      </c>
      <c r="B195" s="484" t="str">
        <f>'A) Base RI'!B196</f>
        <v>Founex</v>
      </c>
      <c r="C195" s="493">
        <v>9334048.5387444906</v>
      </c>
      <c r="D195" s="487">
        <v>4259577.7661741814</v>
      </c>
      <c r="E195" s="493">
        <v>0</v>
      </c>
      <c r="F195" s="487">
        <v>0</v>
      </c>
      <c r="G195" s="493">
        <v>0</v>
      </c>
      <c r="H195" s="487">
        <v>13593626.304918673</v>
      </c>
      <c r="I195" s="159">
        <v>359686.500877193</v>
      </c>
      <c r="J195" s="490">
        <f>'B) D RI'!U196</f>
        <v>342145.93614035088</v>
      </c>
      <c r="K195" s="68">
        <f t="shared" si="29"/>
        <v>37.792984367683893</v>
      </c>
      <c r="L195" s="35">
        <f>'B) D RI'!S196</f>
        <v>57</v>
      </c>
      <c r="M195" s="35">
        <f t="shared" si="24"/>
        <v>19.207015632316107</v>
      </c>
      <c r="N195" s="35">
        <f>'J) Plafonnement effort'!G194+'J) Plafonnement effort'!H194-'K) Plafonnement aide'!I194</f>
        <v>39.055379475934096</v>
      </c>
      <c r="O195" s="133">
        <f t="shared" si="25"/>
        <v>58.262395108250203</v>
      </c>
      <c r="P195" s="49">
        <f t="shared" si="26"/>
        <v>0</v>
      </c>
      <c r="Q195" s="59">
        <f t="shared" si="30"/>
        <v>0</v>
      </c>
      <c r="R195" s="154">
        <f t="shared" si="27"/>
        <v>58.262395108250203</v>
      </c>
      <c r="S195" s="133">
        <f t="shared" si="28"/>
        <v>1.2623951082502032</v>
      </c>
      <c r="T195" s="153">
        <f t="shared" si="23"/>
        <v>0</v>
      </c>
      <c r="V195" s="13"/>
    </row>
    <row r="196" spans="1:22" x14ac:dyDescent="0.25">
      <c r="A196" s="51">
        <f>'A) Base RI'!A197</f>
        <v>5718</v>
      </c>
      <c r="B196" s="484" t="str">
        <f>'A) Base RI'!B197</f>
        <v>Genolier</v>
      </c>
      <c r="C196" s="493">
        <v>5094171.6416796949</v>
      </c>
      <c r="D196" s="487">
        <v>2466779.2414472201</v>
      </c>
      <c r="E196" s="493">
        <v>0</v>
      </c>
      <c r="F196" s="487">
        <v>0</v>
      </c>
      <c r="G196" s="493">
        <v>0</v>
      </c>
      <c r="H196" s="487">
        <v>7560950.8831269145</v>
      </c>
      <c r="I196" s="159">
        <v>194551.61054545455</v>
      </c>
      <c r="J196" s="490">
        <f>'B) D RI'!U197</f>
        <v>180573.80690909096</v>
      </c>
      <c r="K196" s="68">
        <f t="shared" si="29"/>
        <v>38.8634710446686</v>
      </c>
      <c r="L196" s="35">
        <f>'B) D RI'!S197</f>
        <v>55</v>
      </c>
      <c r="M196" s="35">
        <f t="shared" si="24"/>
        <v>16.1365289553314</v>
      </c>
      <c r="N196" s="35">
        <f>'J) Plafonnement effort'!G195+'J) Plafonnement effort'!H195-'K) Plafonnement aide'!I195</f>
        <v>39.626464721657854</v>
      </c>
      <c r="O196" s="133">
        <f t="shared" si="25"/>
        <v>55.762993676989254</v>
      </c>
      <c r="P196" s="49">
        <f t="shared" si="26"/>
        <v>0</v>
      </c>
      <c r="Q196" s="59">
        <f t="shared" si="30"/>
        <v>0</v>
      </c>
      <c r="R196" s="154">
        <f t="shared" si="27"/>
        <v>55.762993676989254</v>
      </c>
      <c r="S196" s="133">
        <f t="shared" si="28"/>
        <v>0.7629936769892538</v>
      </c>
      <c r="T196" s="153">
        <f t="shared" si="23"/>
        <v>0</v>
      </c>
      <c r="V196" s="13"/>
    </row>
    <row r="197" spans="1:22" x14ac:dyDescent="0.25">
      <c r="A197" s="51">
        <f>'A) Base RI'!A198</f>
        <v>5719</v>
      </c>
      <c r="B197" s="484" t="str">
        <f>'A) Base RI'!B198</f>
        <v>Gingins</v>
      </c>
      <c r="C197" s="493">
        <v>2216416.4885081048</v>
      </c>
      <c r="D197" s="487">
        <v>1339529.2282898012</v>
      </c>
      <c r="E197" s="493">
        <v>0</v>
      </c>
      <c r="F197" s="487">
        <v>0</v>
      </c>
      <c r="G197" s="493">
        <v>0</v>
      </c>
      <c r="H197" s="487">
        <v>3555945.716797906</v>
      </c>
      <c r="I197" s="159">
        <v>90011.711578947361</v>
      </c>
      <c r="J197" s="490">
        <f>'B) D RI'!U198</f>
        <v>131481.24994152045</v>
      </c>
      <c r="K197" s="68">
        <f t="shared" si="29"/>
        <v>39.505367184125383</v>
      </c>
      <c r="L197" s="35">
        <f>'B) D RI'!S198</f>
        <v>57</v>
      </c>
      <c r="M197" s="35">
        <f t="shared" si="24"/>
        <v>17.494632815874617</v>
      </c>
      <c r="N197" s="35">
        <f>'J) Plafonnement effort'!G196+'J) Plafonnement effort'!H196-'K) Plafonnement aide'!I196</f>
        <v>43.098923297512492</v>
      </c>
      <c r="O197" s="133">
        <f t="shared" si="25"/>
        <v>60.593556113387109</v>
      </c>
      <c r="P197" s="49">
        <f t="shared" si="26"/>
        <v>0</v>
      </c>
      <c r="Q197" s="59">
        <f t="shared" si="30"/>
        <v>0</v>
      </c>
      <c r="R197" s="154">
        <f t="shared" si="27"/>
        <v>60.593556113387109</v>
      </c>
      <c r="S197" s="133">
        <f t="shared" si="28"/>
        <v>3.593556113387109</v>
      </c>
      <c r="T197" s="153">
        <f t="shared" si="23"/>
        <v>0</v>
      </c>
      <c r="V197" s="13"/>
    </row>
    <row r="198" spans="1:22" x14ac:dyDescent="0.25">
      <c r="A198" s="51">
        <f>'A) Base RI'!A199</f>
        <v>5720</v>
      </c>
      <c r="B198" s="484" t="str">
        <f>'A) Base RI'!B199</f>
        <v>Givrins</v>
      </c>
      <c r="C198" s="493">
        <v>1529402.1693515002</v>
      </c>
      <c r="D198" s="487">
        <v>1144204.8999105995</v>
      </c>
      <c r="E198" s="493">
        <v>0</v>
      </c>
      <c r="F198" s="487">
        <v>0</v>
      </c>
      <c r="G198" s="493">
        <v>0</v>
      </c>
      <c r="H198" s="487">
        <v>2673607.0692620995</v>
      </c>
      <c r="I198" s="159">
        <v>73631.281876138426</v>
      </c>
      <c r="J198" s="490">
        <f>'B) D RI'!U199</f>
        <v>72468.135774134775</v>
      </c>
      <c r="K198" s="68">
        <f t="shared" si="29"/>
        <v>36.31075001192572</v>
      </c>
      <c r="L198" s="35">
        <f>'B) D RI'!S199</f>
        <v>61</v>
      </c>
      <c r="M198" s="35">
        <f t="shared" si="24"/>
        <v>24.68924998807428</v>
      </c>
      <c r="N198" s="35">
        <f>'J) Plafonnement effort'!G197+'J) Plafonnement effort'!H197-'K) Plafonnement aide'!I197</f>
        <v>36.144847922815295</v>
      </c>
      <c r="O198" s="133">
        <f t="shared" si="25"/>
        <v>60.834097910889575</v>
      </c>
      <c r="P198" s="49">
        <f t="shared" si="26"/>
        <v>0</v>
      </c>
      <c r="Q198" s="59">
        <f t="shared" si="30"/>
        <v>0</v>
      </c>
      <c r="R198" s="154">
        <f t="shared" si="27"/>
        <v>60.834097910889575</v>
      </c>
      <c r="S198" s="133">
        <f t="shared" si="28"/>
        <v>-0.16590208911042481</v>
      </c>
      <c r="T198" s="153">
        <f t="shared" si="23"/>
        <v>0</v>
      </c>
      <c r="V198" s="13"/>
    </row>
    <row r="199" spans="1:22" x14ac:dyDescent="0.25">
      <c r="A199" s="51">
        <f>'A) Base RI'!A200</f>
        <v>5721</v>
      </c>
      <c r="B199" s="484" t="str">
        <f>'A) Base RI'!B200</f>
        <v>Gland</v>
      </c>
      <c r="C199" s="493">
        <v>8675746.3159939274</v>
      </c>
      <c r="D199" s="487">
        <v>2187847.3188928701</v>
      </c>
      <c r="E199" s="493">
        <v>0</v>
      </c>
      <c r="F199" s="487">
        <v>0</v>
      </c>
      <c r="G199" s="493">
        <v>0</v>
      </c>
      <c r="H199" s="487">
        <v>10863593.634886798</v>
      </c>
      <c r="I199" s="159">
        <v>541149.08192000003</v>
      </c>
      <c r="J199" s="490">
        <f>'B) D RI'!U200</f>
        <v>601947.88112000003</v>
      </c>
      <c r="K199" s="68">
        <f t="shared" si="29"/>
        <v>20.075047704678173</v>
      </c>
      <c r="L199" s="35">
        <f>'B) D RI'!S200</f>
        <v>62.5</v>
      </c>
      <c r="M199" s="35">
        <f t="shared" si="24"/>
        <v>42.42495229532183</v>
      </c>
      <c r="N199" s="35">
        <f>'J) Plafonnement effort'!G198+'J) Plafonnement effort'!H198-'K) Plafonnement aide'!I198</f>
        <v>27.141214383363085</v>
      </c>
      <c r="O199" s="133">
        <f t="shared" si="25"/>
        <v>69.566166678684908</v>
      </c>
      <c r="P199" s="49">
        <f t="shared" si="26"/>
        <v>0</v>
      </c>
      <c r="Q199" s="59">
        <f t="shared" si="30"/>
        <v>0</v>
      </c>
      <c r="R199" s="154">
        <f t="shared" si="27"/>
        <v>69.566166678684908</v>
      </c>
      <c r="S199" s="133">
        <f t="shared" si="28"/>
        <v>7.0661666786849082</v>
      </c>
      <c r="T199" s="153">
        <f t="shared" ref="T199:T262" si="38">+C199+D199+E199+F199+G199-H199</f>
        <v>0</v>
      </c>
      <c r="V199" s="13"/>
    </row>
    <row r="200" spans="1:22" x14ac:dyDescent="0.25">
      <c r="A200" s="51">
        <f>'A) Base RI'!A201</f>
        <v>5722</v>
      </c>
      <c r="B200" s="484" t="str">
        <f>'A) Base RI'!B201</f>
        <v>Grens</v>
      </c>
      <c r="C200" s="493">
        <v>488740.82674301555</v>
      </c>
      <c r="D200" s="487">
        <v>343282.92816918134</v>
      </c>
      <c r="E200" s="493">
        <v>0</v>
      </c>
      <c r="F200" s="487">
        <v>0</v>
      </c>
      <c r="G200" s="493">
        <v>0</v>
      </c>
      <c r="H200" s="487">
        <v>832023.75491219689</v>
      </c>
      <c r="I200" s="159">
        <v>20499.342258064513</v>
      </c>
      <c r="J200" s="490">
        <f>'B) D RI'!U201</f>
        <v>25305.525322580648</v>
      </c>
      <c r="K200" s="68">
        <f t="shared" si="29"/>
        <v>40.587826889171325</v>
      </c>
      <c r="L200" s="35">
        <f>'B) D RI'!S201</f>
        <v>62</v>
      </c>
      <c r="M200" s="35">
        <f t="shared" si="24"/>
        <v>21.412173110828675</v>
      </c>
      <c r="N200" s="35">
        <f>'J) Plafonnement effort'!G199+'J) Plafonnement effort'!H199-'K) Plafonnement aide'!I199</f>
        <v>35.350762001881698</v>
      </c>
      <c r="O200" s="133">
        <f t="shared" si="25"/>
        <v>56.762935112710373</v>
      </c>
      <c r="P200" s="49">
        <f t="shared" si="26"/>
        <v>0</v>
      </c>
      <c r="Q200" s="59">
        <f t="shared" si="30"/>
        <v>0</v>
      </c>
      <c r="R200" s="154">
        <f t="shared" si="27"/>
        <v>56.762935112710373</v>
      </c>
      <c r="S200" s="133">
        <f t="shared" si="28"/>
        <v>-5.2370648872896268</v>
      </c>
      <c r="T200" s="153">
        <f t="shared" si="38"/>
        <v>0</v>
      </c>
      <c r="V200" s="13"/>
    </row>
    <row r="201" spans="1:22" x14ac:dyDescent="0.25">
      <c r="A201" s="51">
        <f>'A) Base RI'!A202</f>
        <v>5723</v>
      </c>
      <c r="B201" s="484" t="str">
        <f>'A) Base RI'!B202</f>
        <v>Mies</v>
      </c>
      <c r="C201" s="493">
        <v>21046978.011191443</v>
      </c>
      <c r="D201" s="487">
        <v>5231607.9728291184</v>
      </c>
      <c r="E201" s="493">
        <v>0</v>
      </c>
      <c r="F201" s="487">
        <v>0</v>
      </c>
      <c r="G201" s="493">
        <v>0</v>
      </c>
      <c r="H201" s="487">
        <v>26278585.984020561</v>
      </c>
      <c r="I201" s="159">
        <v>621558.82755102031</v>
      </c>
      <c r="J201" s="490">
        <f>'B) D RI'!U202</f>
        <v>444775.70673469378</v>
      </c>
      <c r="K201" s="68">
        <f t="shared" si="29"/>
        <v>42.278517847714902</v>
      </c>
      <c r="L201" s="35">
        <f>'B) D RI'!S202</f>
        <v>49</v>
      </c>
      <c r="M201" s="35">
        <f t="shared" si="24"/>
        <v>6.7214821522850983</v>
      </c>
      <c r="N201" s="35">
        <f>'J) Plafonnement effort'!G200+'J) Plafonnement effort'!H200-'K) Plafonnement aide'!I200</f>
        <v>46.446358019229471</v>
      </c>
      <c r="O201" s="133">
        <f t="shared" si="25"/>
        <v>53.16784017151457</v>
      </c>
      <c r="P201" s="49">
        <f t="shared" si="26"/>
        <v>0</v>
      </c>
      <c r="Q201" s="59">
        <f t="shared" si="30"/>
        <v>0</v>
      </c>
      <c r="R201" s="154">
        <f t="shared" si="27"/>
        <v>53.16784017151457</v>
      </c>
      <c r="S201" s="133">
        <f t="shared" si="28"/>
        <v>4.1678401715145696</v>
      </c>
      <c r="T201" s="153">
        <f t="shared" si="38"/>
        <v>0</v>
      </c>
      <c r="V201" s="13"/>
    </row>
    <row r="202" spans="1:22" x14ac:dyDescent="0.25">
      <c r="A202" s="51">
        <f>'A) Base RI'!A203</f>
        <v>5724</v>
      </c>
      <c r="B202" s="484" t="str">
        <f>'A) Base RI'!B203</f>
        <v>Nyon</v>
      </c>
      <c r="C202" s="493">
        <v>31283671.89495004</v>
      </c>
      <c r="D202" s="487">
        <v>9501581.7881193981</v>
      </c>
      <c r="E202" s="493">
        <v>0</v>
      </c>
      <c r="F202" s="487">
        <v>0</v>
      </c>
      <c r="G202" s="493">
        <v>0</v>
      </c>
      <c r="H202" s="487">
        <v>40785253.683069438</v>
      </c>
      <c r="I202" s="159">
        <v>1418675.3806683479</v>
      </c>
      <c r="J202" s="490">
        <f>'B) D RI'!U203</f>
        <v>1315531.3963430012</v>
      </c>
      <c r="K202" s="68">
        <f t="shared" si="29"/>
        <v>28.748827419458859</v>
      </c>
      <c r="L202" s="35">
        <f>'B) D RI'!S203</f>
        <v>61</v>
      </c>
      <c r="M202" s="35">
        <f t="shared" si="24"/>
        <v>32.251172580541137</v>
      </c>
      <c r="N202" s="35">
        <f>'J) Plafonnement effort'!G201+'J) Plafonnement effort'!H201-'K) Plafonnement aide'!I201</f>
        <v>27.666326664025814</v>
      </c>
      <c r="O202" s="133">
        <f t="shared" si="25"/>
        <v>59.917499244566955</v>
      </c>
      <c r="P202" s="49">
        <f t="shared" si="26"/>
        <v>0</v>
      </c>
      <c r="Q202" s="59">
        <f t="shared" si="30"/>
        <v>0</v>
      </c>
      <c r="R202" s="154">
        <f t="shared" si="27"/>
        <v>59.917499244566955</v>
      </c>
      <c r="S202" s="133">
        <f t="shared" si="28"/>
        <v>-1.0825007554330455</v>
      </c>
      <c r="T202" s="153">
        <f t="shared" si="38"/>
        <v>0</v>
      </c>
      <c r="V202" s="13"/>
    </row>
    <row r="203" spans="1:22" x14ac:dyDescent="0.25">
      <c r="A203" s="51">
        <f>'A) Base RI'!A204</f>
        <v>5725</v>
      </c>
      <c r="B203" s="484" t="str">
        <f>'A) Base RI'!B204</f>
        <v>Prangins</v>
      </c>
      <c r="C203" s="493">
        <v>7094933.9795801146</v>
      </c>
      <c r="D203" s="487">
        <v>3943337.4333729022</v>
      </c>
      <c r="E203" s="493">
        <v>0</v>
      </c>
      <c r="F203" s="487">
        <v>0</v>
      </c>
      <c r="G203" s="493">
        <v>0</v>
      </c>
      <c r="H203" s="487">
        <v>11038271.412953017</v>
      </c>
      <c r="I203" s="159">
        <v>319840.55765306117</v>
      </c>
      <c r="J203" s="490">
        <f>'B) D RI'!U204</f>
        <v>298233.5752040816</v>
      </c>
      <c r="K203" s="68">
        <f t="shared" si="29"/>
        <v>34.511793919914616</v>
      </c>
      <c r="L203" s="35">
        <f>'B) D RI'!S204</f>
        <v>56</v>
      </c>
      <c r="M203" s="35">
        <f t="shared" si="24"/>
        <v>21.488206080085384</v>
      </c>
      <c r="N203" s="35">
        <f>'J) Plafonnement effort'!G202+'J) Plafonnement effort'!H202-'K) Plafonnement aide'!I202</f>
        <v>35.027621513454577</v>
      </c>
      <c r="O203" s="133">
        <f t="shared" si="25"/>
        <v>56.51582759353996</v>
      </c>
      <c r="P203" s="49">
        <f t="shared" si="26"/>
        <v>0</v>
      </c>
      <c r="Q203" s="59">
        <f t="shared" si="30"/>
        <v>0</v>
      </c>
      <c r="R203" s="154">
        <f t="shared" si="27"/>
        <v>56.51582759353996</v>
      </c>
      <c r="S203" s="133">
        <f t="shared" si="28"/>
        <v>0.51582759353996011</v>
      </c>
      <c r="T203" s="153">
        <f t="shared" si="38"/>
        <v>0</v>
      </c>
      <c r="V203" s="13"/>
    </row>
    <row r="204" spans="1:22" x14ac:dyDescent="0.25">
      <c r="A204" s="51">
        <f>'A) Base RI'!A205</f>
        <v>5726</v>
      </c>
      <c r="B204" s="484" t="str">
        <f>'A) Base RI'!B205</f>
        <v>La Rippe</v>
      </c>
      <c r="C204" s="493">
        <v>1036299.5152808205</v>
      </c>
      <c r="D204" s="487">
        <v>1018482.6323592721</v>
      </c>
      <c r="E204" s="493">
        <v>0</v>
      </c>
      <c r="F204" s="487">
        <v>0</v>
      </c>
      <c r="G204" s="493">
        <v>0</v>
      </c>
      <c r="H204" s="487">
        <v>2054782.1476400928</v>
      </c>
      <c r="I204" s="159">
        <v>62420.845692307696</v>
      </c>
      <c r="J204" s="490">
        <f>'B) D RI'!U205</f>
        <v>56867.973846153851</v>
      </c>
      <c r="K204" s="68">
        <f t="shared" si="29"/>
        <v>32.918204244921171</v>
      </c>
      <c r="L204" s="35">
        <f>'B) D RI'!S205</f>
        <v>65</v>
      </c>
      <c r="M204" s="35">
        <f t="shared" si="24"/>
        <v>32.081795755078829</v>
      </c>
      <c r="N204" s="35">
        <f>'J) Plafonnement effort'!G203+'J) Plafonnement effort'!H203-'K) Plafonnement aide'!I203</f>
        <v>33.804869907826173</v>
      </c>
      <c r="O204" s="133">
        <f t="shared" si="25"/>
        <v>65.886665662905003</v>
      </c>
      <c r="P204" s="49">
        <f t="shared" si="26"/>
        <v>0</v>
      </c>
      <c r="Q204" s="59">
        <f t="shared" si="30"/>
        <v>0</v>
      </c>
      <c r="R204" s="154">
        <f t="shared" si="27"/>
        <v>65.886665662905003</v>
      </c>
      <c r="S204" s="133">
        <f t="shared" si="28"/>
        <v>0.8866656629050027</v>
      </c>
      <c r="T204" s="153">
        <f t="shared" si="38"/>
        <v>0</v>
      </c>
      <c r="V204" s="13"/>
    </row>
    <row r="205" spans="1:22" x14ac:dyDescent="0.25">
      <c r="A205" s="51">
        <f>'A) Base RI'!A206</f>
        <v>5727</v>
      </c>
      <c r="B205" s="484" t="str">
        <f>'A) Base RI'!B206</f>
        <v>Saint-Cergue</v>
      </c>
      <c r="C205" s="493">
        <v>1745040.4191853974</v>
      </c>
      <c r="D205" s="487">
        <v>871363.64971949602</v>
      </c>
      <c r="E205" s="493">
        <v>0</v>
      </c>
      <c r="F205" s="487">
        <v>0</v>
      </c>
      <c r="G205" s="493">
        <v>0</v>
      </c>
      <c r="H205" s="487">
        <v>2616404.0689048935</v>
      </c>
      <c r="I205" s="159">
        <v>94126.01979797981</v>
      </c>
      <c r="J205" s="490">
        <f>'B) D RI'!U206</f>
        <v>100488.23186868687</v>
      </c>
      <c r="K205" s="68">
        <f t="shared" si="29"/>
        <v>27.796820417143021</v>
      </c>
      <c r="L205" s="35">
        <f>'B) D RI'!S206</f>
        <v>66</v>
      </c>
      <c r="M205" s="35">
        <f t="shared" si="24"/>
        <v>38.203179582856976</v>
      </c>
      <c r="N205" s="35">
        <f>'J) Plafonnement effort'!G204+'J) Plafonnement effort'!H204-'K) Plafonnement aide'!I204</f>
        <v>25.44709398392401</v>
      </c>
      <c r="O205" s="133">
        <f t="shared" si="25"/>
        <v>63.650273566780982</v>
      </c>
      <c r="P205" s="49">
        <f t="shared" si="26"/>
        <v>0</v>
      </c>
      <c r="Q205" s="59">
        <f t="shared" si="30"/>
        <v>0</v>
      </c>
      <c r="R205" s="154">
        <f t="shared" si="27"/>
        <v>63.650273566780982</v>
      </c>
      <c r="S205" s="133">
        <f t="shared" si="28"/>
        <v>-2.3497264332190184</v>
      </c>
      <c r="T205" s="153">
        <f t="shared" si="38"/>
        <v>0</v>
      </c>
      <c r="V205" s="13"/>
    </row>
    <row r="206" spans="1:22" x14ac:dyDescent="0.25">
      <c r="A206" s="51">
        <f>'A) Base RI'!A207</f>
        <v>5728</v>
      </c>
      <c r="B206" s="484" t="str">
        <f>'A) Base RI'!B207</f>
        <v>Signy-Avenex</v>
      </c>
      <c r="C206" s="493">
        <v>787648.32841439848</v>
      </c>
      <c r="D206" s="487">
        <v>540970.6471493881</v>
      </c>
      <c r="E206" s="493">
        <v>0</v>
      </c>
      <c r="F206" s="487">
        <v>0</v>
      </c>
      <c r="G206" s="493">
        <v>0</v>
      </c>
      <c r="H206" s="487">
        <v>1328618.9755637865</v>
      </c>
      <c r="I206" s="159">
        <v>33547.613749999997</v>
      </c>
      <c r="J206" s="490">
        <f>'B) D RI'!U207</f>
        <v>39144.261206896554</v>
      </c>
      <c r="K206" s="68">
        <f t="shared" si="29"/>
        <v>39.603978556113745</v>
      </c>
      <c r="L206" s="35">
        <f>'B) D RI'!S207</f>
        <v>58</v>
      </c>
      <c r="M206" s="35">
        <f t="shared" si="24"/>
        <v>18.396021443886255</v>
      </c>
      <c r="N206" s="35">
        <f>'J) Plafonnement effort'!G205+'J) Plafonnement effort'!H205-'K) Plafonnement aide'!I205</f>
        <v>38.329087145768781</v>
      </c>
      <c r="O206" s="133">
        <f t="shared" si="25"/>
        <v>56.725108589655036</v>
      </c>
      <c r="P206" s="49">
        <f t="shared" si="26"/>
        <v>0</v>
      </c>
      <c r="Q206" s="59">
        <f t="shared" si="30"/>
        <v>0</v>
      </c>
      <c r="R206" s="154">
        <f t="shared" si="27"/>
        <v>56.725108589655036</v>
      </c>
      <c r="S206" s="133">
        <f t="shared" si="28"/>
        <v>-1.2748914103449636</v>
      </c>
      <c r="T206" s="153">
        <f t="shared" si="38"/>
        <v>0</v>
      </c>
      <c r="V206" s="13"/>
    </row>
    <row r="207" spans="1:22" x14ac:dyDescent="0.25">
      <c r="A207" s="51">
        <f>'A) Base RI'!A208</f>
        <v>5729</v>
      </c>
      <c r="B207" s="484" t="str">
        <f>'A) Base RI'!B208</f>
        <v>Tannay</v>
      </c>
      <c r="C207" s="493">
        <v>3543159.617269394</v>
      </c>
      <c r="D207" s="487">
        <v>1879685.7569364393</v>
      </c>
      <c r="E207" s="493">
        <v>0</v>
      </c>
      <c r="F207" s="487">
        <v>0</v>
      </c>
      <c r="G207" s="493">
        <v>0</v>
      </c>
      <c r="H207" s="487">
        <v>5422845.3742058333</v>
      </c>
      <c r="I207" s="159">
        <v>141635.67650273221</v>
      </c>
      <c r="J207" s="490">
        <f>'B) D RI'!U208</f>
        <v>175758.22994535521</v>
      </c>
      <c r="K207" s="68">
        <f t="shared" si="29"/>
        <v>38.287284024101261</v>
      </c>
      <c r="L207" s="35">
        <f>'B) D RI'!S208</f>
        <v>61</v>
      </c>
      <c r="M207" s="35">
        <f t="shared" si="24"/>
        <v>22.712715975898739</v>
      </c>
      <c r="N207" s="35">
        <f>'J) Plafonnement effort'!G206+'J) Plafonnement effort'!H206-'K) Plafonnement aide'!I206</f>
        <v>44.15733266056013</v>
      </c>
      <c r="O207" s="133">
        <f t="shared" si="25"/>
        <v>66.870048636458876</v>
      </c>
      <c r="P207" s="49">
        <f t="shared" si="26"/>
        <v>0</v>
      </c>
      <c r="Q207" s="59">
        <f t="shared" si="30"/>
        <v>0</v>
      </c>
      <c r="R207" s="154">
        <f t="shared" si="27"/>
        <v>66.870048636458876</v>
      </c>
      <c r="S207" s="133">
        <f t="shared" si="28"/>
        <v>5.8700486364588755</v>
      </c>
      <c r="T207" s="153">
        <f t="shared" si="38"/>
        <v>0</v>
      </c>
      <c r="V207" s="13"/>
    </row>
    <row r="208" spans="1:22" x14ac:dyDescent="0.25">
      <c r="A208" s="51">
        <f>'A) Base RI'!A209</f>
        <v>5730</v>
      </c>
      <c r="B208" s="484" t="str">
        <f>'A) Base RI'!B209</f>
        <v>Trélex</v>
      </c>
      <c r="C208" s="493">
        <v>2814549.1438400964</v>
      </c>
      <c r="D208" s="487">
        <v>1726853.7932262763</v>
      </c>
      <c r="E208" s="493">
        <v>0</v>
      </c>
      <c r="F208" s="487">
        <v>0</v>
      </c>
      <c r="G208" s="493">
        <v>0</v>
      </c>
      <c r="H208" s="487">
        <v>4541402.9370663725</v>
      </c>
      <c r="I208" s="159">
        <v>125167.38524366473</v>
      </c>
      <c r="J208" s="490">
        <f>'B) D RI'!U209</f>
        <v>105206.62530214424</v>
      </c>
      <c r="K208" s="68">
        <f t="shared" si="29"/>
        <v>36.282638070816716</v>
      </c>
      <c r="L208" s="35">
        <f>'B) D RI'!S209</f>
        <v>57</v>
      </c>
      <c r="M208" s="35">
        <f t="shared" si="24"/>
        <v>20.717361929183284</v>
      </c>
      <c r="N208" s="35">
        <f>'J) Plafonnement effort'!G207+'J) Plafonnement effort'!H207-'K) Plafonnement aide'!I207</f>
        <v>37.128969979599063</v>
      </c>
      <c r="O208" s="133">
        <f t="shared" si="25"/>
        <v>57.846331908782346</v>
      </c>
      <c r="P208" s="49">
        <f t="shared" si="26"/>
        <v>0</v>
      </c>
      <c r="Q208" s="59">
        <f t="shared" si="30"/>
        <v>0</v>
      </c>
      <c r="R208" s="154">
        <f t="shared" si="27"/>
        <v>57.846331908782346</v>
      </c>
      <c r="S208" s="133">
        <f t="shared" si="28"/>
        <v>0.84633190878234643</v>
      </c>
      <c r="T208" s="153">
        <f t="shared" si="38"/>
        <v>0</v>
      </c>
      <c r="V208" s="13"/>
    </row>
    <row r="209" spans="1:22" x14ac:dyDescent="0.25">
      <c r="A209" s="51">
        <f>'A) Base RI'!A210</f>
        <v>5731</v>
      </c>
      <c r="B209" s="484" t="str">
        <f>'A) Base RI'!B210</f>
        <v>Le Vaud</v>
      </c>
      <c r="C209" s="493">
        <v>833028.35279387934</v>
      </c>
      <c r="D209" s="487">
        <v>502501.4786609048</v>
      </c>
      <c r="E209" s="493">
        <v>0</v>
      </c>
      <c r="F209" s="487">
        <v>0</v>
      </c>
      <c r="G209" s="493">
        <v>0</v>
      </c>
      <c r="H209" s="487">
        <v>1335529.8314547841</v>
      </c>
      <c r="I209" s="159">
        <v>47266.974133333322</v>
      </c>
      <c r="J209" s="490">
        <f>'B) D RI'!U210</f>
        <v>50893.333199999994</v>
      </c>
      <c r="K209" s="68">
        <f t="shared" si="29"/>
        <v>28.255031254749817</v>
      </c>
      <c r="L209" s="35">
        <f>'B) D RI'!S210</f>
        <v>75</v>
      </c>
      <c r="M209" s="35">
        <f t="shared" si="24"/>
        <v>46.744968745250183</v>
      </c>
      <c r="N209" s="35">
        <f>'J) Plafonnement effort'!G208+'J) Plafonnement effort'!H208-'K) Plafonnement aide'!I208</f>
        <v>28.296613318094341</v>
      </c>
      <c r="O209" s="133">
        <f t="shared" si="25"/>
        <v>75.041582063344521</v>
      </c>
      <c r="P209" s="49">
        <f t="shared" si="26"/>
        <v>0</v>
      </c>
      <c r="Q209" s="59">
        <f t="shared" si="30"/>
        <v>0</v>
      </c>
      <c r="R209" s="154">
        <f t="shared" si="27"/>
        <v>75.041582063344521</v>
      </c>
      <c r="S209" s="133">
        <f t="shared" si="28"/>
        <v>4.1582063344520748E-2</v>
      </c>
      <c r="T209" s="153">
        <f t="shared" si="38"/>
        <v>0</v>
      </c>
      <c r="V209" s="13"/>
    </row>
    <row r="210" spans="1:22" x14ac:dyDescent="0.25">
      <c r="A210" s="51">
        <f>'A) Base RI'!A211</f>
        <v>5732</v>
      </c>
      <c r="B210" s="484" t="str">
        <f>'A) Base RI'!B211</f>
        <v>Vich</v>
      </c>
      <c r="C210" s="493">
        <v>1777795.0827528471</v>
      </c>
      <c r="D210" s="487">
        <v>1154326.4054527448</v>
      </c>
      <c r="E210" s="493">
        <v>0</v>
      </c>
      <c r="F210" s="487">
        <v>0</v>
      </c>
      <c r="G210" s="493">
        <v>0</v>
      </c>
      <c r="H210" s="487">
        <v>2932121.4882055921</v>
      </c>
      <c r="I210" s="159">
        <v>76343.818235294122</v>
      </c>
      <c r="J210" s="490">
        <f>'B) D RI'!U211</f>
        <v>63381.263823529407</v>
      </c>
      <c r="K210" s="68">
        <f t="shared" si="29"/>
        <v>38.40679646345037</v>
      </c>
      <c r="L210" s="35">
        <f>'B) D RI'!S211</f>
        <v>68</v>
      </c>
      <c r="M210" s="35">
        <f t="shared" si="24"/>
        <v>29.59320353654963</v>
      </c>
      <c r="N210" s="35">
        <f>'J) Plafonnement effort'!G209+'J) Plafonnement effort'!H209-'K) Plafonnement aide'!I209</f>
        <v>26.563859884704414</v>
      </c>
      <c r="O210" s="133">
        <f t="shared" si="25"/>
        <v>56.157063421254044</v>
      </c>
      <c r="P210" s="49">
        <f t="shared" si="26"/>
        <v>0</v>
      </c>
      <c r="Q210" s="59">
        <f t="shared" si="30"/>
        <v>0</v>
      </c>
      <c r="R210" s="154">
        <f t="shared" si="27"/>
        <v>56.157063421254044</v>
      </c>
      <c r="S210" s="133">
        <f t="shared" si="28"/>
        <v>-11.842936578745956</v>
      </c>
      <c r="T210" s="153">
        <f t="shared" si="38"/>
        <v>0</v>
      </c>
      <c r="V210" s="13"/>
    </row>
    <row r="211" spans="1:22" x14ac:dyDescent="0.25">
      <c r="A211" s="51">
        <f>'A) Base RI'!A212</f>
        <v>5741</v>
      </c>
      <c r="B211" s="484" t="str">
        <f>'A) Base RI'!B212</f>
        <v>L'Abergement</v>
      </c>
      <c r="C211" s="493">
        <v>114389.62555027219</v>
      </c>
      <c r="D211" s="487">
        <v>-11231.006967964742</v>
      </c>
      <c r="E211" s="493">
        <v>0</v>
      </c>
      <c r="F211" s="487">
        <v>0</v>
      </c>
      <c r="G211" s="493">
        <v>0</v>
      </c>
      <c r="H211" s="487">
        <v>103158.61858230745</v>
      </c>
      <c r="I211" s="159">
        <v>6474.3855761316872</v>
      </c>
      <c r="J211" s="490">
        <f>'B) D RI'!U212</f>
        <v>6650.8402880658423</v>
      </c>
      <c r="K211" s="68">
        <f t="shared" si="29"/>
        <v>15.933344928144148</v>
      </c>
      <c r="L211" s="35">
        <f>'B) D RI'!S212</f>
        <v>81</v>
      </c>
      <c r="M211" s="35">
        <f t="shared" si="24"/>
        <v>65.066655071855848</v>
      </c>
      <c r="N211" s="35">
        <f>'J) Plafonnement effort'!G210+'J) Plafonnement effort'!H210-'K) Plafonnement aide'!I210</f>
        <v>6.4159615586248329</v>
      </c>
      <c r="O211" s="133">
        <f t="shared" si="25"/>
        <v>71.482616630480678</v>
      </c>
      <c r="P211" s="49">
        <f t="shared" si="26"/>
        <v>0</v>
      </c>
      <c r="Q211" s="59">
        <f t="shared" si="30"/>
        <v>0</v>
      </c>
      <c r="R211" s="154">
        <f t="shared" si="27"/>
        <v>71.482616630480678</v>
      </c>
      <c r="S211" s="133">
        <f t="shared" si="28"/>
        <v>-9.5173833695193224</v>
      </c>
      <c r="T211" s="153">
        <f t="shared" si="38"/>
        <v>0</v>
      </c>
      <c r="V211" s="13"/>
    </row>
    <row r="212" spans="1:22" x14ac:dyDescent="0.25">
      <c r="A212" s="51">
        <f>'A) Base RI'!A213</f>
        <v>5742</v>
      </c>
      <c r="B212" s="484" t="str">
        <f>'A) Base RI'!B213</f>
        <v>Agiez</v>
      </c>
      <c r="C212" s="493">
        <v>171396.45808332766</v>
      </c>
      <c r="D212" s="487">
        <v>22924.339429868531</v>
      </c>
      <c r="E212" s="493">
        <v>0</v>
      </c>
      <c r="F212" s="487">
        <v>0</v>
      </c>
      <c r="G212" s="493">
        <v>0</v>
      </c>
      <c r="H212" s="487">
        <v>194320.79751319619</v>
      </c>
      <c r="I212" s="159">
        <v>8406.0221052631568</v>
      </c>
      <c r="J212" s="490">
        <f>'B) D RI'!U213</f>
        <v>9444.339473684211</v>
      </c>
      <c r="K212" s="68">
        <f t="shared" si="29"/>
        <v>23.116855401977656</v>
      </c>
      <c r="L212" s="35">
        <f>'B) D RI'!S213</f>
        <v>76</v>
      </c>
      <c r="M212" s="35">
        <f t="shared" si="24"/>
        <v>52.883144598022341</v>
      </c>
      <c r="N212" s="35">
        <f>'J) Plafonnement effort'!G211+'J) Plafonnement effort'!H211-'K) Plafonnement aide'!I211</f>
        <v>21.724434250822949</v>
      </c>
      <c r="O212" s="133">
        <f t="shared" si="25"/>
        <v>74.607578848845293</v>
      </c>
      <c r="P212" s="49">
        <f t="shared" si="26"/>
        <v>0</v>
      </c>
      <c r="Q212" s="59">
        <f t="shared" si="30"/>
        <v>0</v>
      </c>
      <c r="R212" s="154">
        <f t="shared" si="27"/>
        <v>74.607578848845293</v>
      </c>
      <c r="S212" s="133">
        <f t="shared" si="28"/>
        <v>-1.3924211511547071</v>
      </c>
      <c r="T212" s="153">
        <f t="shared" si="38"/>
        <v>0</v>
      </c>
      <c r="V212" s="13"/>
    </row>
    <row r="213" spans="1:22" x14ac:dyDescent="0.25">
      <c r="A213" s="51">
        <f>'A) Base RI'!A214</f>
        <v>5743</v>
      </c>
      <c r="B213" s="484" t="str">
        <f>'A) Base RI'!B214</f>
        <v>Arnex-sur-Orbe</v>
      </c>
      <c r="C213" s="493">
        <v>259527.55052518309</v>
      </c>
      <c r="D213" s="487">
        <v>-11854.10298833804</v>
      </c>
      <c r="E213" s="493">
        <v>0</v>
      </c>
      <c r="F213" s="487">
        <v>0</v>
      </c>
      <c r="G213" s="493">
        <v>0</v>
      </c>
      <c r="H213" s="487">
        <v>247673.44753684505</v>
      </c>
      <c r="I213" s="159">
        <v>16157.310890410963</v>
      </c>
      <c r="J213" s="490">
        <f>'B) D RI'!U214</f>
        <v>17668.924178082194</v>
      </c>
      <c r="K213" s="68">
        <f t="shared" si="29"/>
        <v>15.32887800554944</v>
      </c>
      <c r="L213" s="35">
        <f>'B) D RI'!S214</f>
        <v>73</v>
      </c>
      <c r="M213" s="35">
        <f t="shared" si="24"/>
        <v>57.671121994450559</v>
      </c>
      <c r="N213" s="35">
        <f>'J) Plafonnement effort'!G212+'J) Plafonnement effort'!H212-'K) Plafonnement aide'!I212</f>
        <v>15.363103038613556</v>
      </c>
      <c r="O213" s="133">
        <f t="shared" si="25"/>
        <v>73.034225033064118</v>
      </c>
      <c r="P213" s="49">
        <f t="shared" si="26"/>
        <v>0</v>
      </c>
      <c r="Q213" s="59">
        <f t="shared" si="30"/>
        <v>0</v>
      </c>
      <c r="R213" s="154">
        <f t="shared" si="27"/>
        <v>73.034225033064118</v>
      </c>
      <c r="S213" s="133">
        <f t="shared" si="28"/>
        <v>3.4225033064117838E-2</v>
      </c>
      <c r="T213" s="153">
        <f t="shared" si="38"/>
        <v>0</v>
      </c>
      <c r="V213" s="13"/>
    </row>
    <row r="214" spans="1:22" x14ac:dyDescent="0.25">
      <c r="A214" s="51">
        <f>'A) Base RI'!A215</f>
        <v>5744</v>
      </c>
      <c r="B214" s="484" t="str">
        <f>'A) Base RI'!B215</f>
        <v>Ballaigues</v>
      </c>
      <c r="C214" s="493">
        <v>1588274.6065855701</v>
      </c>
      <c r="D214" s="487">
        <v>1085384.9743743322</v>
      </c>
      <c r="E214" s="493">
        <v>0</v>
      </c>
      <c r="F214" s="487">
        <v>0</v>
      </c>
      <c r="G214" s="493">
        <v>0</v>
      </c>
      <c r="H214" s="487">
        <v>2673659.5809599021</v>
      </c>
      <c r="I214" s="159">
        <v>67876.800151515155</v>
      </c>
      <c r="J214" s="490">
        <f>'B) D RI'!U215</f>
        <v>60772.767121212128</v>
      </c>
      <c r="K214" s="68">
        <f t="shared" si="29"/>
        <v>39.389888371162712</v>
      </c>
      <c r="L214" s="35">
        <f>'B) D RI'!S215</f>
        <v>66</v>
      </c>
      <c r="M214" s="35">
        <f t="shared" si="24"/>
        <v>26.610111628837288</v>
      </c>
      <c r="N214" s="35">
        <f>'J) Plafonnement effort'!G213+'J) Plafonnement effort'!H213-'K) Plafonnement aide'!I213</f>
        <v>33.967368175595475</v>
      </c>
      <c r="O214" s="133">
        <f t="shared" si="25"/>
        <v>60.577479804432762</v>
      </c>
      <c r="P214" s="49">
        <f t="shared" si="26"/>
        <v>0</v>
      </c>
      <c r="Q214" s="59">
        <f t="shared" si="30"/>
        <v>0</v>
      </c>
      <c r="R214" s="154">
        <f t="shared" si="27"/>
        <v>60.577479804432762</v>
      </c>
      <c r="S214" s="133">
        <f t="shared" si="28"/>
        <v>-5.4225201955672375</v>
      </c>
      <c r="T214" s="153">
        <f t="shared" si="38"/>
        <v>0</v>
      </c>
      <c r="V214" s="13"/>
    </row>
    <row r="215" spans="1:22" x14ac:dyDescent="0.25">
      <c r="A215" s="51">
        <f>'A) Base RI'!A216</f>
        <v>5745</v>
      </c>
      <c r="B215" s="484" t="str">
        <f>'A) Base RI'!B216</f>
        <v>Baulmes</v>
      </c>
      <c r="C215" s="493">
        <v>474891.09466892341</v>
      </c>
      <c r="D215" s="487">
        <v>-103616.17949399748</v>
      </c>
      <c r="E215" s="493">
        <v>0</v>
      </c>
      <c r="F215" s="487">
        <v>0</v>
      </c>
      <c r="G215" s="493">
        <v>0</v>
      </c>
      <c r="H215" s="487">
        <v>371274.91517492593</v>
      </c>
      <c r="I215" s="159">
        <v>26708.244230769233</v>
      </c>
      <c r="J215" s="490">
        <f>'B) D RI'!U216</f>
        <v>25719.773333333334</v>
      </c>
      <c r="K215" s="68">
        <f t="shared" si="29"/>
        <v>13.901135243746149</v>
      </c>
      <c r="L215" s="35">
        <f>'B) D RI'!S216</f>
        <v>78</v>
      </c>
      <c r="M215" s="35">
        <f t="shared" si="24"/>
        <v>64.098864756253846</v>
      </c>
      <c r="N215" s="35">
        <f>'J) Plafonnement effort'!G214+'J) Plafonnement effort'!H214-'K) Plafonnement aide'!I214</f>
        <v>5.2038497609799208</v>
      </c>
      <c r="O215" s="133">
        <f t="shared" si="25"/>
        <v>69.302714517233767</v>
      </c>
      <c r="P215" s="49">
        <f t="shared" si="26"/>
        <v>0</v>
      </c>
      <c r="Q215" s="59">
        <f t="shared" si="30"/>
        <v>0</v>
      </c>
      <c r="R215" s="154">
        <f t="shared" si="27"/>
        <v>69.302714517233767</v>
      </c>
      <c r="S215" s="133">
        <f t="shared" si="28"/>
        <v>-8.6972854827662331</v>
      </c>
      <c r="T215" s="153">
        <f t="shared" si="38"/>
        <v>0</v>
      </c>
      <c r="V215" s="13"/>
    </row>
    <row r="216" spans="1:22" x14ac:dyDescent="0.25">
      <c r="A216" s="51">
        <f>'A) Base RI'!A217</f>
        <v>5746</v>
      </c>
      <c r="B216" s="484" t="str">
        <f>'A) Base RI'!B217</f>
        <v>Bavois</v>
      </c>
      <c r="C216" s="493">
        <v>446751.70671354717</v>
      </c>
      <c r="D216" s="487">
        <v>84814.039547798398</v>
      </c>
      <c r="E216" s="493">
        <v>0</v>
      </c>
      <c r="F216" s="487">
        <v>0</v>
      </c>
      <c r="G216" s="493">
        <v>0</v>
      </c>
      <c r="H216" s="487">
        <v>531565.74626134557</v>
      </c>
      <c r="I216" s="159">
        <v>26575.73502283105</v>
      </c>
      <c r="J216" s="490">
        <f>'B) D RI'!U217</f>
        <v>26078.686575342468</v>
      </c>
      <c r="K216" s="68">
        <f t="shared" si="29"/>
        <v>20.001920767372219</v>
      </c>
      <c r="L216" s="35">
        <f>'B) D RI'!S217</f>
        <v>73</v>
      </c>
      <c r="M216" s="35">
        <f t="shared" si="24"/>
        <v>52.998079232627781</v>
      </c>
      <c r="N216" s="35">
        <f>'J) Plafonnement effort'!G215+'J) Plafonnement effort'!H215-'K) Plafonnement aide'!I215</f>
        <v>13.294403762029635</v>
      </c>
      <c r="O216" s="133">
        <f t="shared" si="25"/>
        <v>66.292482994657419</v>
      </c>
      <c r="P216" s="49">
        <f t="shared" si="26"/>
        <v>0</v>
      </c>
      <c r="Q216" s="59">
        <f t="shared" si="30"/>
        <v>0</v>
      </c>
      <c r="R216" s="154">
        <f t="shared" si="27"/>
        <v>66.292482994657419</v>
      </c>
      <c r="S216" s="133">
        <f t="shared" si="28"/>
        <v>-6.7075170053425808</v>
      </c>
      <c r="T216" s="153">
        <f t="shared" si="38"/>
        <v>0</v>
      </c>
      <c r="V216" s="13"/>
    </row>
    <row r="217" spans="1:22" x14ac:dyDescent="0.25">
      <c r="A217" s="51">
        <f>'A) Base RI'!A218</f>
        <v>5747</v>
      </c>
      <c r="B217" s="484" t="str">
        <f>'A) Base RI'!B218</f>
        <v>Bofflens</v>
      </c>
      <c r="C217" s="493">
        <v>85268.592329368272</v>
      </c>
      <c r="D217" s="487">
        <v>23232.80295551884</v>
      </c>
      <c r="E217" s="493">
        <v>0</v>
      </c>
      <c r="F217" s="487">
        <v>0</v>
      </c>
      <c r="G217" s="493">
        <v>0</v>
      </c>
      <c r="H217" s="487">
        <v>108501.39528488711</v>
      </c>
      <c r="I217" s="159">
        <v>5307.8250724637683</v>
      </c>
      <c r="J217" s="490">
        <f>'B) D RI'!U218</f>
        <v>5407.3595652173908</v>
      </c>
      <c r="K217" s="68">
        <f t="shared" si="29"/>
        <v>20.441780541671715</v>
      </c>
      <c r="L217" s="35">
        <f>'B) D RI'!S218</f>
        <v>69</v>
      </c>
      <c r="M217" s="35">
        <f t="shared" si="24"/>
        <v>48.558219458328281</v>
      </c>
      <c r="N217" s="35">
        <f>'J) Plafonnement effort'!G216+'J) Plafonnement effort'!H216-'K) Plafonnement aide'!I216</f>
        <v>18.013347091900954</v>
      </c>
      <c r="O217" s="133">
        <f t="shared" si="25"/>
        <v>66.571566550229235</v>
      </c>
      <c r="P217" s="49">
        <f t="shared" si="26"/>
        <v>0</v>
      </c>
      <c r="Q217" s="59">
        <f t="shared" si="30"/>
        <v>0</v>
      </c>
      <c r="R217" s="154">
        <f t="shared" si="27"/>
        <v>66.571566550229235</v>
      </c>
      <c r="S217" s="133">
        <f t="shared" si="28"/>
        <v>-2.4284334497707647</v>
      </c>
      <c r="T217" s="153">
        <f t="shared" si="38"/>
        <v>0</v>
      </c>
      <c r="V217" s="13"/>
    </row>
    <row r="218" spans="1:22" x14ac:dyDescent="0.25">
      <c r="A218" s="51">
        <f>'A) Base RI'!A219</f>
        <v>5748</v>
      </c>
      <c r="B218" s="484" t="str">
        <f>'A) Base RI'!B219</f>
        <v>Bretonnières</v>
      </c>
      <c r="C218" s="493">
        <v>133499.74207565695</v>
      </c>
      <c r="D218" s="487">
        <v>24055.643996104962</v>
      </c>
      <c r="E218" s="493">
        <v>0</v>
      </c>
      <c r="F218" s="487">
        <v>0</v>
      </c>
      <c r="G218" s="493">
        <v>0</v>
      </c>
      <c r="H218" s="487">
        <v>157555.3860717619</v>
      </c>
      <c r="I218" s="159">
        <v>7260.9913888888877</v>
      </c>
      <c r="J218" s="490">
        <f>'B) D RI'!U219</f>
        <v>7687.1286574074074</v>
      </c>
      <c r="K218" s="68">
        <f t="shared" si="29"/>
        <v>21.698880722109188</v>
      </c>
      <c r="L218" s="35">
        <f>'B) D RI'!S219</f>
        <v>72</v>
      </c>
      <c r="M218" s="35">
        <f t="shared" si="24"/>
        <v>50.301119277890812</v>
      </c>
      <c r="N218" s="35">
        <f>'J) Plafonnement effort'!G217+'J) Plafonnement effort'!H217-'K) Plafonnement aide'!I217</f>
        <v>28.099426540566796</v>
      </c>
      <c r="O218" s="133">
        <f t="shared" si="25"/>
        <v>78.400545818457601</v>
      </c>
      <c r="P218" s="49">
        <f t="shared" si="26"/>
        <v>0</v>
      </c>
      <c r="Q218" s="59">
        <f t="shared" si="30"/>
        <v>0</v>
      </c>
      <c r="R218" s="154">
        <f t="shared" si="27"/>
        <v>78.400545818457601</v>
      </c>
      <c r="S218" s="133">
        <f t="shared" si="28"/>
        <v>6.4005458184576014</v>
      </c>
      <c r="T218" s="153">
        <f t="shared" si="38"/>
        <v>0</v>
      </c>
      <c r="V218" s="13"/>
    </row>
    <row r="219" spans="1:22" x14ac:dyDescent="0.25">
      <c r="A219" s="51">
        <f>'A) Base RI'!A220</f>
        <v>5749</v>
      </c>
      <c r="B219" s="484" t="str">
        <f>'A) Base RI'!B220</f>
        <v>Chavornay</v>
      </c>
      <c r="C219" s="493">
        <v>2521570.6224665218</v>
      </c>
      <c r="D219" s="493">
        <v>-695871.0073507562</v>
      </c>
      <c r="E219" s="493">
        <v>0</v>
      </c>
      <c r="F219" s="493">
        <v>0</v>
      </c>
      <c r="G219" s="493">
        <v>0</v>
      </c>
      <c r="H219" s="487">
        <v>1825699.6151157655</v>
      </c>
      <c r="I219" s="159">
        <v>132516</v>
      </c>
      <c r="J219" s="490">
        <f>'B) D RI'!U220</f>
        <v>136661.8213888889</v>
      </c>
      <c r="K219" s="68">
        <f t="shared" ref="K219" si="39">H219/I219</f>
        <v>13.777201357690886</v>
      </c>
      <c r="L219" s="35">
        <f>'B) D RI'!S220</f>
        <v>72</v>
      </c>
      <c r="M219" s="35">
        <f t="shared" ref="M219" si="40">L219-K219</f>
        <v>58.222798642309115</v>
      </c>
      <c r="N219" s="35">
        <f>'J) Plafonnement effort'!G218+'J) Plafonnement effort'!H218-'K) Plafonnement aide'!I218</f>
        <v>7.5146364062332029</v>
      </c>
      <c r="O219" s="133">
        <f t="shared" ref="O219" si="41">M219+N219</f>
        <v>65.737435048542324</v>
      </c>
      <c r="P219" s="49">
        <f t="shared" ref="P219" si="42">IF(O219&gt;$P$5,$P$5-O219,0)</f>
        <v>0</v>
      </c>
      <c r="Q219" s="59">
        <f t="shared" ref="Q219" si="43">P219*J219</f>
        <v>0</v>
      </c>
      <c r="R219" s="154">
        <f t="shared" ref="R219" si="44">O219+P219</f>
        <v>65.737435048542324</v>
      </c>
      <c r="S219" s="133">
        <f t="shared" ref="S219" si="45">R219-L219</f>
        <v>-6.2625649514576764</v>
      </c>
      <c r="T219" s="153">
        <f t="shared" si="38"/>
        <v>0</v>
      </c>
      <c r="V219" s="13"/>
    </row>
    <row r="220" spans="1:22" x14ac:dyDescent="0.25">
      <c r="A220" s="51">
        <f>'A) Base RI'!A221</f>
        <v>5750</v>
      </c>
      <c r="B220" s="484" t="str">
        <f>'A) Base RI'!B221</f>
        <v>Les Clées</v>
      </c>
      <c r="C220" s="493">
        <v>81510.341533617859</v>
      </c>
      <c r="D220" s="487">
        <v>-4435.3231366852706</v>
      </c>
      <c r="E220" s="493">
        <v>0</v>
      </c>
      <c r="F220" s="487">
        <v>0</v>
      </c>
      <c r="G220" s="493">
        <v>0</v>
      </c>
      <c r="H220" s="487">
        <v>77075.018396932588</v>
      </c>
      <c r="I220" s="159">
        <v>4790.0727916666665</v>
      </c>
      <c r="J220" s="490">
        <f>'B) D RI'!U221</f>
        <v>5052.5065833333338</v>
      </c>
      <c r="K220" s="68">
        <f t="shared" si="29"/>
        <v>16.090573515087435</v>
      </c>
      <c r="L220" s="35">
        <f>'B) D RI'!S221</f>
        <v>80</v>
      </c>
      <c r="M220" s="35">
        <f t="shared" ref="M220:M261" si="46">L220-K220</f>
        <v>63.909426484912565</v>
      </c>
      <c r="N220" s="35">
        <f>'J) Plafonnement effort'!G219+'J) Plafonnement effort'!H219-'K) Plafonnement aide'!I219</f>
        <v>15.062222986002547</v>
      </c>
      <c r="O220" s="133">
        <f t="shared" ref="O220:O261" si="47">M220+N220</f>
        <v>78.971649470915111</v>
      </c>
      <c r="P220" s="49">
        <f t="shared" ref="P220:P261" si="48">IF(O220&gt;$P$5,$P$5-O220,0)</f>
        <v>0</v>
      </c>
      <c r="Q220" s="59">
        <f t="shared" si="30"/>
        <v>0</v>
      </c>
      <c r="R220" s="154">
        <f t="shared" ref="R220:R261" si="49">O220+P220</f>
        <v>78.971649470915111</v>
      </c>
      <c r="S220" s="133">
        <f t="shared" ref="S220:S261" si="50">R220-L220</f>
        <v>-1.0283505290848893</v>
      </c>
      <c r="T220" s="153">
        <f t="shared" si="38"/>
        <v>0</v>
      </c>
      <c r="V220" s="13"/>
    </row>
    <row r="221" spans="1:22" x14ac:dyDescent="0.25">
      <c r="A221" s="51">
        <f>'A) Base RI'!A222</f>
        <v>5752</v>
      </c>
      <c r="B221" s="484" t="str">
        <f>'A) Base RI'!B222</f>
        <v>Croy</v>
      </c>
      <c r="C221" s="493">
        <v>158379.93668551237</v>
      </c>
      <c r="D221" s="487">
        <v>6749.9640589542396</v>
      </c>
      <c r="E221" s="493">
        <v>0</v>
      </c>
      <c r="F221" s="487">
        <v>0</v>
      </c>
      <c r="G221" s="493">
        <v>0</v>
      </c>
      <c r="H221" s="487">
        <v>165129.90074446661</v>
      </c>
      <c r="I221" s="159">
        <v>9213.5061196911174</v>
      </c>
      <c r="J221" s="490">
        <f>'B) D RI'!U222</f>
        <v>11188.496891891893</v>
      </c>
      <c r="K221" s="68">
        <f t="shared" ref="K221:K265" si="51">H221/I221</f>
        <v>17.922590879008673</v>
      </c>
      <c r="L221" s="35">
        <f>'B) D RI'!S222</f>
        <v>74</v>
      </c>
      <c r="M221" s="35">
        <f t="shared" si="46"/>
        <v>56.077409120991327</v>
      </c>
      <c r="N221" s="35">
        <f>'J) Plafonnement effort'!G220+'J) Plafonnement effort'!H220-'K) Plafonnement aide'!I220</f>
        <v>12.459559378535548</v>
      </c>
      <c r="O221" s="133">
        <f t="shared" si="47"/>
        <v>68.536968499526878</v>
      </c>
      <c r="P221" s="49">
        <f t="shared" si="48"/>
        <v>0</v>
      </c>
      <c r="Q221" s="59">
        <f t="shared" si="30"/>
        <v>0</v>
      </c>
      <c r="R221" s="154">
        <f t="shared" si="49"/>
        <v>68.536968499526878</v>
      </c>
      <c r="S221" s="133">
        <f t="shared" si="50"/>
        <v>-5.4630315004731216</v>
      </c>
      <c r="T221" s="153">
        <f t="shared" si="38"/>
        <v>0</v>
      </c>
      <c r="V221" s="13"/>
    </row>
    <row r="222" spans="1:22" x14ac:dyDescent="0.25">
      <c r="A222" s="51">
        <f>'A) Base RI'!A223</f>
        <v>5754</v>
      </c>
      <c r="B222" s="484" t="str">
        <f>'A) Base RI'!B223</f>
        <v>Juriens</v>
      </c>
      <c r="C222" s="493">
        <v>121523.31160687661</v>
      </c>
      <c r="D222" s="487">
        <v>-48602.439010787464</v>
      </c>
      <c r="E222" s="493">
        <v>0</v>
      </c>
      <c r="F222" s="487">
        <v>0</v>
      </c>
      <c r="G222" s="493">
        <v>0</v>
      </c>
      <c r="H222" s="487">
        <v>72920.872596089146</v>
      </c>
      <c r="I222" s="159">
        <v>7202.565316455697</v>
      </c>
      <c r="J222" s="490">
        <f>'B) D RI'!U223</f>
        <v>8136.8400000000011</v>
      </c>
      <c r="K222" s="68">
        <f t="shared" si="51"/>
        <v>10.124291747759214</v>
      </c>
      <c r="L222" s="35">
        <f>'B) D RI'!S223</f>
        <v>79</v>
      </c>
      <c r="M222" s="35">
        <f t="shared" si="46"/>
        <v>68.875708252240784</v>
      </c>
      <c r="N222" s="35">
        <f>'J) Plafonnement effort'!G221+'J) Plafonnement effort'!H221-'K) Plafonnement aide'!I221</f>
        <v>6.096066930856276</v>
      </c>
      <c r="O222" s="133">
        <f t="shared" si="47"/>
        <v>74.971775183097066</v>
      </c>
      <c r="P222" s="49">
        <f t="shared" si="48"/>
        <v>0</v>
      </c>
      <c r="Q222" s="59">
        <f t="shared" ref="Q222:Q266" si="52">P222*J222</f>
        <v>0</v>
      </c>
      <c r="R222" s="154">
        <f t="shared" si="49"/>
        <v>74.971775183097066</v>
      </c>
      <c r="S222" s="133">
        <f t="shared" si="50"/>
        <v>-4.0282248169029344</v>
      </c>
      <c r="T222" s="153">
        <f t="shared" si="38"/>
        <v>0</v>
      </c>
      <c r="V222" s="13"/>
    </row>
    <row r="223" spans="1:22" x14ac:dyDescent="0.25">
      <c r="A223" s="51">
        <f>'A) Base RI'!A224</f>
        <v>5755</v>
      </c>
      <c r="B223" s="484" t="str">
        <f>'A) Base RI'!B224</f>
        <v>Lignerolle</v>
      </c>
      <c r="C223" s="493">
        <v>173320.13656802374</v>
      </c>
      <c r="D223" s="487">
        <v>-94349.906362897425</v>
      </c>
      <c r="E223" s="493">
        <v>0</v>
      </c>
      <c r="F223" s="487">
        <v>0</v>
      </c>
      <c r="G223" s="493">
        <v>0</v>
      </c>
      <c r="H223" s="487">
        <v>78970.23020512631</v>
      </c>
      <c r="I223" s="159">
        <v>9116.1979107142852</v>
      </c>
      <c r="J223" s="490">
        <f>'B) D RI'!U224</f>
        <v>9412.5036607142865</v>
      </c>
      <c r="K223" s="68">
        <f t="shared" si="51"/>
        <v>8.6626278826518721</v>
      </c>
      <c r="L223" s="35">
        <f>'B) D RI'!S224</f>
        <v>80</v>
      </c>
      <c r="M223" s="35">
        <f t="shared" si="46"/>
        <v>71.337372117348124</v>
      </c>
      <c r="N223" s="35">
        <f>'J) Plafonnement effort'!G222+'J) Plafonnement effort'!H222-'K) Plafonnement aide'!I222</f>
        <v>-11.55525655219812</v>
      </c>
      <c r="O223" s="133">
        <f t="shared" si="47"/>
        <v>59.782115565150008</v>
      </c>
      <c r="P223" s="49">
        <f t="shared" si="48"/>
        <v>0</v>
      </c>
      <c r="Q223" s="59">
        <f t="shared" si="52"/>
        <v>0</v>
      </c>
      <c r="R223" s="154">
        <f t="shared" si="49"/>
        <v>59.782115565150008</v>
      </c>
      <c r="S223" s="133">
        <f t="shared" si="50"/>
        <v>-20.217884434849992</v>
      </c>
      <c r="T223" s="153">
        <f t="shared" si="38"/>
        <v>0</v>
      </c>
      <c r="V223" s="13"/>
    </row>
    <row r="224" spans="1:22" x14ac:dyDescent="0.25">
      <c r="A224" s="51">
        <f>'A) Base RI'!A225</f>
        <v>5756</v>
      </c>
      <c r="B224" s="484" t="str">
        <f>'A) Base RI'!B225</f>
        <v>Montcherand</v>
      </c>
      <c r="C224" s="493">
        <v>278085.45317505044</v>
      </c>
      <c r="D224" s="487">
        <v>100472.87726323347</v>
      </c>
      <c r="E224" s="493">
        <v>0</v>
      </c>
      <c r="F224" s="487">
        <v>0</v>
      </c>
      <c r="G224" s="493">
        <v>0</v>
      </c>
      <c r="H224" s="487">
        <v>378558.33043828391</v>
      </c>
      <c r="I224" s="159">
        <v>14643.939999999999</v>
      </c>
      <c r="J224" s="490">
        <f>'B) D RI'!U225</f>
        <v>18721.546388888888</v>
      </c>
      <c r="K224" s="68">
        <f t="shared" si="51"/>
        <v>25.85085232787651</v>
      </c>
      <c r="L224" s="35">
        <f>'B) D RI'!S225</f>
        <v>72</v>
      </c>
      <c r="M224" s="35">
        <f t="shared" si="46"/>
        <v>46.14914767212349</v>
      </c>
      <c r="N224" s="35">
        <f>'J) Plafonnement effort'!G223+'J) Plafonnement effort'!H223-'K) Plafonnement aide'!I223</f>
        <v>27.067635463150658</v>
      </c>
      <c r="O224" s="133">
        <f t="shared" si="47"/>
        <v>73.216783135274142</v>
      </c>
      <c r="P224" s="49">
        <f t="shared" si="48"/>
        <v>0</v>
      </c>
      <c r="Q224" s="59">
        <f t="shared" si="52"/>
        <v>0</v>
      </c>
      <c r="R224" s="154">
        <f t="shared" si="49"/>
        <v>73.216783135274142</v>
      </c>
      <c r="S224" s="133">
        <f t="shared" si="50"/>
        <v>1.2167831352741416</v>
      </c>
      <c r="T224" s="153">
        <f t="shared" si="38"/>
        <v>0</v>
      </c>
      <c r="V224" s="13"/>
    </row>
    <row r="225" spans="1:22" x14ac:dyDescent="0.25">
      <c r="A225" s="51">
        <f>'A) Base RI'!A226</f>
        <v>5757</v>
      </c>
      <c r="B225" s="484" t="str">
        <f>'A) Base RI'!B226</f>
        <v>Orbe</v>
      </c>
      <c r="C225" s="493">
        <v>4258015.2263764562</v>
      </c>
      <c r="D225" s="487">
        <v>-533512.96861753007</v>
      </c>
      <c r="E225" s="493">
        <v>0</v>
      </c>
      <c r="F225" s="487">
        <v>0</v>
      </c>
      <c r="G225" s="493">
        <v>0</v>
      </c>
      <c r="H225" s="487">
        <v>3724502.2577589261</v>
      </c>
      <c r="I225" s="159">
        <v>219459.11337837842</v>
      </c>
      <c r="J225" s="490">
        <f>'B) D RI'!U226</f>
        <v>205952.941948052</v>
      </c>
      <c r="K225" s="68">
        <f t="shared" si="51"/>
        <v>16.971280893390652</v>
      </c>
      <c r="L225" s="35">
        <f>'B) D RI'!S226</f>
        <v>77</v>
      </c>
      <c r="M225" s="35">
        <f t="shared" si="46"/>
        <v>60.028719106609344</v>
      </c>
      <c r="N225" s="35">
        <f>'J) Plafonnement effort'!G224+'J) Plafonnement effort'!H224-'K) Plafonnement aide'!I224</f>
        <v>5.4446368439363972</v>
      </c>
      <c r="O225" s="133">
        <f t="shared" si="47"/>
        <v>65.473355950545738</v>
      </c>
      <c r="P225" s="49">
        <f t="shared" si="48"/>
        <v>0</v>
      </c>
      <c r="Q225" s="59">
        <f t="shared" si="52"/>
        <v>0</v>
      </c>
      <c r="R225" s="154">
        <f t="shared" si="49"/>
        <v>65.473355950545738</v>
      </c>
      <c r="S225" s="133">
        <f t="shared" si="50"/>
        <v>-11.526644049454262</v>
      </c>
      <c r="T225" s="153">
        <f t="shared" si="38"/>
        <v>0</v>
      </c>
      <c r="V225" s="13"/>
    </row>
    <row r="226" spans="1:22" x14ac:dyDescent="0.25">
      <c r="A226" s="51">
        <f>'A) Base RI'!A227</f>
        <v>5758</v>
      </c>
      <c r="B226" s="484" t="str">
        <f>'A) Base RI'!B227</f>
        <v>La Praz</v>
      </c>
      <c r="C226" s="493">
        <v>61451.768314729728</v>
      </c>
      <c r="D226" s="487">
        <v>-33897.468196503251</v>
      </c>
      <c r="E226" s="493">
        <v>0</v>
      </c>
      <c r="F226" s="487">
        <v>0</v>
      </c>
      <c r="G226" s="493">
        <v>0</v>
      </c>
      <c r="H226" s="487">
        <v>27554.300118226478</v>
      </c>
      <c r="I226" s="159">
        <v>3792.6817536813919</v>
      </c>
      <c r="J226" s="490">
        <f>'B) D RI'!U227</f>
        <v>3230.1663052208837</v>
      </c>
      <c r="K226" s="68">
        <f t="shared" si="51"/>
        <v>7.2651231787324928</v>
      </c>
      <c r="L226" s="35">
        <f>'B) D RI'!S227</f>
        <v>83</v>
      </c>
      <c r="M226" s="35">
        <f t="shared" si="46"/>
        <v>75.734876821267505</v>
      </c>
      <c r="N226" s="35">
        <f>'J) Plafonnement effort'!G225+'J) Plafonnement effort'!H225-'K) Plafonnement aide'!I225</f>
        <v>-2.5071363127019763</v>
      </c>
      <c r="O226" s="133">
        <f t="shared" si="47"/>
        <v>73.227740508565532</v>
      </c>
      <c r="P226" s="49">
        <f t="shared" si="48"/>
        <v>0</v>
      </c>
      <c r="Q226" s="59">
        <f t="shared" si="52"/>
        <v>0</v>
      </c>
      <c r="R226" s="154">
        <f t="shared" si="49"/>
        <v>73.227740508565532</v>
      </c>
      <c r="S226" s="133">
        <f t="shared" si="50"/>
        <v>-9.7722594914344683</v>
      </c>
      <c r="T226" s="153">
        <f t="shared" si="38"/>
        <v>0</v>
      </c>
      <c r="V226" s="13"/>
    </row>
    <row r="227" spans="1:22" x14ac:dyDescent="0.25">
      <c r="A227" s="51">
        <f>'A) Base RI'!A228</f>
        <v>5759</v>
      </c>
      <c r="B227" s="484" t="str">
        <f>'A) Base RI'!B228</f>
        <v>Premier</v>
      </c>
      <c r="C227" s="493">
        <v>71916.51842280454</v>
      </c>
      <c r="D227" s="487">
        <v>-35945.871891009476</v>
      </c>
      <c r="E227" s="493">
        <v>0</v>
      </c>
      <c r="F227" s="487">
        <v>0</v>
      </c>
      <c r="G227" s="493">
        <v>0</v>
      </c>
      <c r="H227" s="487">
        <v>35970.646531795064</v>
      </c>
      <c r="I227" s="159">
        <v>4689.5245679012341</v>
      </c>
      <c r="J227" s="490">
        <f>'B) D RI'!U228</f>
        <v>4732.7107407407411</v>
      </c>
      <c r="K227" s="68">
        <f t="shared" si="51"/>
        <v>7.6704250102465057</v>
      </c>
      <c r="L227" s="35">
        <f>'B) D RI'!S228</f>
        <v>81</v>
      </c>
      <c r="M227" s="35">
        <f t="shared" si="46"/>
        <v>73.329574989753496</v>
      </c>
      <c r="N227" s="35">
        <f>'J) Plafonnement effort'!G226+'J) Plafonnement effort'!H226-'K) Plafonnement aide'!I226</f>
        <v>1.2413174774468247</v>
      </c>
      <c r="O227" s="133">
        <f t="shared" si="47"/>
        <v>74.570892467200323</v>
      </c>
      <c r="P227" s="49">
        <f t="shared" si="48"/>
        <v>0</v>
      </c>
      <c r="Q227" s="59">
        <f t="shared" si="52"/>
        <v>0</v>
      </c>
      <c r="R227" s="154">
        <f t="shared" si="49"/>
        <v>74.570892467200323</v>
      </c>
      <c r="S227" s="133">
        <f t="shared" si="50"/>
        <v>-6.4291075327996765</v>
      </c>
      <c r="T227" s="153">
        <f t="shared" si="38"/>
        <v>0</v>
      </c>
      <c r="V227" s="13"/>
    </row>
    <row r="228" spans="1:22" x14ac:dyDescent="0.25">
      <c r="A228" s="51">
        <f>'A) Base RI'!A229</f>
        <v>5760</v>
      </c>
      <c r="B228" s="484" t="str">
        <f>'A) Base RI'!B229</f>
        <v>Rances</v>
      </c>
      <c r="C228" s="493">
        <v>301306.3045992371</v>
      </c>
      <c r="D228" s="487">
        <v>13352.559848639736</v>
      </c>
      <c r="E228" s="493">
        <v>0</v>
      </c>
      <c r="F228" s="487">
        <v>0</v>
      </c>
      <c r="G228" s="493">
        <v>0</v>
      </c>
      <c r="H228" s="487">
        <v>314658.86444787681</v>
      </c>
      <c r="I228" s="159">
        <v>13227.609572649571</v>
      </c>
      <c r="J228" s="490">
        <f>'B) D RI'!U229</f>
        <v>10468.899999999998</v>
      </c>
      <c r="K228" s="68">
        <f t="shared" si="51"/>
        <v>23.788036887518196</v>
      </c>
      <c r="L228" s="35">
        <f>'B) D RI'!S229</f>
        <v>78</v>
      </c>
      <c r="M228" s="35">
        <f t="shared" si="46"/>
        <v>54.211963112481804</v>
      </c>
      <c r="N228" s="35">
        <f>'J) Plafonnement effort'!G227+'J) Plafonnement effort'!H227-'K) Plafonnement aide'!I227</f>
        <v>-18.232528539238832</v>
      </c>
      <c r="O228" s="133">
        <f t="shared" si="47"/>
        <v>35.979434573242969</v>
      </c>
      <c r="P228" s="49">
        <f t="shared" si="48"/>
        <v>0</v>
      </c>
      <c r="Q228" s="59">
        <f t="shared" si="52"/>
        <v>0</v>
      </c>
      <c r="R228" s="154">
        <f t="shared" si="49"/>
        <v>35.979434573242969</v>
      </c>
      <c r="S228" s="133">
        <f t="shared" si="50"/>
        <v>-42.020565426757031</v>
      </c>
      <c r="T228" s="153">
        <f t="shared" si="38"/>
        <v>0</v>
      </c>
      <c r="V228" s="13"/>
    </row>
    <row r="229" spans="1:22" x14ac:dyDescent="0.25">
      <c r="A229" s="51">
        <f>'A) Base RI'!A230</f>
        <v>5761</v>
      </c>
      <c r="B229" s="484" t="str">
        <f>'A) Base RI'!B230</f>
        <v>Romainmôtier-Envy</v>
      </c>
      <c r="C229" s="493">
        <v>252443.66491880227</v>
      </c>
      <c r="D229" s="487">
        <v>-102972.04416551423</v>
      </c>
      <c r="E229" s="493">
        <v>0</v>
      </c>
      <c r="F229" s="487">
        <v>0</v>
      </c>
      <c r="G229" s="493">
        <v>0</v>
      </c>
      <c r="H229" s="487">
        <v>149471.62075328804</v>
      </c>
      <c r="I229" s="159">
        <v>12165.915592105261</v>
      </c>
      <c r="J229" s="490">
        <f>'B) D RI'!U230</f>
        <v>12891.998383838385</v>
      </c>
      <c r="K229" s="68">
        <f t="shared" si="51"/>
        <v>12.286097139313014</v>
      </c>
      <c r="L229" s="35">
        <f>'B) D RI'!S230</f>
        <v>81</v>
      </c>
      <c r="M229" s="35">
        <f t="shared" si="46"/>
        <v>68.713902860686986</v>
      </c>
      <c r="N229" s="35">
        <f>'J) Plafonnement effort'!G228+'J) Plafonnement effort'!H228-'K) Plafonnement aide'!I228</f>
        <v>4.0907058186696776</v>
      </c>
      <c r="O229" s="133">
        <f t="shared" si="47"/>
        <v>72.804608679356662</v>
      </c>
      <c r="P229" s="49">
        <f t="shared" si="48"/>
        <v>0</v>
      </c>
      <c r="Q229" s="59">
        <f t="shared" si="52"/>
        <v>0</v>
      </c>
      <c r="R229" s="154">
        <f t="shared" si="49"/>
        <v>72.804608679356662</v>
      </c>
      <c r="S229" s="133">
        <f t="shared" si="50"/>
        <v>-8.1953913206433384</v>
      </c>
      <c r="T229" s="153">
        <f t="shared" si="38"/>
        <v>0</v>
      </c>
      <c r="V229" s="13"/>
    </row>
    <row r="230" spans="1:22" x14ac:dyDescent="0.25">
      <c r="A230" s="51">
        <f>'A) Base RI'!A231</f>
        <v>5762</v>
      </c>
      <c r="B230" s="484" t="str">
        <f>'A) Base RI'!B231</f>
        <v>Sergey</v>
      </c>
      <c r="C230" s="493">
        <v>56721.156481767859</v>
      </c>
      <c r="D230" s="487">
        <v>-10136.347997588615</v>
      </c>
      <c r="E230" s="493">
        <v>0</v>
      </c>
      <c r="F230" s="487">
        <v>0</v>
      </c>
      <c r="G230" s="493">
        <v>0</v>
      </c>
      <c r="H230" s="487">
        <v>46584.808484179244</v>
      </c>
      <c r="I230" s="159">
        <v>3586.5485897435897</v>
      </c>
      <c r="J230" s="490">
        <f>'B) D RI'!U231</f>
        <v>4039.8601282051286</v>
      </c>
      <c r="K230" s="68">
        <f t="shared" si="51"/>
        <v>12.988757106873518</v>
      </c>
      <c r="L230" s="35">
        <f>'B) D RI'!S231</f>
        <v>78</v>
      </c>
      <c r="M230" s="35">
        <f t="shared" si="46"/>
        <v>65.011242893126479</v>
      </c>
      <c r="N230" s="35">
        <f>'J) Plafonnement effort'!G229+'J) Plafonnement effort'!H229-'K) Plafonnement aide'!I229</f>
        <v>18.013102658018315</v>
      </c>
      <c r="O230" s="133">
        <f t="shared" si="47"/>
        <v>83.024345551144791</v>
      </c>
      <c r="P230" s="49">
        <f t="shared" si="48"/>
        <v>0</v>
      </c>
      <c r="Q230" s="59">
        <f t="shared" si="52"/>
        <v>0</v>
      </c>
      <c r="R230" s="154">
        <f t="shared" si="49"/>
        <v>83.024345551144791</v>
      </c>
      <c r="S230" s="133">
        <f t="shared" si="50"/>
        <v>5.0243455511447905</v>
      </c>
      <c r="T230" s="153">
        <f t="shared" si="38"/>
        <v>0</v>
      </c>
      <c r="V230" s="13"/>
    </row>
    <row r="231" spans="1:22" x14ac:dyDescent="0.25">
      <c r="A231" s="51">
        <f>'A) Base RI'!A232</f>
        <v>5763</v>
      </c>
      <c r="B231" s="484" t="str">
        <f>'A) Base RI'!B232</f>
        <v>Valeyres-sous-Rances</v>
      </c>
      <c r="C231" s="493">
        <v>285745.13306737144</v>
      </c>
      <c r="D231" s="487">
        <v>44871.56673209992</v>
      </c>
      <c r="E231" s="493">
        <v>0</v>
      </c>
      <c r="F231" s="487">
        <v>0</v>
      </c>
      <c r="G231" s="493">
        <v>0</v>
      </c>
      <c r="H231" s="487">
        <v>330616.69979947136</v>
      </c>
      <c r="I231" s="159">
        <v>16085.850769230768</v>
      </c>
      <c r="J231" s="490">
        <f>'B) D RI'!U232</f>
        <v>20051.556615384616</v>
      </c>
      <c r="K231" s="68">
        <f t="shared" si="51"/>
        <v>20.553261654763045</v>
      </c>
      <c r="L231" s="35">
        <f>'B) D RI'!S232</f>
        <v>65</v>
      </c>
      <c r="M231" s="35">
        <f t="shared" si="46"/>
        <v>44.446738345236952</v>
      </c>
      <c r="N231" s="35">
        <f>'J) Plafonnement effort'!G230+'J) Plafonnement effort'!H230-'K) Plafonnement aide'!I230</f>
        <v>19.656373176897347</v>
      </c>
      <c r="O231" s="133">
        <f t="shared" si="47"/>
        <v>64.103111522134299</v>
      </c>
      <c r="P231" s="49">
        <f t="shared" si="48"/>
        <v>0</v>
      </c>
      <c r="Q231" s="59">
        <f t="shared" si="52"/>
        <v>0</v>
      </c>
      <c r="R231" s="154">
        <f t="shared" si="49"/>
        <v>64.103111522134299</v>
      </c>
      <c r="S231" s="133">
        <f t="shared" si="50"/>
        <v>-0.89688847786570136</v>
      </c>
      <c r="T231" s="153">
        <f t="shared" si="38"/>
        <v>0</v>
      </c>
      <c r="V231" s="13"/>
    </row>
    <row r="232" spans="1:22" x14ac:dyDescent="0.25">
      <c r="A232" s="51">
        <f>'A) Base RI'!A233</f>
        <v>5764</v>
      </c>
      <c r="B232" s="484" t="str">
        <f>'A) Base RI'!B233</f>
        <v>Vallorbe</v>
      </c>
      <c r="C232" s="493">
        <v>2095899.3707891977</v>
      </c>
      <c r="D232" s="487">
        <v>-1354824.6017039563</v>
      </c>
      <c r="E232" s="493">
        <v>0</v>
      </c>
      <c r="F232" s="487">
        <v>0</v>
      </c>
      <c r="G232" s="493">
        <v>0</v>
      </c>
      <c r="H232" s="487">
        <v>741074.76908524148</v>
      </c>
      <c r="I232" s="159">
        <v>84513.608378378369</v>
      </c>
      <c r="J232" s="490">
        <f>'B) D RI'!U233</f>
        <v>83366.268356164379</v>
      </c>
      <c r="K232" s="68">
        <f t="shared" si="51"/>
        <v>8.7687034467556249</v>
      </c>
      <c r="L232" s="35">
        <f>'B) D RI'!S233</f>
        <v>73</v>
      </c>
      <c r="M232" s="35">
        <f t="shared" si="46"/>
        <v>64.231296553244377</v>
      </c>
      <c r="N232" s="35">
        <f>'J) Plafonnement effort'!G231+'J) Plafonnement effort'!H231-'K) Plafonnement aide'!I231</f>
        <v>-18.291126540204647</v>
      </c>
      <c r="O232" s="133">
        <f t="shared" si="47"/>
        <v>45.940170013039733</v>
      </c>
      <c r="P232" s="49">
        <f t="shared" si="48"/>
        <v>0</v>
      </c>
      <c r="Q232" s="59">
        <f t="shared" si="52"/>
        <v>0</v>
      </c>
      <c r="R232" s="154">
        <f t="shared" si="49"/>
        <v>45.940170013039733</v>
      </c>
      <c r="S232" s="133">
        <f t="shared" si="50"/>
        <v>-27.059829986960267</v>
      </c>
      <c r="T232" s="153">
        <f t="shared" si="38"/>
        <v>0</v>
      </c>
      <c r="V232" s="13"/>
    </row>
    <row r="233" spans="1:22" x14ac:dyDescent="0.25">
      <c r="A233" s="51">
        <f>'A) Base RI'!A234</f>
        <v>5765</v>
      </c>
      <c r="B233" s="484" t="str">
        <f>'A) Base RI'!B234</f>
        <v>Vaulion</v>
      </c>
      <c r="C233" s="493">
        <v>169168.49807640834</v>
      </c>
      <c r="D233" s="487">
        <v>-163164.71977217053</v>
      </c>
      <c r="E233" s="493">
        <v>0</v>
      </c>
      <c r="F233" s="487">
        <v>0</v>
      </c>
      <c r="G233" s="493">
        <v>0</v>
      </c>
      <c r="H233" s="487">
        <v>6003.7783042378142</v>
      </c>
      <c r="I233" s="159">
        <v>10199.027160493826</v>
      </c>
      <c r="J233" s="490">
        <f>'B) D RI'!U234</f>
        <v>9587.663333333332</v>
      </c>
      <c r="K233" s="68">
        <f t="shared" si="51"/>
        <v>0.58866186056387726</v>
      </c>
      <c r="L233" s="35">
        <f>'B) D RI'!S234</f>
        <v>81</v>
      </c>
      <c r="M233" s="35">
        <f t="shared" si="46"/>
        <v>80.411338139436126</v>
      </c>
      <c r="N233" s="35">
        <f>'J) Plafonnement effort'!G232+'J) Plafonnement effort'!H232-'K) Plafonnement aide'!I232</f>
        <v>-18.960044142800719</v>
      </c>
      <c r="O233" s="133">
        <f t="shared" si="47"/>
        <v>61.451293996635407</v>
      </c>
      <c r="P233" s="49">
        <f t="shared" si="48"/>
        <v>0</v>
      </c>
      <c r="Q233" s="59">
        <f t="shared" si="52"/>
        <v>0</v>
      </c>
      <c r="R233" s="154">
        <f t="shared" si="49"/>
        <v>61.451293996635407</v>
      </c>
      <c r="S233" s="133">
        <f t="shared" si="50"/>
        <v>-19.548706003364593</v>
      </c>
      <c r="T233" s="153">
        <f t="shared" si="38"/>
        <v>0</v>
      </c>
      <c r="V233" s="13"/>
    </row>
    <row r="234" spans="1:22" x14ac:dyDescent="0.25">
      <c r="A234" s="51">
        <f>'A) Base RI'!A235</f>
        <v>5766</v>
      </c>
      <c r="B234" s="484" t="str">
        <f>'A) Base RI'!B235</f>
        <v>Vuiteboeuf</v>
      </c>
      <c r="C234" s="493">
        <v>219333.45666879034</v>
      </c>
      <c r="D234" s="487">
        <v>-85432.655742585805</v>
      </c>
      <c r="E234" s="493">
        <v>0</v>
      </c>
      <c r="F234" s="487">
        <v>0</v>
      </c>
      <c r="G234" s="493">
        <v>0</v>
      </c>
      <c r="H234" s="487">
        <v>133900.80092620454</v>
      </c>
      <c r="I234" s="159">
        <v>13023.960575139146</v>
      </c>
      <c r="J234" s="490">
        <f>'B) D RI'!U235</f>
        <v>13049.547402597404</v>
      </c>
      <c r="K234" s="68">
        <f t="shared" si="51"/>
        <v>10.281112274080572</v>
      </c>
      <c r="L234" s="35">
        <f>'B) D RI'!S235</f>
        <v>77</v>
      </c>
      <c r="M234" s="35">
        <f t="shared" si="46"/>
        <v>66.71888772591943</v>
      </c>
      <c r="N234" s="35">
        <f>'J) Plafonnement effort'!G233+'J) Plafonnement effort'!H233-'K) Plafonnement aide'!I233</f>
        <v>3.2526638105787402</v>
      </c>
      <c r="O234" s="133">
        <f t="shared" si="47"/>
        <v>69.971551536498168</v>
      </c>
      <c r="P234" s="49">
        <f t="shared" si="48"/>
        <v>0</v>
      </c>
      <c r="Q234" s="59">
        <f t="shared" si="52"/>
        <v>0</v>
      </c>
      <c r="R234" s="154">
        <f t="shared" si="49"/>
        <v>69.971551536498168</v>
      </c>
      <c r="S234" s="133">
        <f t="shared" si="50"/>
        <v>-7.0284484635018316</v>
      </c>
      <c r="T234" s="153">
        <f t="shared" si="38"/>
        <v>0</v>
      </c>
      <c r="V234" s="13"/>
    </row>
    <row r="235" spans="1:22" x14ac:dyDescent="0.25">
      <c r="A235" s="51">
        <f>'A) Base RI'!A236</f>
        <v>5785</v>
      </c>
      <c r="B235" s="484" t="str">
        <f>'A) Base RI'!B236</f>
        <v>Corcelles-le-Jorat</v>
      </c>
      <c r="C235" s="493">
        <v>199762.06442793386</v>
      </c>
      <c r="D235" s="487">
        <v>32721.535770511284</v>
      </c>
      <c r="E235" s="493">
        <v>0</v>
      </c>
      <c r="F235" s="487">
        <v>0</v>
      </c>
      <c r="G235" s="493">
        <v>0</v>
      </c>
      <c r="H235" s="487">
        <v>232483.60019844514</v>
      </c>
      <c r="I235" s="159">
        <v>12275.22831168831</v>
      </c>
      <c r="J235" s="490">
        <f>'B) D RI'!U236</f>
        <v>15263.245714285717</v>
      </c>
      <c r="K235" s="68">
        <f t="shared" si="51"/>
        <v>18.939248565916884</v>
      </c>
      <c r="L235" s="35">
        <f>'B) D RI'!S236</f>
        <v>77</v>
      </c>
      <c r="M235" s="35">
        <f t="shared" si="46"/>
        <v>58.060751434083116</v>
      </c>
      <c r="N235" s="35">
        <f>'J) Plafonnement effort'!G234+'J) Plafonnement effort'!H234-'K) Plafonnement aide'!I234</f>
        <v>24.277457555700142</v>
      </c>
      <c r="O235" s="133">
        <f t="shared" si="47"/>
        <v>82.338208989783254</v>
      </c>
      <c r="P235" s="49">
        <f t="shared" si="48"/>
        <v>0</v>
      </c>
      <c r="Q235" s="59">
        <f t="shared" si="52"/>
        <v>0</v>
      </c>
      <c r="R235" s="154">
        <f t="shared" si="49"/>
        <v>82.338208989783254</v>
      </c>
      <c r="S235" s="133">
        <f t="shared" si="50"/>
        <v>5.3382089897832543</v>
      </c>
      <c r="T235" s="153">
        <f t="shared" si="38"/>
        <v>0</v>
      </c>
      <c r="V235" s="13"/>
    </row>
    <row r="236" spans="1:22" x14ac:dyDescent="0.25">
      <c r="A236" s="51">
        <f>'A) Base RI'!A237</f>
        <v>5788</v>
      </c>
      <c r="B236" s="484" t="str">
        <f>'A) Base RI'!B237</f>
        <v>Essertes</v>
      </c>
      <c r="C236" s="493">
        <v>155420.26338284963</v>
      </c>
      <c r="D236" s="487">
        <v>40472.43733115858</v>
      </c>
      <c r="E236" s="493">
        <v>0</v>
      </c>
      <c r="F236" s="487">
        <v>0</v>
      </c>
      <c r="G236" s="493">
        <v>0</v>
      </c>
      <c r="H236" s="487">
        <v>195892.70071400821</v>
      </c>
      <c r="I236" s="159">
        <v>9663.2152777777756</v>
      </c>
      <c r="J236" s="490">
        <f>'B) D RI'!U237</f>
        <v>11561.131666666668</v>
      </c>
      <c r="K236" s="68">
        <f t="shared" si="51"/>
        <v>20.272000062390948</v>
      </c>
      <c r="L236" s="35">
        <f>'B) D RI'!S237</f>
        <v>72</v>
      </c>
      <c r="M236" s="35">
        <f t="shared" si="46"/>
        <v>51.727999937609056</v>
      </c>
      <c r="N236" s="35">
        <f>'J) Plafonnement effort'!G235+'J) Plafonnement effort'!H235-'K) Plafonnement aide'!I235</f>
        <v>27.578396985377566</v>
      </c>
      <c r="O236" s="133">
        <f t="shared" si="47"/>
        <v>79.306396922986622</v>
      </c>
      <c r="P236" s="49">
        <f t="shared" si="48"/>
        <v>0</v>
      </c>
      <c r="Q236" s="59">
        <f t="shared" si="52"/>
        <v>0</v>
      </c>
      <c r="R236" s="154">
        <f t="shared" si="49"/>
        <v>79.306396922986622</v>
      </c>
      <c r="S236" s="133">
        <f t="shared" si="50"/>
        <v>7.3063969229866217</v>
      </c>
      <c r="T236" s="153">
        <f t="shared" si="38"/>
        <v>0</v>
      </c>
      <c r="V236" s="13"/>
    </row>
    <row r="237" spans="1:22" x14ac:dyDescent="0.25">
      <c r="A237" s="51">
        <f>'A) Base RI'!A238</f>
        <v>5790</v>
      </c>
      <c r="B237" s="484" t="str">
        <f>'A) Base RI'!B238</f>
        <v>Maracon</v>
      </c>
      <c r="C237" s="493">
        <v>207260.36754144929</v>
      </c>
      <c r="D237" s="487">
        <v>1655.4056807472371</v>
      </c>
      <c r="E237" s="493">
        <v>0</v>
      </c>
      <c r="F237" s="487">
        <v>0</v>
      </c>
      <c r="G237" s="493">
        <v>0</v>
      </c>
      <c r="H237" s="487">
        <v>208915.77322219653</v>
      </c>
      <c r="I237" s="159">
        <v>12077.747368421051</v>
      </c>
      <c r="J237" s="490">
        <f>'B) D RI'!U238</f>
        <v>12108.806973684212</v>
      </c>
      <c r="K237" s="68">
        <f t="shared" si="51"/>
        <v>17.297577673170732</v>
      </c>
      <c r="L237" s="35">
        <f>'B) D RI'!S238</f>
        <v>76</v>
      </c>
      <c r="M237" s="35">
        <f t="shared" si="46"/>
        <v>58.702422326829264</v>
      </c>
      <c r="N237" s="35">
        <f>'J) Plafonnement effort'!G236+'J) Plafonnement effort'!H236-'K) Plafonnement aide'!I236</f>
        <v>7.4118714432172546</v>
      </c>
      <c r="O237" s="133">
        <f t="shared" si="47"/>
        <v>66.114293770046515</v>
      </c>
      <c r="P237" s="49">
        <f t="shared" si="48"/>
        <v>0</v>
      </c>
      <c r="Q237" s="59">
        <f t="shared" si="52"/>
        <v>0</v>
      </c>
      <c r="R237" s="154">
        <f t="shared" si="49"/>
        <v>66.114293770046515</v>
      </c>
      <c r="S237" s="133">
        <f t="shared" si="50"/>
        <v>-9.8857062299534846</v>
      </c>
      <c r="T237" s="153">
        <f t="shared" si="38"/>
        <v>0</v>
      </c>
      <c r="V237" s="13"/>
    </row>
    <row r="238" spans="1:22" x14ac:dyDescent="0.25">
      <c r="A238" s="51">
        <f>'A) Base RI'!A239</f>
        <v>5792</v>
      </c>
      <c r="B238" s="484" t="str">
        <f>'A) Base RI'!B239</f>
        <v>Montpreveyres</v>
      </c>
      <c r="C238" s="493">
        <v>297194.71364672028</v>
      </c>
      <c r="D238" s="487">
        <v>-47912.226522598299</v>
      </c>
      <c r="E238" s="493">
        <v>0</v>
      </c>
      <c r="F238" s="487">
        <v>0</v>
      </c>
      <c r="G238" s="493">
        <v>0</v>
      </c>
      <c r="H238" s="487">
        <v>249282.48712412198</v>
      </c>
      <c r="I238" s="159">
        <v>15670.869999999999</v>
      </c>
      <c r="J238" s="490">
        <f>'B) D RI'!U239</f>
        <v>17523.35194805195</v>
      </c>
      <c r="K238" s="68">
        <f t="shared" si="51"/>
        <v>15.907380198044015</v>
      </c>
      <c r="L238" s="35">
        <f>'B) D RI'!S239</f>
        <v>77</v>
      </c>
      <c r="M238" s="35">
        <f t="shared" si="46"/>
        <v>61.092619801955983</v>
      </c>
      <c r="N238" s="35">
        <f>'J) Plafonnement effort'!G237+'J) Plafonnement effort'!H237-'K) Plafonnement aide'!I237</f>
        <v>12.687997371198607</v>
      </c>
      <c r="O238" s="133">
        <f t="shared" si="47"/>
        <v>73.780617173154596</v>
      </c>
      <c r="P238" s="49">
        <f t="shared" si="48"/>
        <v>0</v>
      </c>
      <c r="Q238" s="59">
        <f t="shared" si="52"/>
        <v>0</v>
      </c>
      <c r="R238" s="154">
        <f t="shared" si="49"/>
        <v>73.780617173154596</v>
      </c>
      <c r="S238" s="133">
        <f t="shared" si="50"/>
        <v>-3.2193828268454041</v>
      </c>
      <c r="T238" s="153">
        <f t="shared" si="38"/>
        <v>0</v>
      </c>
      <c r="V238" s="13"/>
    </row>
    <row r="239" spans="1:22" x14ac:dyDescent="0.25">
      <c r="A239" s="51">
        <f>'A) Base RI'!A240</f>
        <v>5798</v>
      </c>
      <c r="B239" s="484" t="str">
        <f>'A) Base RI'!B240</f>
        <v>Ropraz</v>
      </c>
      <c r="C239" s="493">
        <v>182018.43213153337</v>
      </c>
      <c r="D239" s="487">
        <v>-39786.677377940709</v>
      </c>
      <c r="E239" s="493">
        <v>0</v>
      </c>
      <c r="F239" s="487">
        <v>0</v>
      </c>
      <c r="G239" s="493">
        <v>0</v>
      </c>
      <c r="H239" s="487">
        <v>142231.75475359266</v>
      </c>
      <c r="I239" s="159">
        <v>10971.989935483871</v>
      </c>
      <c r="J239" s="490">
        <f>'B) D RI'!U240</f>
        <v>14095.640645161293</v>
      </c>
      <c r="K239" s="68">
        <f t="shared" si="51"/>
        <v>12.963168540066672</v>
      </c>
      <c r="L239" s="35">
        <f>'B) D RI'!S240</f>
        <v>77.5</v>
      </c>
      <c r="M239" s="35">
        <f t="shared" si="46"/>
        <v>64.536831459933325</v>
      </c>
      <c r="N239" s="35">
        <f>'J) Plafonnement effort'!G238+'J) Plafonnement effort'!H238-'K) Plafonnement aide'!I238</f>
        <v>18.193517733935572</v>
      </c>
      <c r="O239" s="133">
        <f t="shared" si="47"/>
        <v>82.730349193868904</v>
      </c>
      <c r="P239" s="49">
        <f t="shared" si="48"/>
        <v>0</v>
      </c>
      <c r="Q239" s="59">
        <f t="shared" si="52"/>
        <v>0</v>
      </c>
      <c r="R239" s="154">
        <f t="shared" si="49"/>
        <v>82.730349193868904</v>
      </c>
      <c r="S239" s="133">
        <f t="shared" si="50"/>
        <v>5.2303491938689035</v>
      </c>
      <c r="T239" s="153">
        <f t="shared" si="38"/>
        <v>0</v>
      </c>
      <c r="V239" s="13"/>
    </row>
    <row r="240" spans="1:22" x14ac:dyDescent="0.25">
      <c r="A240" s="51">
        <f>'A) Base RI'!A241</f>
        <v>5799</v>
      </c>
      <c r="B240" s="484" t="str">
        <f>'A) Base RI'!B241</f>
        <v>Servion</v>
      </c>
      <c r="C240" s="493">
        <v>1014325.2829145661</v>
      </c>
      <c r="D240" s="487">
        <v>253099.16530220374</v>
      </c>
      <c r="E240" s="493">
        <v>0</v>
      </c>
      <c r="F240" s="487">
        <v>0</v>
      </c>
      <c r="G240" s="493">
        <v>0</v>
      </c>
      <c r="H240" s="487">
        <v>1267424.4482167698</v>
      </c>
      <c r="I240" s="159">
        <v>60598.657971014502</v>
      </c>
      <c r="J240" s="490">
        <f>'B) D RI'!U241</f>
        <v>65741.847101449268</v>
      </c>
      <c r="K240" s="68">
        <f t="shared" si="51"/>
        <v>20.915058033512942</v>
      </c>
      <c r="L240" s="35">
        <f>'B) D RI'!S241</f>
        <v>69</v>
      </c>
      <c r="M240" s="35">
        <f t="shared" si="46"/>
        <v>48.084941966487058</v>
      </c>
      <c r="N240" s="35">
        <f>'J) Plafonnement effort'!G239+'J) Plafonnement effort'!H239-'K) Plafonnement aide'!I239</f>
        <v>20.639324543987414</v>
      </c>
      <c r="O240" s="133">
        <f t="shared" si="47"/>
        <v>68.724266510474479</v>
      </c>
      <c r="P240" s="49">
        <f t="shared" si="48"/>
        <v>0</v>
      </c>
      <c r="Q240" s="59">
        <f t="shared" si="52"/>
        <v>0</v>
      </c>
      <c r="R240" s="154">
        <f t="shared" si="49"/>
        <v>68.724266510474479</v>
      </c>
      <c r="S240" s="133">
        <f t="shared" si="50"/>
        <v>-0.27573348952552124</v>
      </c>
      <c r="T240" s="153">
        <f t="shared" si="38"/>
        <v>0</v>
      </c>
      <c r="V240" s="13"/>
    </row>
    <row r="241" spans="1:22" x14ac:dyDescent="0.25">
      <c r="A241" s="51">
        <f>'A) Base RI'!A242</f>
        <v>5803</v>
      </c>
      <c r="B241" s="484" t="str">
        <f>'A) Base RI'!B242</f>
        <v>Vulliens</v>
      </c>
      <c r="C241" s="493">
        <v>287149.25536916475</v>
      </c>
      <c r="D241" s="487">
        <v>63885.188410117815</v>
      </c>
      <c r="E241" s="493">
        <v>0</v>
      </c>
      <c r="F241" s="487">
        <v>0</v>
      </c>
      <c r="G241" s="493">
        <v>0</v>
      </c>
      <c r="H241" s="487">
        <v>351034.44377928256</v>
      </c>
      <c r="I241" s="159">
        <v>14215.08564102564</v>
      </c>
      <c r="J241" s="490">
        <f>'B) D RI'!U242</f>
        <v>15644.362692307694</v>
      </c>
      <c r="K241" s="68">
        <f t="shared" si="51"/>
        <v>24.694500803159066</v>
      </c>
      <c r="L241" s="35">
        <f>'B) D RI'!S242</f>
        <v>78</v>
      </c>
      <c r="M241" s="35">
        <f t="shared" si="46"/>
        <v>53.305499196840934</v>
      </c>
      <c r="N241" s="35">
        <f>'J) Plafonnement effort'!G240+'J) Plafonnement effort'!H240-'K) Plafonnement aide'!I240</f>
        <v>20.565602238528555</v>
      </c>
      <c r="O241" s="133">
        <f t="shared" si="47"/>
        <v>73.871101435369496</v>
      </c>
      <c r="P241" s="49">
        <f t="shared" si="48"/>
        <v>0</v>
      </c>
      <c r="Q241" s="59">
        <f t="shared" si="52"/>
        <v>0</v>
      </c>
      <c r="R241" s="154">
        <f t="shared" si="49"/>
        <v>73.871101435369496</v>
      </c>
      <c r="S241" s="133">
        <f t="shared" si="50"/>
        <v>-4.1288985646305036</v>
      </c>
      <c r="T241" s="153">
        <f t="shared" si="38"/>
        <v>0</v>
      </c>
      <c r="V241" s="13"/>
    </row>
    <row r="242" spans="1:22" x14ac:dyDescent="0.25">
      <c r="A242" s="51">
        <f>'A) Base RI'!A243</f>
        <v>5804</v>
      </c>
      <c r="B242" s="484" t="str">
        <f>'A) Base RI'!B243</f>
        <v>Jorat-Menthue</v>
      </c>
      <c r="C242" s="493">
        <v>778944.37291943841</v>
      </c>
      <c r="D242" s="487">
        <v>208976.84418487269</v>
      </c>
      <c r="E242" s="493">
        <v>0</v>
      </c>
      <c r="F242" s="487">
        <v>0</v>
      </c>
      <c r="G242" s="493">
        <v>0</v>
      </c>
      <c r="H242" s="487">
        <v>987921.2171043111</v>
      </c>
      <c r="I242" s="159">
        <v>48554.511111111118</v>
      </c>
      <c r="J242" s="490">
        <f>'B) D RI'!U243</f>
        <v>47020.955555555549</v>
      </c>
      <c r="K242" s="68">
        <f>H242/I242</f>
        <v>20.346641218229404</v>
      </c>
      <c r="L242" s="35">
        <f>'B) D RI'!S243</f>
        <v>72</v>
      </c>
      <c r="M242" s="35">
        <f>L242-K242</f>
        <v>51.653358781770592</v>
      </c>
      <c r="N242" s="35">
        <f>'J) Plafonnement effort'!G241+'J) Plafonnement effort'!H241-'K) Plafonnement aide'!I241</f>
        <v>8.4134007989014279</v>
      </c>
      <c r="O242" s="133">
        <f>M242+N242</f>
        <v>60.06675958067202</v>
      </c>
      <c r="P242" s="49">
        <f t="shared" si="48"/>
        <v>0</v>
      </c>
      <c r="Q242" s="59">
        <f>P242*J242</f>
        <v>0</v>
      </c>
      <c r="R242" s="154">
        <f>O242+P242</f>
        <v>60.06675958067202</v>
      </c>
      <c r="S242" s="133">
        <f>R242-L242</f>
        <v>-11.93324041932798</v>
      </c>
      <c r="T242" s="153">
        <f t="shared" si="38"/>
        <v>0</v>
      </c>
      <c r="V242" s="13"/>
    </row>
    <row r="243" spans="1:22" x14ac:dyDescent="0.25">
      <c r="A243" s="51">
        <f>'A) Base RI'!A244</f>
        <v>5805</v>
      </c>
      <c r="B243" s="484" t="str">
        <f>'A) Base RI'!B244</f>
        <v>Oron</v>
      </c>
      <c r="C243" s="493">
        <v>2580181.4119351953</v>
      </c>
      <c r="D243" s="487">
        <v>-1008516.4726010906</v>
      </c>
      <c r="E243" s="493">
        <v>0</v>
      </c>
      <c r="F243" s="487">
        <v>0</v>
      </c>
      <c r="G243" s="493">
        <v>0</v>
      </c>
      <c r="H243" s="487">
        <v>1571664.9393341048</v>
      </c>
      <c r="I243" s="159">
        <v>147104.2625559947</v>
      </c>
      <c r="J243" s="490">
        <f>'B) D RI'!U244</f>
        <v>148409.14060606057</v>
      </c>
      <c r="K243" s="68">
        <f>H243/I243</f>
        <v>10.684020381366286</v>
      </c>
      <c r="L243" s="35">
        <f>'B) D RI'!S244</f>
        <v>69</v>
      </c>
      <c r="M243" s="35">
        <f>L243-K243</f>
        <v>58.315979618633712</v>
      </c>
      <c r="N243" s="35">
        <f>'J) Plafonnement effort'!G242+'J) Plafonnement effort'!H242-'K) Plafonnement aide'!I242</f>
        <v>3.8065108599269353</v>
      </c>
      <c r="O243" s="133">
        <f>M243+N243</f>
        <v>62.12249047856065</v>
      </c>
      <c r="P243" s="49">
        <f t="shared" si="48"/>
        <v>0</v>
      </c>
      <c r="Q243" s="59">
        <f>P243*J243</f>
        <v>0</v>
      </c>
      <c r="R243" s="154">
        <f>O243+P243</f>
        <v>62.12249047856065</v>
      </c>
      <c r="S243" s="133">
        <f>R243-L243</f>
        <v>-6.8775095214393502</v>
      </c>
      <c r="T243" s="153">
        <f t="shared" si="38"/>
        <v>0</v>
      </c>
      <c r="V243" s="13"/>
    </row>
    <row r="244" spans="1:22" x14ac:dyDescent="0.25">
      <c r="A244" s="51">
        <f>'A) Base RI'!A245</f>
        <v>5806</v>
      </c>
      <c r="B244" s="484" t="str">
        <f>'A) Base RI'!B245</f>
        <v>Jorat-Mézières</v>
      </c>
      <c r="C244" s="493">
        <v>1632767.6884235679</v>
      </c>
      <c r="D244" s="493">
        <v>476194.26917971059</v>
      </c>
      <c r="E244" s="493">
        <v>0</v>
      </c>
      <c r="F244" s="493">
        <v>0</v>
      </c>
      <c r="G244" s="493">
        <v>0</v>
      </c>
      <c r="H244" s="487">
        <v>2108961.9576032786</v>
      </c>
      <c r="I244" s="159">
        <v>89626.657499999987</v>
      </c>
      <c r="J244" s="490">
        <f>'B) D RI'!U245</f>
        <v>86246.382763157875</v>
      </c>
      <c r="K244" s="68">
        <f>H244/I244</f>
        <v>23.530521124290271</v>
      </c>
      <c r="L244" s="35">
        <f>'B) D RI'!S245</f>
        <v>76</v>
      </c>
      <c r="M244" s="35">
        <f>L244-K244</f>
        <v>52.469478875709726</v>
      </c>
      <c r="N244" s="35">
        <f>'J) Plafonnement effort'!G243+'J) Plafonnement effort'!H243-'K) Plafonnement aide'!I243</f>
        <v>12.885063344468875</v>
      </c>
      <c r="O244" s="133">
        <f>M244+N244</f>
        <v>65.354542220178601</v>
      </c>
      <c r="P244" s="49">
        <f t="shared" ref="P244" si="53">IF(O244&gt;$P$5,$P$5-O244,0)</f>
        <v>0</v>
      </c>
      <c r="Q244" s="59">
        <f>P244*J244</f>
        <v>0</v>
      </c>
      <c r="R244" s="154">
        <f>O244+P244</f>
        <v>65.354542220178601</v>
      </c>
      <c r="S244" s="133">
        <f>R244-L244</f>
        <v>-10.645457779821399</v>
      </c>
      <c r="T244" s="153">
        <f t="shared" si="38"/>
        <v>0</v>
      </c>
      <c r="V244" s="13"/>
    </row>
    <row r="245" spans="1:22" x14ac:dyDescent="0.25">
      <c r="A245" s="51">
        <f>'A) Base RI'!A246</f>
        <v>5812</v>
      </c>
      <c r="B245" s="484" t="str">
        <f>'A) Base RI'!B246</f>
        <v>Champtauroz</v>
      </c>
      <c r="C245" s="493">
        <v>43826.528164240626</v>
      </c>
      <c r="D245" s="487">
        <v>-50339.312878355078</v>
      </c>
      <c r="E245" s="493">
        <v>0</v>
      </c>
      <c r="F245" s="487">
        <v>0</v>
      </c>
      <c r="G245" s="493">
        <v>0</v>
      </c>
      <c r="H245" s="487">
        <v>-6512.7847141144521</v>
      </c>
      <c r="I245" s="159">
        <v>2326.5760389610391</v>
      </c>
      <c r="J245" s="490">
        <f>'B) D RI'!U246</f>
        <v>2413.8557792207789</v>
      </c>
      <c r="K245" s="68">
        <f>H245/I245</f>
        <v>-2.7993001754728013</v>
      </c>
      <c r="L245" s="35">
        <f>'B) D RI'!S246</f>
        <v>77</v>
      </c>
      <c r="M245" s="35">
        <f>L245-K245</f>
        <v>79.799300175472808</v>
      </c>
      <c r="N245" s="35">
        <f>'J) Plafonnement effort'!G244+'J) Plafonnement effort'!H244-'K) Plafonnement aide'!I244</f>
        <v>-13.778819556561928</v>
      </c>
      <c r="O245" s="133">
        <f>M245+N245</f>
        <v>66.020480618910881</v>
      </c>
      <c r="P245" s="49">
        <f t="shared" si="48"/>
        <v>0</v>
      </c>
      <c r="Q245" s="59">
        <f>P245*J245</f>
        <v>0</v>
      </c>
      <c r="R245" s="154">
        <f>O245+P245</f>
        <v>66.020480618910881</v>
      </c>
      <c r="S245" s="133">
        <f>R245-L245</f>
        <v>-10.979519381089119</v>
      </c>
      <c r="T245" s="153">
        <f t="shared" si="38"/>
        <v>0</v>
      </c>
      <c r="V245" s="13"/>
    </row>
    <row r="246" spans="1:22" x14ac:dyDescent="0.25">
      <c r="A246" s="51">
        <f>'A) Base RI'!A247</f>
        <v>5813</v>
      </c>
      <c r="B246" s="484" t="str">
        <f>'A) Base RI'!B247</f>
        <v>Chevroux</v>
      </c>
      <c r="C246" s="493">
        <v>200934.58477887264</v>
      </c>
      <c r="D246" s="487">
        <v>9662.9446156804624</v>
      </c>
      <c r="E246" s="493">
        <v>0</v>
      </c>
      <c r="F246" s="487">
        <v>0</v>
      </c>
      <c r="G246" s="493">
        <v>0</v>
      </c>
      <c r="H246" s="487">
        <v>210597.5293945531</v>
      </c>
      <c r="I246" s="159">
        <v>11503.329976190478</v>
      </c>
      <c r="J246" s="490">
        <f>'B) D RI'!U247</f>
        <v>13303.445833333333</v>
      </c>
      <c r="K246" s="68">
        <f t="shared" si="51"/>
        <v>18.3075274577402</v>
      </c>
      <c r="L246" s="35">
        <f>'B) D RI'!S247</f>
        <v>70</v>
      </c>
      <c r="M246" s="35">
        <f t="shared" si="46"/>
        <v>51.6924725422598</v>
      </c>
      <c r="N246" s="35">
        <f>'J) Plafonnement effort'!G245+'J) Plafonnement effort'!H245-'K) Plafonnement aide'!I245</f>
        <v>23.315849577799959</v>
      </c>
      <c r="O246" s="133">
        <f t="shared" si="47"/>
        <v>75.008322120059759</v>
      </c>
      <c r="P246" s="49">
        <f t="shared" si="48"/>
        <v>0</v>
      </c>
      <c r="Q246" s="59">
        <f t="shared" si="52"/>
        <v>0</v>
      </c>
      <c r="R246" s="154">
        <f t="shared" si="49"/>
        <v>75.008322120059759</v>
      </c>
      <c r="S246" s="133">
        <f t="shared" si="50"/>
        <v>5.0083221200597592</v>
      </c>
      <c r="T246" s="153">
        <f t="shared" si="38"/>
        <v>0</v>
      </c>
      <c r="V246" s="13"/>
    </row>
    <row r="247" spans="1:22" x14ac:dyDescent="0.25">
      <c r="A247" s="51">
        <f>'A) Base RI'!A248</f>
        <v>5816</v>
      </c>
      <c r="B247" s="484" t="str">
        <f>'A) Base RI'!B248</f>
        <v>Corcelles-près-Payerne</v>
      </c>
      <c r="C247" s="493">
        <v>956876.80147261079</v>
      </c>
      <c r="D247" s="487">
        <v>-540728.93789633014</v>
      </c>
      <c r="E247" s="493">
        <v>0</v>
      </c>
      <c r="F247" s="487">
        <v>0</v>
      </c>
      <c r="G247" s="493">
        <v>0</v>
      </c>
      <c r="H247" s="487">
        <v>416147.86357628065</v>
      </c>
      <c r="I247" s="159">
        <v>56641.066845238092</v>
      </c>
      <c r="J247" s="490">
        <f>'B) D RI'!U248</f>
        <v>57954.816904761909</v>
      </c>
      <c r="K247" s="68">
        <f t="shared" si="51"/>
        <v>7.3471049673787503</v>
      </c>
      <c r="L247" s="35">
        <f>'B) D RI'!S248</f>
        <v>72</v>
      </c>
      <c r="M247" s="35">
        <f t="shared" si="46"/>
        <v>64.652895032621245</v>
      </c>
      <c r="N247" s="35">
        <f>'J) Plafonnement effort'!G246+'J) Plafonnement effort'!H246-'K) Plafonnement aide'!I246</f>
        <v>2.5763950685682149</v>
      </c>
      <c r="O247" s="133">
        <f t="shared" si="47"/>
        <v>67.229290101189463</v>
      </c>
      <c r="P247" s="49">
        <f t="shared" si="48"/>
        <v>0</v>
      </c>
      <c r="Q247" s="59">
        <f t="shared" si="52"/>
        <v>0</v>
      </c>
      <c r="R247" s="154">
        <f t="shared" si="49"/>
        <v>67.229290101189463</v>
      </c>
      <c r="S247" s="133">
        <f t="shared" si="50"/>
        <v>-4.7707098988105372</v>
      </c>
      <c r="T247" s="153">
        <f t="shared" si="38"/>
        <v>0</v>
      </c>
      <c r="V247" s="13"/>
    </row>
    <row r="248" spans="1:22" x14ac:dyDescent="0.25">
      <c r="A248" s="51">
        <f>'A) Base RI'!A249</f>
        <v>5817</v>
      </c>
      <c r="B248" s="484" t="str">
        <f>'A) Base RI'!B249</f>
        <v>Grandcour</v>
      </c>
      <c r="C248" s="493">
        <v>346073.16142765695</v>
      </c>
      <c r="D248" s="487">
        <v>-153198.85636544245</v>
      </c>
      <c r="E248" s="493">
        <v>0</v>
      </c>
      <c r="F248" s="487">
        <v>0</v>
      </c>
      <c r="G248" s="493">
        <v>0</v>
      </c>
      <c r="H248" s="487">
        <v>192874.30506221449</v>
      </c>
      <c r="I248" s="159">
        <v>20990.550314465407</v>
      </c>
      <c r="J248" s="490">
        <f>'B) D RI'!U249</f>
        <v>22248.358742138364</v>
      </c>
      <c r="K248" s="68">
        <f t="shared" si="51"/>
        <v>9.1886254611103411</v>
      </c>
      <c r="L248" s="35">
        <f>'B) D RI'!S249</f>
        <v>79.5</v>
      </c>
      <c r="M248" s="35">
        <f t="shared" si="46"/>
        <v>70.311374538889652</v>
      </c>
      <c r="N248" s="35">
        <f>'J) Plafonnement effort'!G247+'J) Plafonnement effort'!H247-'K) Plafonnement aide'!I247</f>
        <v>7.5829294384135002</v>
      </c>
      <c r="O248" s="133">
        <f t="shared" si="47"/>
        <v>77.894303977303153</v>
      </c>
      <c r="P248" s="49">
        <f t="shared" si="48"/>
        <v>0</v>
      </c>
      <c r="Q248" s="59">
        <f t="shared" si="52"/>
        <v>0</v>
      </c>
      <c r="R248" s="154">
        <f t="shared" si="49"/>
        <v>77.894303977303153</v>
      </c>
      <c r="S248" s="133">
        <f t="shared" si="50"/>
        <v>-1.6056960226968471</v>
      </c>
      <c r="T248" s="153">
        <f t="shared" si="38"/>
        <v>0</v>
      </c>
      <c r="V248" s="13"/>
    </row>
    <row r="249" spans="1:22" x14ac:dyDescent="0.25">
      <c r="A249" s="51">
        <f>'A) Base RI'!A250</f>
        <v>5819</v>
      </c>
      <c r="B249" s="484" t="str">
        <f>'A) Base RI'!B250</f>
        <v>Henniez</v>
      </c>
      <c r="C249" s="493">
        <v>243203.72497099286</v>
      </c>
      <c r="D249" s="487">
        <v>244131.74364578957</v>
      </c>
      <c r="E249" s="493">
        <v>0</v>
      </c>
      <c r="F249" s="487">
        <v>0</v>
      </c>
      <c r="G249" s="493">
        <v>0</v>
      </c>
      <c r="H249" s="487">
        <v>487335.46861678245</v>
      </c>
      <c r="I249" s="159">
        <v>14949.743880597016</v>
      </c>
      <c r="J249" s="490">
        <f>'B) D RI'!U250</f>
        <v>14874.063333333332</v>
      </c>
      <c r="K249" s="68">
        <f t="shared" si="51"/>
        <v>32.598248672961262</v>
      </c>
      <c r="L249" s="35">
        <f>'B) D RI'!S250</f>
        <v>69</v>
      </c>
      <c r="M249" s="35">
        <f t="shared" si="46"/>
        <v>36.401751327038738</v>
      </c>
      <c r="N249" s="35">
        <f>'J) Plafonnement effort'!G248+'J) Plafonnement effort'!H248-'K) Plafonnement aide'!I248</f>
        <v>28.855610128776966</v>
      </c>
      <c r="O249" s="133">
        <f t="shared" si="47"/>
        <v>65.257361455815698</v>
      </c>
      <c r="P249" s="49">
        <f t="shared" si="48"/>
        <v>0</v>
      </c>
      <c r="Q249" s="59">
        <f t="shared" si="52"/>
        <v>0</v>
      </c>
      <c r="R249" s="154">
        <f t="shared" si="49"/>
        <v>65.257361455815698</v>
      </c>
      <c r="S249" s="133">
        <f t="shared" si="50"/>
        <v>-3.7426385441843024</v>
      </c>
      <c r="T249" s="153">
        <f t="shared" si="38"/>
        <v>0</v>
      </c>
      <c r="V249" s="13"/>
    </row>
    <row r="250" spans="1:22" x14ac:dyDescent="0.25">
      <c r="A250" s="51">
        <f>'A) Base RI'!A251</f>
        <v>5821</v>
      </c>
      <c r="B250" s="484" t="str">
        <f>'A) Base RI'!B251</f>
        <v>Missy</v>
      </c>
      <c r="C250" s="493">
        <v>133332.50384932387</v>
      </c>
      <c r="D250" s="487">
        <v>-59958.324686766078</v>
      </c>
      <c r="E250" s="493">
        <v>0</v>
      </c>
      <c r="F250" s="487">
        <v>0</v>
      </c>
      <c r="G250" s="493">
        <v>0</v>
      </c>
      <c r="H250" s="487">
        <v>73374.17916255779</v>
      </c>
      <c r="I250" s="159">
        <v>7776.2584722222218</v>
      </c>
      <c r="J250" s="490">
        <f>'B) D RI'!U251</f>
        <v>7639.0673611111124</v>
      </c>
      <c r="K250" s="68">
        <f t="shared" si="51"/>
        <v>9.4356661914800846</v>
      </c>
      <c r="L250" s="35">
        <f>'B) D RI'!S251</f>
        <v>72</v>
      </c>
      <c r="M250" s="35">
        <f t="shared" si="46"/>
        <v>62.564333808519919</v>
      </c>
      <c r="N250" s="35">
        <f>'J) Plafonnement effort'!G249+'J) Plafonnement effort'!H249-'K) Plafonnement aide'!I249</f>
        <v>5.6993523084012985</v>
      </c>
      <c r="O250" s="133">
        <f t="shared" si="47"/>
        <v>68.263686116921221</v>
      </c>
      <c r="P250" s="49">
        <f t="shared" si="48"/>
        <v>0</v>
      </c>
      <c r="Q250" s="59">
        <f t="shared" si="52"/>
        <v>0</v>
      </c>
      <c r="R250" s="154">
        <f t="shared" si="49"/>
        <v>68.263686116921221</v>
      </c>
      <c r="S250" s="133">
        <f t="shared" si="50"/>
        <v>-3.736313883078779</v>
      </c>
      <c r="T250" s="153">
        <f t="shared" si="38"/>
        <v>0</v>
      </c>
      <c r="V250" s="13"/>
    </row>
    <row r="251" spans="1:22" x14ac:dyDescent="0.25">
      <c r="A251" s="51">
        <f>'A) Base RI'!A252</f>
        <v>5822</v>
      </c>
      <c r="B251" s="484" t="str">
        <f>'A) Base RI'!B252</f>
        <v>Payerne</v>
      </c>
      <c r="C251" s="493">
        <v>4640327.1754773557</v>
      </c>
      <c r="D251" s="487">
        <v>-4112557.7516730996</v>
      </c>
      <c r="E251" s="493">
        <v>0</v>
      </c>
      <c r="F251" s="487">
        <v>0</v>
      </c>
      <c r="G251" s="493">
        <v>0</v>
      </c>
      <c r="H251" s="487">
        <v>527769.42380425613</v>
      </c>
      <c r="I251" s="159">
        <v>231493.6713333333</v>
      </c>
      <c r="J251" s="490">
        <f>'B) D RI'!U252</f>
        <v>246397.68826666669</v>
      </c>
      <c r="K251" s="68">
        <f t="shared" si="51"/>
        <v>2.2798438538922658</v>
      </c>
      <c r="L251" s="35">
        <f>'B) D RI'!S252</f>
        <v>75</v>
      </c>
      <c r="M251" s="35">
        <f t="shared" si="46"/>
        <v>72.72015614610774</v>
      </c>
      <c r="N251" s="35">
        <f>'J) Plafonnement effort'!G250+'J) Plafonnement effort'!H250-'K) Plafonnement aide'!I250</f>
        <v>-5.041424081226773</v>
      </c>
      <c r="O251" s="133">
        <f t="shared" si="47"/>
        <v>67.678732064880961</v>
      </c>
      <c r="P251" s="49">
        <f t="shared" si="48"/>
        <v>0</v>
      </c>
      <c r="Q251" s="59">
        <f t="shared" si="52"/>
        <v>0</v>
      </c>
      <c r="R251" s="154">
        <f t="shared" si="49"/>
        <v>67.678732064880961</v>
      </c>
      <c r="S251" s="133">
        <f t="shared" si="50"/>
        <v>-7.3212679351190388</v>
      </c>
      <c r="T251" s="153">
        <f t="shared" si="38"/>
        <v>0</v>
      </c>
      <c r="V251" s="13"/>
    </row>
    <row r="252" spans="1:22" x14ac:dyDescent="0.25">
      <c r="A252" s="51">
        <f>'A) Base RI'!A253</f>
        <v>5827</v>
      </c>
      <c r="B252" s="484" t="str">
        <f>'A) Base RI'!B253</f>
        <v>Trey</v>
      </c>
      <c r="C252" s="493">
        <v>127599.04604318553</v>
      </c>
      <c r="D252" s="487">
        <v>-45010.049657241572</v>
      </c>
      <c r="E252" s="493">
        <v>0</v>
      </c>
      <c r="F252" s="487">
        <v>0</v>
      </c>
      <c r="G252" s="493">
        <v>0</v>
      </c>
      <c r="H252" s="487">
        <v>82588.996385943959</v>
      </c>
      <c r="I252" s="159">
        <v>6204.9173749999991</v>
      </c>
      <c r="J252" s="490">
        <f>'B) D RI'!U253</f>
        <v>6752.2672499999999</v>
      </c>
      <c r="K252" s="68">
        <f t="shared" si="51"/>
        <v>13.310249177321877</v>
      </c>
      <c r="L252" s="35">
        <f>'B) D RI'!S253</f>
        <v>80</v>
      </c>
      <c r="M252" s="35">
        <f t="shared" si="46"/>
        <v>66.689750822678121</v>
      </c>
      <c r="N252" s="35">
        <f>'J) Plafonnement effort'!G251+'J) Plafonnement effort'!H251-'K) Plafonnement aide'!I251</f>
        <v>4.4079503406706779</v>
      </c>
      <c r="O252" s="133">
        <f t="shared" si="47"/>
        <v>71.097701163348802</v>
      </c>
      <c r="P252" s="49">
        <f t="shared" si="48"/>
        <v>0</v>
      </c>
      <c r="Q252" s="59">
        <f t="shared" si="52"/>
        <v>0</v>
      </c>
      <c r="R252" s="154">
        <f t="shared" si="49"/>
        <v>71.097701163348802</v>
      </c>
      <c r="S252" s="133">
        <f t="shared" si="50"/>
        <v>-8.9022988366511981</v>
      </c>
      <c r="T252" s="153">
        <f t="shared" si="38"/>
        <v>0</v>
      </c>
      <c r="V252" s="13"/>
    </row>
    <row r="253" spans="1:22" x14ac:dyDescent="0.25">
      <c r="A253" s="51">
        <f>'A) Base RI'!A254</f>
        <v>5828</v>
      </c>
      <c r="B253" s="484" t="str">
        <f>'A) Base RI'!B254</f>
        <v>Treytorrens (Payerne)</v>
      </c>
      <c r="C253" s="493">
        <v>39648.408700679742</v>
      </c>
      <c r="D253" s="487">
        <v>-65807.559460235541</v>
      </c>
      <c r="E253" s="493">
        <v>13220.205640508175</v>
      </c>
      <c r="F253" s="487">
        <v>0</v>
      </c>
      <c r="G253" s="493">
        <v>0</v>
      </c>
      <c r="H253" s="487">
        <v>-12938.945119047625</v>
      </c>
      <c r="I253" s="159">
        <v>2352.5354761904764</v>
      </c>
      <c r="J253" s="490">
        <f>'B) D RI'!U254</f>
        <v>2280.7091269841271</v>
      </c>
      <c r="K253" s="68">
        <f t="shared" si="51"/>
        <v>-5.5000000000000018</v>
      </c>
      <c r="L253" s="35">
        <f>'B) D RI'!S254</f>
        <v>84</v>
      </c>
      <c r="M253" s="35">
        <f t="shared" si="46"/>
        <v>89.5</v>
      </c>
      <c r="N253" s="35">
        <f>'J) Plafonnement effort'!G252+'J) Plafonnement effort'!H252-'K) Plafonnement aide'!I252</f>
        <v>-26.19166285556426</v>
      </c>
      <c r="O253" s="133">
        <f t="shared" si="47"/>
        <v>63.30833714443574</v>
      </c>
      <c r="P253" s="49">
        <f t="shared" si="48"/>
        <v>0</v>
      </c>
      <c r="Q253" s="59">
        <f t="shared" si="52"/>
        <v>0</v>
      </c>
      <c r="R253" s="154">
        <f t="shared" si="49"/>
        <v>63.30833714443574</v>
      </c>
      <c r="S253" s="133">
        <f t="shared" si="50"/>
        <v>-20.69166285556426</v>
      </c>
      <c r="T253" s="153">
        <f t="shared" si="38"/>
        <v>0</v>
      </c>
      <c r="V253" s="13"/>
    </row>
    <row r="254" spans="1:22" x14ac:dyDescent="0.25">
      <c r="A254" s="51">
        <f>'A) Base RI'!A255</f>
        <v>5830</v>
      </c>
      <c r="B254" s="484" t="str">
        <f>'A) Base RI'!B255</f>
        <v>Villarzel</v>
      </c>
      <c r="C254" s="493">
        <v>171400.60779955951</v>
      </c>
      <c r="D254" s="487">
        <v>-84541.91535529992</v>
      </c>
      <c r="E254" s="493">
        <v>0</v>
      </c>
      <c r="F254" s="487">
        <v>0</v>
      </c>
      <c r="G254" s="493">
        <v>0</v>
      </c>
      <c r="H254" s="487">
        <v>86858.692444259592</v>
      </c>
      <c r="I254" s="159">
        <v>9737.3892405063307</v>
      </c>
      <c r="J254" s="490">
        <f>'B) D RI'!U255</f>
        <v>10522.833037974684</v>
      </c>
      <c r="K254" s="68">
        <f t="shared" si="51"/>
        <v>8.9201212254038502</v>
      </c>
      <c r="L254" s="35">
        <f>'B) D RI'!S255</f>
        <v>79</v>
      </c>
      <c r="M254" s="35">
        <f t="shared" si="46"/>
        <v>70.079878774596153</v>
      </c>
      <c r="N254" s="35">
        <f>'J) Plafonnement effort'!G253+'J) Plafonnement effort'!H253-'K) Plafonnement aide'!I253</f>
        <v>2.685732361200996</v>
      </c>
      <c r="O254" s="133">
        <f t="shared" si="47"/>
        <v>72.765611135797144</v>
      </c>
      <c r="P254" s="49">
        <f t="shared" si="48"/>
        <v>0</v>
      </c>
      <c r="Q254" s="59">
        <f t="shared" si="52"/>
        <v>0</v>
      </c>
      <c r="R254" s="154">
        <f t="shared" si="49"/>
        <v>72.765611135797144</v>
      </c>
      <c r="S254" s="133">
        <f t="shared" si="50"/>
        <v>-6.234388864202856</v>
      </c>
      <c r="T254" s="153">
        <f t="shared" si="38"/>
        <v>0</v>
      </c>
      <c r="V254" s="13"/>
    </row>
    <row r="255" spans="1:22" x14ac:dyDescent="0.25">
      <c r="A255" s="51">
        <f>'A) Base RI'!A256</f>
        <v>5831</v>
      </c>
      <c r="B255" s="484" t="str">
        <f>'A) Base RI'!B256</f>
        <v>Valbroye</v>
      </c>
      <c r="C255" s="493">
        <v>1272341.2727270615</v>
      </c>
      <c r="D255" s="487">
        <v>-577752.0547870046</v>
      </c>
      <c r="E255" s="493">
        <v>0</v>
      </c>
      <c r="F255" s="487">
        <v>0</v>
      </c>
      <c r="G255" s="493">
        <v>0</v>
      </c>
      <c r="H255" s="487">
        <v>694589.21794005693</v>
      </c>
      <c r="I255" s="159">
        <v>75142.69210045661</v>
      </c>
      <c r="J255" s="490">
        <f>'B) D RI'!U256</f>
        <v>82821.588904109609</v>
      </c>
      <c r="K255" s="68">
        <f>H255/I255</f>
        <v>9.2436030507328102</v>
      </c>
      <c r="L255" s="35">
        <f>'B) D RI'!S256</f>
        <v>73</v>
      </c>
      <c r="M255" s="35">
        <f>L255-K255</f>
        <v>63.756396949267192</v>
      </c>
      <c r="N255" s="35">
        <f>'J) Plafonnement effort'!G254+'J) Plafonnement effort'!H254-'K) Plafonnement aide'!I254</f>
        <v>6.1268247322038096</v>
      </c>
      <c r="O255" s="133">
        <f>M255+N255</f>
        <v>69.883221681470999</v>
      </c>
      <c r="P255" s="49">
        <f t="shared" si="48"/>
        <v>0</v>
      </c>
      <c r="Q255" s="59">
        <f>P255*J255</f>
        <v>0</v>
      </c>
      <c r="R255" s="154">
        <f>O255+P255</f>
        <v>69.883221681470999</v>
      </c>
      <c r="S255" s="133">
        <f>R255-L255</f>
        <v>-3.1167783185290006</v>
      </c>
      <c r="T255" s="153">
        <f t="shared" si="38"/>
        <v>0</v>
      </c>
      <c r="V255" s="13"/>
    </row>
    <row r="256" spans="1:22" x14ac:dyDescent="0.25">
      <c r="A256" s="51">
        <f>'A) Base RI'!A257</f>
        <v>5841</v>
      </c>
      <c r="B256" s="484" t="str">
        <f>'A) Base RI'!B257</f>
        <v>Château-d'Oex</v>
      </c>
      <c r="C256" s="493">
        <v>2145043.9073032695</v>
      </c>
      <c r="D256" s="487">
        <v>-338299.67516874429</v>
      </c>
      <c r="E256" s="493">
        <v>0</v>
      </c>
      <c r="F256" s="487">
        <v>0</v>
      </c>
      <c r="G256" s="493">
        <v>0</v>
      </c>
      <c r="H256" s="487">
        <v>1806744.2321345252</v>
      </c>
      <c r="I256" s="159">
        <v>106457.35927710844</v>
      </c>
      <c r="J256" s="490">
        <f>'B) D RI'!U257</f>
        <v>112619.72</v>
      </c>
      <c r="K256" s="68">
        <f>H256/I256</f>
        <v>16.971529675384595</v>
      </c>
      <c r="L256" s="35">
        <f>'B) D RI'!S257</f>
        <v>83</v>
      </c>
      <c r="M256" s="35">
        <f>L256-K256</f>
        <v>66.028470324615398</v>
      </c>
      <c r="N256" s="35">
        <f>'J) Plafonnement effort'!G255+'J) Plafonnement effort'!H255-'K) Plafonnement aide'!I255</f>
        <v>0.47862219810672713</v>
      </c>
      <c r="O256" s="133">
        <f>M256+N256</f>
        <v>66.507092522722132</v>
      </c>
      <c r="P256" s="49">
        <f t="shared" si="48"/>
        <v>0</v>
      </c>
      <c r="Q256" s="59">
        <f>P256*J256</f>
        <v>0</v>
      </c>
      <c r="R256" s="154">
        <f>O256+P256</f>
        <v>66.507092522722132</v>
      </c>
      <c r="S256" s="133">
        <f>R256-L256</f>
        <v>-16.492907477277868</v>
      </c>
      <c r="T256" s="153">
        <f t="shared" si="38"/>
        <v>0</v>
      </c>
      <c r="V256" s="13"/>
    </row>
    <row r="257" spans="1:22" x14ac:dyDescent="0.25">
      <c r="A257" s="51">
        <f>'A) Base RI'!A258</f>
        <v>5842</v>
      </c>
      <c r="B257" s="484" t="str">
        <f>'A) Base RI'!B258</f>
        <v>Rossinière</v>
      </c>
      <c r="C257" s="493">
        <v>304679.76155911869</v>
      </c>
      <c r="D257" s="487">
        <v>-79727.335878808663</v>
      </c>
      <c r="E257" s="493">
        <v>0</v>
      </c>
      <c r="F257" s="487">
        <v>0</v>
      </c>
      <c r="G257" s="493">
        <v>0</v>
      </c>
      <c r="H257" s="487">
        <v>224952.42568031003</v>
      </c>
      <c r="I257" s="159">
        <v>13519.399629629628</v>
      </c>
      <c r="J257" s="490">
        <f>'B) D RI'!U258</f>
        <v>12532.166460905351</v>
      </c>
      <c r="K257" s="68">
        <f t="shared" si="51"/>
        <v>16.639231906962479</v>
      </c>
      <c r="L257" s="35">
        <f>'B) D RI'!S258</f>
        <v>81</v>
      </c>
      <c r="M257" s="35">
        <f t="shared" si="46"/>
        <v>64.360768093037521</v>
      </c>
      <c r="N257" s="35">
        <f>'J) Plafonnement effort'!G256+'J) Plafonnement effort'!H256-'K) Plafonnement aide'!I256</f>
        <v>-16.217245006361807</v>
      </c>
      <c r="O257" s="133">
        <f t="shared" si="47"/>
        <v>48.143523086675714</v>
      </c>
      <c r="P257" s="49">
        <f t="shared" si="48"/>
        <v>0</v>
      </c>
      <c r="Q257" s="59">
        <f t="shared" si="52"/>
        <v>0</v>
      </c>
      <c r="R257" s="154">
        <f t="shared" si="49"/>
        <v>48.143523086675714</v>
      </c>
      <c r="S257" s="133">
        <f t="shared" si="50"/>
        <v>-32.856476913324286</v>
      </c>
      <c r="T257" s="153">
        <f t="shared" si="38"/>
        <v>0</v>
      </c>
      <c r="V257" s="13"/>
    </row>
    <row r="258" spans="1:22" x14ac:dyDescent="0.25">
      <c r="A258" s="51">
        <f>'A) Base RI'!A259</f>
        <v>5843</v>
      </c>
      <c r="B258" s="484" t="str">
        <f>'A) Base RI'!B259</f>
        <v>Rougemont</v>
      </c>
      <c r="C258" s="493">
        <v>3046569.5171754109</v>
      </c>
      <c r="D258" s="487">
        <v>1237507.9757696087</v>
      </c>
      <c r="E258" s="493">
        <v>0</v>
      </c>
      <c r="F258" s="487">
        <v>0</v>
      </c>
      <c r="G258" s="493">
        <v>0</v>
      </c>
      <c r="H258" s="487">
        <v>4284077.4929450192</v>
      </c>
      <c r="I258" s="159">
        <v>88213.430628019312</v>
      </c>
      <c r="J258" s="490">
        <f>'B) D RI'!U259</f>
        <v>87898.663243243253</v>
      </c>
      <c r="K258" s="68">
        <f t="shared" si="51"/>
        <v>48.564911969133462</v>
      </c>
      <c r="L258" s="35">
        <f>'B) D RI'!S259</f>
        <v>74</v>
      </c>
      <c r="M258" s="35">
        <f t="shared" si="46"/>
        <v>25.435088030866538</v>
      </c>
      <c r="N258" s="35">
        <f>'J) Plafonnement effort'!G257+'J) Plafonnement effort'!H257-'K) Plafonnement aide'!I257</f>
        <v>38.128808675348068</v>
      </c>
      <c r="O258" s="133">
        <f t="shared" si="47"/>
        <v>63.563896706214607</v>
      </c>
      <c r="P258" s="49">
        <f t="shared" si="48"/>
        <v>0</v>
      </c>
      <c r="Q258" s="59">
        <f t="shared" si="52"/>
        <v>0</v>
      </c>
      <c r="R258" s="154">
        <f t="shared" si="49"/>
        <v>63.563896706214607</v>
      </c>
      <c r="S258" s="133">
        <f t="shared" si="50"/>
        <v>-10.436103293785393</v>
      </c>
      <c r="T258" s="153">
        <f t="shared" si="38"/>
        <v>0</v>
      </c>
      <c r="V258" s="13"/>
    </row>
    <row r="259" spans="1:22" x14ac:dyDescent="0.25">
      <c r="A259" s="51">
        <f>'A) Base RI'!A260</f>
        <v>5851</v>
      </c>
      <c r="B259" s="484" t="str">
        <f>'A) Base RI'!B260</f>
        <v>Allaman</v>
      </c>
      <c r="C259" s="493">
        <v>888560.59832920705</v>
      </c>
      <c r="D259" s="487">
        <v>438821.49066323036</v>
      </c>
      <c r="E259" s="493">
        <v>0</v>
      </c>
      <c r="F259" s="487">
        <v>0</v>
      </c>
      <c r="G259" s="493">
        <v>0</v>
      </c>
      <c r="H259" s="487">
        <v>1327382.0889924373</v>
      </c>
      <c r="I259" s="159">
        <v>26900.629237536661</v>
      </c>
      <c r="J259" s="490">
        <f>'B) D RI'!U260</f>
        <v>28628.932741935481</v>
      </c>
      <c r="K259" s="68">
        <f t="shared" si="51"/>
        <v>49.343904831052498</v>
      </c>
      <c r="L259" s="35">
        <f>'B) D RI'!S260</f>
        <v>62</v>
      </c>
      <c r="M259" s="35">
        <f t="shared" si="46"/>
        <v>12.656095168947502</v>
      </c>
      <c r="N259" s="35">
        <f>'J) Plafonnement effort'!G258+'J) Plafonnement effort'!H258-'K) Plafonnement aide'!I258</f>
        <v>35.531610400722506</v>
      </c>
      <c r="O259" s="133">
        <f t="shared" si="47"/>
        <v>48.187705569670008</v>
      </c>
      <c r="P259" s="49">
        <f t="shared" si="48"/>
        <v>0</v>
      </c>
      <c r="Q259" s="59">
        <f t="shared" si="52"/>
        <v>0</v>
      </c>
      <c r="R259" s="154">
        <f t="shared" si="49"/>
        <v>48.187705569670008</v>
      </c>
      <c r="S259" s="133">
        <f t="shared" si="50"/>
        <v>-13.812294430329992</v>
      </c>
      <c r="T259" s="153">
        <f t="shared" si="38"/>
        <v>0</v>
      </c>
      <c r="V259" s="13"/>
    </row>
    <row r="260" spans="1:22" x14ac:dyDescent="0.25">
      <c r="A260" s="51">
        <f>'A) Base RI'!A261</f>
        <v>5852</v>
      </c>
      <c r="B260" s="484" t="str">
        <f>'A) Base RI'!B261</f>
        <v>Bursinel</v>
      </c>
      <c r="C260" s="493">
        <v>504660.37569569593</v>
      </c>
      <c r="D260" s="487">
        <v>489348.64839164156</v>
      </c>
      <c r="E260" s="493">
        <v>0</v>
      </c>
      <c r="F260" s="487">
        <v>0</v>
      </c>
      <c r="G260" s="493">
        <v>0</v>
      </c>
      <c r="H260" s="487">
        <v>994009.02408733754</v>
      </c>
      <c r="I260" s="159">
        <v>29922.291297709922</v>
      </c>
      <c r="J260" s="490">
        <f>'B) D RI'!U261</f>
        <v>38777.824427480911</v>
      </c>
      <c r="K260" s="68">
        <f t="shared" si="51"/>
        <v>33.219682750813043</v>
      </c>
      <c r="L260" s="35">
        <f>'B) D RI'!S261</f>
        <v>65.5</v>
      </c>
      <c r="M260" s="35">
        <f t="shared" si="46"/>
        <v>32.280317249186957</v>
      </c>
      <c r="N260" s="35">
        <f>'J) Plafonnement effort'!G259+'J) Plafonnement effort'!H259-'K) Plafonnement aide'!I259</f>
        <v>57.002438415899086</v>
      </c>
      <c r="O260" s="133">
        <f t="shared" si="47"/>
        <v>89.282755665086043</v>
      </c>
      <c r="P260" s="49">
        <f t="shared" si="48"/>
        <v>0</v>
      </c>
      <c r="Q260" s="59">
        <f t="shared" si="52"/>
        <v>0</v>
      </c>
      <c r="R260" s="154">
        <f t="shared" si="49"/>
        <v>89.282755665086043</v>
      </c>
      <c r="S260" s="133">
        <f t="shared" si="50"/>
        <v>23.782755665086043</v>
      </c>
      <c r="T260" s="153">
        <f t="shared" si="38"/>
        <v>0</v>
      </c>
      <c r="V260" s="13"/>
    </row>
    <row r="261" spans="1:22" x14ac:dyDescent="0.25">
      <c r="A261" s="51">
        <f>'A) Base RI'!A262</f>
        <v>5853</v>
      </c>
      <c r="B261" s="484" t="str">
        <f>'A) Base RI'!B262</f>
        <v>Bursins</v>
      </c>
      <c r="C261" s="493">
        <v>785014.50727217051</v>
      </c>
      <c r="D261" s="487">
        <v>676929.75122724962</v>
      </c>
      <c r="E261" s="493">
        <v>0</v>
      </c>
      <c r="F261" s="487">
        <v>0</v>
      </c>
      <c r="G261" s="493">
        <v>0</v>
      </c>
      <c r="H261" s="487">
        <v>1461944.2584994202</v>
      </c>
      <c r="I261" s="159">
        <v>40543.223380281692</v>
      </c>
      <c r="J261" s="490">
        <f>'B) D RI'!U262</f>
        <v>36130.042112676056</v>
      </c>
      <c r="K261" s="68">
        <f t="shared" si="51"/>
        <v>36.058905449793144</v>
      </c>
      <c r="L261" s="35">
        <f>'B) D RI'!S262</f>
        <v>71</v>
      </c>
      <c r="M261" s="35">
        <f t="shared" si="46"/>
        <v>34.941094550206856</v>
      </c>
      <c r="N261" s="35">
        <f>'J) Plafonnement effort'!G260+'J) Plafonnement effort'!H260-'K) Plafonnement aide'!I260</f>
        <v>35.479348541895668</v>
      </c>
      <c r="O261" s="133">
        <f t="shared" si="47"/>
        <v>70.420443092102516</v>
      </c>
      <c r="P261" s="49">
        <f t="shared" si="48"/>
        <v>0</v>
      </c>
      <c r="Q261" s="59">
        <f t="shared" si="52"/>
        <v>0</v>
      </c>
      <c r="R261" s="154">
        <f t="shared" si="49"/>
        <v>70.420443092102516</v>
      </c>
      <c r="S261" s="133">
        <f t="shared" si="50"/>
        <v>-0.5795569078974836</v>
      </c>
      <c r="T261" s="153">
        <f t="shared" si="38"/>
        <v>0</v>
      </c>
      <c r="V261" s="13"/>
    </row>
    <row r="262" spans="1:22" x14ac:dyDescent="0.25">
      <c r="A262" s="51">
        <f>'A) Base RI'!A263</f>
        <v>5854</v>
      </c>
      <c r="B262" s="484" t="str">
        <f>'A) Base RI'!B263</f>
        <v>Burtigny</v>
      </c>
      <c r="C262" s="493">
        <v>182244.37516893228</v>
      </c>
      <c r="D262" s="487">
        <v>26577.276528543938</v>
      </c>
      <c r="E262" s="493">
        <v>0</v>
      </c>
      <c r="F262" s="487">
        <v>0</v>
      </c>
      <c r="G262" s="493">
        <v>0</v>
      </c>
      <c r="H262" s="487">
        <v>208821.65169747622</v>
      </c>
      <c r="I262" s="159">
        <v>10577.787833333332</v>
      </c>
      <c r="J262" s="490">
        <f>'B) D RI'!U263</f>
        <v>10180.844041666667</v>
      </c>
      <c r="K262" s="68">
        <f t="shared" si="51"/>
        <v>19.741523935602626</v>
      </c>
      <c r="L262" s="35">
        <f>'B) D RI'!S263</f>
        <v>80</v>
      </c>
      <c r="M262" s="35">
        <f t="shared" ref="M262:M291" si="54">L262-K262</f>
        <v>60.258476064397371</v>
      </c>
      <c r="N262" s="35">
        <f>'J) Plafonnement effort'!G261+'J) Plafonnement effort'!H261-'K) Plafonnement aide'!I261</f>
        <v>17.41085932087794</v>
      </c>
      <c r="O262" s="133">
        <f t="shared" ref="O262:O314" si="55">M262+N262</f>
        <v>77.669335385275303</v>
      </c>
      <c r="P262" s="49">
        <f t="shared" ref="P262:P314" si="56">IF(O262&gt;$P$5,$P$5-O262,0)</f>
        <v>0</v>
      </c>
      <c r="Q262" s="59">
        <f t="shared" si="52"/>
        <v>0</v>
      </c>
      <c r="R262" s="154">
        <f t="shared" ref="R262:R314" si="57">O262+P262</f>
        <v>77.669335385275303</v>
      </c>
      <c r="S262" s="133">
        <f t="shared" ref="S262:S314" si="58">R262-L262</f>
        <v>-2.3306646147246965</v>
      </c>
      <c r="T262" s="153">
        <f t="shared" si="38"/>
        <v>0</v>
      </c>
      <c r="V262" s="13"/>
    </row>
    <row r="263" spans="1:22" x14ac:dyDescent="0.25">
      <c r="A263" s="51">
        <f>'A) Base RI'!A264</f>
        <v>5855</v>
      </c>
      <c r="B263" s="484" t="str">
        <f>'A) Base RI'!B264</f>
        <v>Dully</v>
      </c>
      <c r="C263" s="493">
        <v>2356696.3869985947</v>
      </c>
      <c r="D263" s="487">
        <v>1015277.5699630089</v>
      </c>
      <c r="E263" s="493">
        <v>0</v>
      </c>
      <c r="F263" s="487">
        <v>0</v>
      </c>
      <c r="G263" s="493">
        <v>0</v>
      </c>
      <c r="H263" s="487">
        <v>3371973.9569616038</v>
      </c>
      <c r="I263" s="159">
        <v>79387.772653061227</v>
      </c>
      <c r="J263" s="490">
        <f>'B) D RI'!U264</f>
        <v>78426.610408163266</v>
      </c>
      <c r="K263" s="68">
        <f t="shared" si="51"/>
        <v>42.474726828497047</v>
      </c>
      <c r="L263" s="35">
        <f>'B) D RI'!S264</f>
        <v>49</v>
      </c>
      <c r="M263" s="35">
        <f t="shared" si="54"/>
        <v>6.5252731715029526</v>
      </c>
      <c r="N263" s="35">
        <f>'J) Plafonnement effort'!G262+'J) Plafonnement effort'!H262-'K) Plafonnement aide'!I262</f>
        <v>41.076179906961315</v>
      </c>
      <c r="O263" s="133">
        <f t="shared" si="55"/>
        <v>47.601453078464267</v>
      </c>
      <c r="P263" s="49">
        <f t="shared" si="56"/>
        <v>0</v>
      </c>
      <c r="Q263" s="59">
        <f t="shared" si="52"/>
        <v>0</v>
      </c>
      <c r="R263" s="154">
        <f t="shared" si="57"/>
        <v>47.601453078464267</v>
      </c>
      <c r="S263" s="133">
        <f t="shared" si="58"/>
        <v>-1.3985469215357327</v>
      </c>
      <c r="T263" s="153">
        <f t="shared" ref="T263:T314" si="59">+C263+D263+E263+F263+G263-H263</f>
        <v>0</v>
      </c>
      <c r="V263" s="13"/>
    </row>
    <row r="264" spans="1:22" x14ac:dyDescent="0.25">
      <c r="A264" s="51">
        <f>'A) Base RI'!A265</f>
        <v>5856</v>
      </c>
      <c r="B264" s="484" t="str">
        <f>'A) Base RI'!B265</f>
        <v>Essertines-sur-Rolle</v>
      </c>
      <c r="C264" s="493">
        <v>524667.59243888012</v>
      </c>
      <c r="D264" s="487">
        <v>522827.84738666285</v>
      </c>
      <c r="E264" s="493">
        <v>0</v>
      </c>
      <c r="F264" s="487">
        <v>0</v>
      </c>
      <c r="G264" s="493">
        <v>0</v>
      </c>
      <c r="H264" s="487">
        <v>1047495.439825543</v>
      </c>
      <c r="I264" s="159">
        <v>31862.802285067875</v>
      </c>
      <c r="J264" s="490">
        <f>'B) D RI'!U265</f>
        <v>34355.55787330318</v>
      </c>
      <c r="K264" s="68">
        <f t="shared" si="51"/>
        <v>32.875182491919091</v>
      </c>
      <c r="L264" s="35">
        <f>'B) D RI'!S265</f>
        <v>68</v>
      </c>
      <c r="M264" s="35">
        <f t="shared" si="54"/>
        <v>35.124817508080909</v>
      </c>
      <c r="N264" s="35">
        <f>'J) Plafonnement effort'!G263+'J) Plafonnement effort'!H263-'K) Plafonnement aide'!I263</f>
        <v>35.877940506080606</v>
      </c>
      <c r="O264" s="133">
        <f t="shared" si="55"/>
        <v>71.002758014161515</v>
      </c>
      <c r="P264" s="49">
        <f t="shared" si="56"/>
        <v>0</v>
      </c>
      <c r="Q264" s="59">
        <f t="shared" si="52"/>
        <v>0</v>
      </c>
      <c r="R264" s="154">
        <f t="shared" si="57"/>
        <v>71.002758014161515</v>
      </c>
      <c r="S264" s="133">
        <f t="shared" si="58"/>
        <v>3.0027580141615147</v>
      </c>
      <c r="T264" s="153">
        <f t="shared" si="59"/>
        <v>0</v>
      </c>
      <c r="V264" s="13"/>
    </row>
    <row r="265" spans="1:22" x14ac:dyDescent="0.25">
      <c r="A265" s="51">
        <f>'A) Base RI'!A266</f>
        <v>5857</v>
      </c>
      <c r="B265" s="484" t="str">
        <f>'A) Base RI'!B266</f>
        <v>Gilly</v>
      </c>
      <c r="C265" s="493">
        <v>1431780.4907025988</v>
      </c>
      <c r="D265" s="487">
        <v>982744.5678052064</v>
      </c>
      <c r="E265" s="493">
        <v>0</v>
      </c>
      <c r="F265" s="487">
        <v>0</v>
      </c>
      <c r="G265" s="493">
        <v>0</v>
      </c>
      <c r="H265" s="487">
        <v>2414525.0585078052</v>
      </c>
      <c r="I265" s="159">
        <v>62540.44560606061</v>
      </c>
      <c r="J265" s="490">
        <f>'B) D RI'!U266</f>
        <v>76893.262272727268</v>
      </c>
      <c r="K265" s="68">
        <f t="shared" si="51"/>
        <v>38.607416930106119</v>
      </c>
      <c r="L265" s="35">
        <f>'B) D RI'!S266</f>
        <v>66</v>
      </c>
      <c r="M265" s="35">
        <f t="shared" si="54"/>
        <v>27.392583069893881</v>
      </c>
      <c r="N265" s="35">
        <f>'J) Plafonnement effort'!G264+'J) Plafonnement effort'!H264-'K) Plafonnement aide'!I264</f>
        <v>35.42256239296708</v>
      </c>
      <c r="O265" s="133">
        <f t="shared" si="55"/>
        <v>62.815145462860961</v>
      </c>
      <c r="P265" s="49">
        <f t="shared" si="56"/>
        <v>0</v>
      </c>
      <c r="Q265" s="59">
        <f t="shared" si="52"/>
        <v>0</v>
      </c>
      <c r="R265" s="154">
        <f t="shared" si="57"/>
        <v>62.815145462860961</v>
      </c>
      <c r="S265" s="133">
        <f t="shared" si="58"/>
        <v>-3.1848545371390387</v>
      </c>
      <c r="T265" s="153">
        <f t="shared" si="59"/>
        <v>0</v>
      </c>
      <c r="V265" s="13"/>
    </row>
    <row r="266" spans="1:22" x14ac:dyDescent="0.25">
      <c r="A266" s="51">
        <f>'A) Base RI'!A267</f>
        <v>5858</v>
      </c>
      <c r="B266" s="484" t="str">
        <f>'A) Base RI'!B267</f>
        <v>Luins</v>
      </c>
      <c r="C266" s="493">
        <v>514807.69876425929</v>
      </c>
      <c r="D266" s="487">
        <v>588793.98881216231</v>
      </c>
      <c r="E266" s="493">
        <v>0</v>
      </c>
      <c r="F266" s="487">
        <v>0</v>
      </c>
      <c r="G266" s="493">
        <v>0</v>
      </c>
      <c r="H266" s="487">
        <v>1103601.6875764215</v>
      </c>
      <c r="I266" s="159">
        <v>35045.301944444444</v>
      </c>
      <c r="J266" s="490">
        <f>'B) D RI'!U267</f>
        <v>34234.109777777776</v>
      </c>
      <c r="K266" s="68">
        <f t="shared" ref="K266:K314" si="60">H266/I266</f>
        <v>31.49071705319891</v>
      </c>
      <c r="L266" s="35">
        <f>'B) D RI'!S267</f>
        <v>60</v>
      </c>
      <c r="M266" s="35">
        <f t="shared" si="54"/>
        <v>28.50928294680109</v>
      </c>
      <c r="N266" s="35">
        <f>'J) Plafonnement effort'!G265+'J) Plafonnement effort'!H265-'K) Plafonnement aide'!I265</f>
        <v>33.556244343839765</v>
      </c>
      <c r="O266" s="133">
        <f t="shared" si="55"/>
        <v>62.065527290640858</v>
      </c>
      <c r="P266" s="49">
        <f t="shared" si="56"/>
        <v>0</v>
      </c>
      <c r="Q266" s="59">
        <f t="shared" si="52"/>
        <v>0</v>
      </c>
      <c r="R266" s="154">
        <f t="shared" si="57"/>
        <v>62.065527290640858</v>
      </c>
      <c r="S266" s="133">
        <f t="shared" si="58"/>
        <v>2.0655272906408584</v>
      </c>
      <c r="T266" s="153">
        <f t="shared" si="59"/>
        <v>0</v>
      </c>
      <c r="V266" s="13"/>
    </row>
    <row r="267" spans="1:22" x14ac:dyDescent="0.25">
      <c r="A267" s="51">
        <f>'A) Base RI'!A268</f>
        <v>5859</v>
      </c>
      <c r="B267" s="484" t="str">
        <f>'A) Base RI'!B268</f>
        <v>Mont-sur-Rolle</v>
      </c>
      <c r="C267" s="493">
        <v>2263540.5024198005</v>
      </c>
      <c r="D267" s="487">
        <v>1749278.5709507586</v>
      </c>
      <c r="E267" s="493">
        <v>0</v>
      </c>
      <c r="F267" s="487">
        <v>0</v>
      </c>
      <c r="G267" s="493">
        <v>0</v>
      </c>
      <c r="H267" s="487">
        <v>4012819.0733705591</v>
      </c>
      <c r="I267" s="159">
        <v>130430.38093750003</v>
      </c>
      <c r="J267" s="490">
        <f>'B) D RI'!U268</f>
        <v>136889.24374999999</v>
      </c>
      <c r="K267" s="68">
        <f t="shared" si="60"/>
        <v>30.765984462572661</v>
      </c>
      <c r="L267" s="35">
        <f>'B) D RI'!S268</f>
        <v>64</v>
      </c>
      <c r="M267" s="35">
        <f t="shared" si="54"/>
        <v>33.234015537427339</v>
      </c>
      <c r="N267" s="35">
        <f>'J) Plafonnement effort'!G266+'J) Plafonnement effort'!H266-'K) Plafonnement aide'!I266</f>
        <v>32.875089161791621</v>
      </c>
      <c r="O267" s="133">
        <f t="shared" si="55"/>
        <v>66.10910469921896</v>
      </c>
      <c r="P267" s="49">
        <f t="shared" si="56"/>
        <v>0</v>
      </c>
      <c r="Q267" s="59">
        <f t="shared" ref="Q267:Q314" si="61">P267*J267</f>
        <v>0</v>
      </c>
      <c r="R267" s="154">
        <f t="shared" si="57"/>
        <v>66.10910469921896</v>
      </c>
      <c r="S267" s="133">
        <f t="shared" si="58"/>
        <v>2.1091046992189604</v>
      </c>
      <c r="T267" s="153">
        <f t="shared" si="59"/>
        <v>0</v>
      </c>
      <c r="V267" s="13"/>
    </row>
    <row r="268" spans="1:22" x14ac:dyDescent="0.25">
      <c r="A268" s="51">
        <f>'A) Base RI'!A269</f>
        <v>5860</v>
      </c>
      <c r="B268" s="484" t="str">
        <f>'A) Base RI'!B269</f>
        <v>Perroy</v>
      </c>
      <c r="C268" s="493">
        <v>1793604.9635031547</v>
      </c>
      <c r="D268" s="487">
        <v>1391269.3608571633</v>
      </c>
      <c r="E268" s="493">
        <v>0</v>
      </c>
      <c r="F268" s="487">
        <v>0</v>
      </c>
      <c r="G268" s="493">
        <v>0</v>
      </c>
      <c r="H268" s="487">
        <v>3184874.324360318</v>
      </c>
      <c r="I268" s="159">
        <v>92749.778038461533</v>
      </c>
      <c r="J268" s="490">
        <f>'B) D RI'!U269</f>
        <v>87860.762038461558</v>
      </c>
      <c r="K268" s="68">
        <f t="shared" si="60"/>
        <v>34.338349823754967</v>
      </c>
      <c r="L268" s="35">
        <f>'B) D RI'!S269</f>
        <v>60</v>
      </c>
      <c r="M268" s="35">
        <f t="shared" si="54"/>
        <v>25.661650176245033</v>
      </c>
      <c r="N268" s="35">
        <f>'J) Plafonnement effort'!G267+'J) Plafonnement effort'!H267-'K) Plafonnement aide'!I267</f>
        <v>34.393161311345779</v>
      </c>
      <c r="O268" s="133">
        <f t="shared" si="55"/>
        <v>60.054811487590811</v>
      </c>
      <c r="P268" s="49">
        <f t="shared" si="56"/>
        <v>0</v>
      </c>
      <c r="Q268" s="59">
        <f t="shared" si="61"/>
        <v>0</v>
      </c>
      <c r="R268" s="154">
        <f t="shared" si="57"/>
        <v>60.054811487590811</v>
      </c>
      <c r="S268" s="133">
        <f t="shared" si="58"/>
        <v>5.4811487590811225E-2</v>
      </c>
      <c r="T268" s="153">
        <f t="shared" si="59"/>
        <v>0</v>
      </c>
      <c r="V268" s="13"/>
    </row>
    <row r="269" spans="1:22" x14ac:dyDescent="0.25">
      <c r="A269" s="51">
        <f>'A) Base RI'!A270</f>
        <v>5861</v>
      </c>
      <c r="B269" s="484" t="str">
        <f>'A) Base RI'!B270</f>
        <v>Rolle</v>
      </c>
      <c r="C269" s="493">
        <v>24119805.501387954</v>
      </c>
      <c r="D269" s="487">
        <v>8533210.7740760595</v>
      </c>
      <c r="E269" s="493">
        <v>0</v>
      </c>
      <c r="F269" s="487">
        <v>0</v>
      </c>
      <c r="G269" s="493">
        <v>0</v>
      </c>
      <c r="H269" s="487">
        <v>32653016.275464013</v>
      </c>
      <c r="I269" s="159">
        <v>834788.40991596645</v>
      </c>
      <c r="J269" s="490">
        <f>'B) D RI'!U270</f>
        <v>824107.17394957971</v>
      </c>
      <c r="K269" s="68">
        <f t="shared" si="60"/>
        <v>39.115320586148307</v>
      </c>
      <c r="L269" s="35">
        <f>'B) D RI'!S270</f>
        <v>59.5</v>
      </c>
      <c r="M269" s="35">
        <f t="shared" si="54"/>
        <v>20.384679413851693</v>
      </c>
      <c r="N269" s="35">
        <f>'J) Plafonnement effort'!G268+'J) Plafonnement effort'!H268-'K) Plafonnement aide'!I268</f>
        <v>42.295183317306751</v>
      </c>
      <c r="O269" s="133">
        <f t="shared" si="55"/>
        <v>62.679862731158444</v>
      </c>
      <c r="P269" s="49">
        <f t="shared" si="56"/>
        <v>0</v>
      </c>
      <c r="Q269" s="59">
        <f t="shared" si="61"/>
        <v>0</v>
      </c>
      <c r="R269" s="154">
        <f t="shared" si="57"/>
        <v>62.679862731158444</v>
      </c>
      <c r="S269" s="133">
        <f t="shared" si="58"/>
        <v>3.179862731158444</v>
      </c>
      <c r="T269" s="153">
        <f t="shared" si="59"/>
        <v>0</v>
      </c>
      <c r="V269" s="13"/>
    </row>
    <row r="270" spans="1:22" x14ac:dyDescent="0.25">
      <c r="A270" s="51">
        <f>'A) Base RI'!A271</f>
        <v>5862</v>
      </c>
      <c r="B270" s="484" t="str">
        <f>'A) Base RI'!B271</f>
        <v>Tartegnin</v>
      </c>
      <c r="C270" s="493">
        <v>149220.09535884648</v>
      </c>
      <c r="D270" s="487">
        <v>71439.714658370794</v>
      </c>
      <c r="E270" s="493">
        <v>0</v>
      </c>
      <c r="F270" s="487">
        <v>0</v>
      </c>
      <c r="G270" s="493">
        <v>0</v>
      </c>
      <c r="H270" s="487">
        <v>220659.81001721727</v>
      </c>
      <c r="I270" s="159">
        <v>8301.4215873015874</v>
      </c>
      <c r="J270" s="490">
        <f>'B) D RI'!U271</f>
        <v>10629.942633744855</v>
      </c>
      <c r="K270" s="68">
        <f t="shared" si="60"/>
        <v>26.58096660874968</v>
      </c>
      <c r="L270" s="35">
        <f>'B) D RI'!S271</f>
        <v>81</v>
      </c>
      <c r="M270" s="35">
        <f t="shared" si="54"/>
        <v>54.419033391250323</v>
      </c>
      <c r="N270" s="35">
        <f>'J) Plafonnement effort'!G269+'J) Plafonnement effort'!H269-'K) Plafonnement aide'!I269</f>
        <v>38.178329427888592</v>
      </c>
      <c r="O270" s="133">
        <f t="shared" si="55"/>
        <v>92.597362819138908</v>
      </c>
      <c r="P270" s="49">
        <f t="shared" si="56"/>
        <v>-0.59492440323981555</v>
      </c>
      <c r="Q270" s="59">
        <f t="shared" si="61"/>
        <v>-6324.0122778541308</v>
      </c>
      <c r="R270" s="154">
        <f t="shared" si="57"/>
        <v>92.002438415899093</v>
      </c>
      <c r="S270" s="133">
        <f t="shared" si="58"/>
        <v>11.002438415899093</v>
      </c>
      <c r="T270" s="153">
        <f t="shared" si="59"/>
        <v>0</v>
      </c>
      <c r="V270" s="13"/>
    </row>
    <row r="271" spans="1:22" x14ac:dyDescent="0.25">
      <c r="A271" s="51">
        <f>'A) Base RI'!A272</f>
        <v>5863</v>
      </c>
      <c r="B271" s="484" t="str">
        <f>'A) Base RI'!B272</f>
        <v>Vinzel</v>
      </c>
      <c r="C271" s="493">
        <v>468554.35555856279</v>
      </c>
      <c r="D271" s="487">
        <v>388551.74194485642</v>
      </c>
      <c r="E271" s="493">
        <v>0</v>
      </c>
      <c r="F271" s="487">
        <v>0</v>
      </c>
      <c r="G271" s="493">
        <v>0</v>
      </c>
      <c r="H271" s="487">
        <v>857106.09750341927</v>
      </c>
      <c r="I271" s="159">
        <v>24528.370999999999</v>
      </c>
      <c r="J271" s="490">
        <f>'B) D RI'!U272</f>
        <v>22869.43104477612</v>
      </c>
      <c r="K271" s="68">
        <f t="shared" si="60"/>
        <v>34.943457822919399</v>
      </c>
      <c r="L271" s="35">
        <f>'B) D RI'!S272</f>
        <v>67</v>
      </c>
      <c r="M271" s="35">
        <f t="shared" si="54"/>
        <v>32.056542177080601</v>
      </c>
      <c r="N271" s="35">
        <f>'J) Plafonnement effort'!G270+'J) Plafonnement effort'!H270-'K) Plafonnement aide'!I270</f>
        <v>21.799860225484313</v>
      </c>
      <c r="O271" s="133">
        <f t="shared" si="55"/>
        <v>53.85640240256491</v>
      </c>
      <c r="P271" s="49">
        <f t="shared" si="56"/>
        <v>0</v>
      </c>
      <c r="Q271" s="59">
        <f t="shared" si="61"/>
        <v>0</v>
      </c>
      <c r="R271" s="154">
        <f t="shared" si="57"/>
        <v>53.85640240256491</v>
      </c>
      <c r="S271" s="133">
        <f t="shared" si="58"/>
        <v>-13.14359759743509</v>
      </c>
      <c r="T271" s="153">
        <f t="shared" si="59"/>
        <v>0</v>
      </c>
      <c r="V271" s="13"/>
    </row>
    <row r="272" spans="1:22" x14ac:dyDescent="0.25">
      <c r="A272" s="51">
        <f>'A) Base RI'!A273</f>
        <v>5871</v>
      </c>
      <c r="B272" s="484" t="str">
        <f>'A) Base RI'!B273</f>
        <v>L'Abbaye</v>
      </c>
      <c r="C272" s="493">
        <v>897198.0231617362</v>
      </c>
      <c r="D272" s="487">
        <v>-20762.657786686555</v>
      </c>
      <c r="E272" s="493">
        <v>0</v>
      </c>
      <c r="F272" s="487">
        <v>0</v>
      </c>
      <c r="G272" s="493">
        <v>0</v>
      </c>
      <c r="H272" s="487">
        <v>876435.36537504965</v>
      </c>
      <c r="I272" s="159">
        <v>41169.431926700228</v>
      </c>
      <c r="J272" s="490">
        <f>'B) D RI'!U273</f>
        <v>47794.781759379046</v>
      </c>
      <c r="K272" s="68">
        <f t="shared" si="60"/>
        <v>21.288497906298335</v>
      </c>
      <c r="L272" s="35">
        <f>'B) D RI'!S273</f>
        <v>77.3</v>
      </c>
      <c r="M272" s="35">
        <f t="shared" si="54"/>
        <v>56.011502093701665</v>
      </c>
      <c r="N272" s="35">
        <f>'J) Plafonnement effort'!G271+'J) Plafonnement effort'!H271-'K) Plafonnement aide'!I271</f>
        <v>17.986153455633016</v>
      </c>
      <c r="O272" s="133">
        <f t="shared" si="55"/>
        <v>73.997655549334681</v>
      </c>
      <c r="P272" s="49">
        <f t="shared" si="56"/>
        <v>0</v>
      </c>
      <c r="Q272" s="59">
        <f t="shared" si="61"/>
        <v>0</v>
      </c>
      <c r="R272" s="154">
        <f t="shared" si="57"/>
        <v>73.997655549334681</v>
      </c>
      <c r="S272" s="133">
        <f t="shared" si="58"/>
        <v>-3.3023444506653163</v>
      </c>
      <c r="T272" s="153">
        <f t="shared" si="59"/>
        <v>0</v>
      </c>
      <c r="V272" s="13"/>
    </row>
    <row r="273" spans="1:22" x14ac:dyDescent="0.25">
      <c r="A273" s="51">
        <f>'A) Base RI'!A274</f>
        <v>5872</v>
      </c>
      <c r="B273" s="484" t="str">
        <f>'A) Base RI'!B274</f>
        <v>Le Chenit</v>
      </c>
      <c r="C273" s="493">
        <v>7492944.3013770869</v>
      </c>
      <c r="D273" s="487">
        <v>3893181.3677922441</v>
      </c>
      <c r="E273" s="493">
        <v>0</v>
      </c>
      <c r="F273" s="487">
        <v>0</v>
      </c>
      <c r="G273" s="493">
        <v>0</v>
      </c>
      <c r="H273" s="487">
        <v>11386125.669169331</v>
      </c>
      <c r="I273" s="159">
        <v>315523.99059233442</v>
      </c>
      <c r="J273" s="490">
        <f>'B) D RI'!U274</f>
        <v>222566.8809866097</v>
      </c>
      <c r="K273" s="68">
        <f t="shared" si="60"/>
        <v>36.086402329642553</v>
      </c>
      <c r="L273" s="35">
        <f>'B) D RI'!S274</f>
        <v>69.56</v>
      </c>
      <c r="M273" s="35">
        <f t="shared" si="54"/>
        <v>33.473597670357449</v>
      </c>
      <c r="N273" s="35">
        <f>'J) Plafonnement effort'!G272+'J) Plafonnement effort'!H272-'K) Plafonnement aide'!I272</f>
        <v>26.673000457666355</v>
      </c>
      <c r="O273" s="133">
        <f t="shared" si="55"/>
        <v>60.146598128023804</v>
      </c>
      <c r="P273" s="49">
        <f t="shared" si="56"/>
        <v>0</v>
      </c>
      <c r="Q273" s="59">
        <f t="shared" si="61"/>
        <v>0</v>
      </c>
      <c r="R273" s="154">
        <f t="shared" si="57"/>
        <v>60.146598128023804</v>
      </c>
      <c r="S273" s="133">
        <f t="shared" si="58"/>
        <v>-9.4134018719761983</v>
      </c>
      <c r="T273" s="153">
        <f t="shared" si="59"/>
        <v>0</v>
      </c>
      <c r="V273" s="13"/>
    </row>
    <row r="274" spans="1:22" x14ac:dyDescent="0.25">
      <c r="A274" s="51">
        <f>'A) Base RI'!A275</f>
        <v>5873</v>
      </c>
      <c r="B274" s="484" t="str">
        <f>'A) Base RI'!B275</f>
        <v>Le Lieu</v>
      </c>
      <c r="C274" s="493">
        <v>748960.55287067639</v>
      </c>
      <c r="D274" s="487">
        <v>348073.27516971354</v>
      </c>
      <c r="E274" s="493">
        <v>0</v>
      </c>
      <c r="F274" s="487">
        <v>0</v>
      </c>
      <c r="G274" s="493">
        <v>0</v>
      </c>
      <c r="H274" s="487">
        <v>1097033.8280403898</v>
      </c>
      <c r="I274" s="159">
        <v>30587.067025641027</v>
      </c>
      <c r="J274" s="490">
        <f>'B) D RI'!U275</f>
        <v>33457.98871794872</v>
      </c>
      <c r="K274" s="68">
        <f t="shared" si="60"/>
        <v>35.865937296987333</v>
      </c>
      <c r="L274" s="35">
        <f>'B) D RI'!S275</f>
        <v>65</v>
      </c>
      <c r="M274" s="35">
        <f t="shared" si="54"/>
        <v>29.134062703012667</v>
      </c>
      <c r="N274" s="35">
        <f>'J) Plafonnement effort'!G273+'J) Plafonnement effort'!H273-'K) Plafonnement aide'!I273</f>
        <v>14.714172143144399</v>
      </c>
      <c r="O274" s="133">
        <f t="shared" si="55"/>
        <v>43.848234846157069</v>
      </c>
      <c r="P274" s="49">
        <f t="shared" si="56"/>
        <v>0</v>
      </c>
      <c r="Q274" s="59">
        <f t="shared" si="61"/>
        <v>0</v>
      </c>
      <c r="R274" s="154">
        <f t="shared" si="57"/>
        <v>43.848234846157069</v>
      </c>
      <c r="S274" s="133">
        <f t="shared" si="58"/>
        <v>-21.151765153842931</v>
      </c>
      <c r="T274" s="153">
        <f t="shared" si="59"/>
        <v>0</v>
      </c>
      <c r="V274" s="13"/>
    </row>
    <row r="275" spans="1:22" x14ac:dyDescent="0.25">
      <c r="A275" s="51">
        <f>'A) Base RI'!A276</f>
        <v>5881</v>
      </c>
      <c r="B275" s="484" t="str">
        <f>'A) Base RI'!B276</f>
        <v>Blonay</v>
      </c>
      <c r="C275" s="493">
        <v>6299600.5186384656</v>
      </c>
      <c r="D275" s="487">
        <v>3734415.9921734557</v>
      </c>
      <c r="E275" s="493">
        <v>0</v>
      </c>
      <c r="F275" s="487">
        <v>0</v>
      </c>
      <c r="G275" s="493">
        <v>0</v>
      </c>
      <c r="H275" s="487">
        <v>10034016.510811921</v>
      </c>
      <c r="I275" s="159">
        <v>332407.86157142854</v>
      </c>
      <c r="J275" s="490">
        <f>'B) D RI'!U276</f>
        <v>339692.04942857131</v>
      </c>
      <c r="K275" s="68">
        <f t="shared" si="60"/>
        <v>30.185858010027207</v>
      </c>
      <c r="L275" s="35">
        <f>'B) D RI'!S276</f>
        <v>70</v>
      </c>
      <c r="M275" s="35">
        <f t="shared" si="54"/>
        <v>39.814141989972796</v>
      </c>
      <c r="N275" s="35">
        <f>'J) Plafonnement effort'!G274+'J) Plafonnement effort'!H274-'K) Plafonnement aide'!I274</f>
        <v>25.525560199430469</v>
      </c>
      <c r="O275" s="133">
        <f t="shared" si="55"/>
        <v>65.339702189403269</v>
      </c>
      <c r="P275" s="49">
        <f t="shared" si="56"/>
        <v>0</v>
      </c>
      <c r="Q275" s="59">
        <f t="shared" si="61"/>
        <v>0</v>
      </c>
      <c r="R275" s="154">
        <f t="shared" si="57"/>
        <v>65.339702189403269</v>
      </c>
      <c r="S275" s="133">
        <f t="shared" si="58"/>
        <v>-4.660297810596731</v>
      </c>
      <c r="T275" s="153">
        <f t="shared" si="59"/>
        <v>0</v>
      </c>
      <c r="V275" s="13"/>
    </row>
    <row r="276" spans="1:22" x14ac:dyDescent="0.25">
      <c r="A276" s="51">
        <f>'A) Base RI'!A277</f>
        <v>5882</v>
      </c>
      <c r="B276" s="484" t="str">
        <f>'A) Base RI'!B277</f>
        <v>Chardonne</v>
      </c>
      <c r="C276" s="493">
        <v>2818476.5050710109</v>
      </c>
      <c r="D276" s="487">
        <v>2044357.1912480518</v>
      </c>
      <c r="E276" s="493">
        <v>0</v>
      </c>
      <c r="F276" s="487">
        <v>0</v>
      </c>
      <c r="G276" s="493">
        <v>0</v>
      </c>
      <c r="H276" s="487">
        <v>4862833.6963190623</v>
      </c>
      <c r="I276" s="159">
        <v>151089.46617647054</v>
      </c>
      <c r="J276" s="490">
        <f>'B) D RI'!U277</f>
        <v>157386.77911764712</v>
      </c>
      <c r="K276" s="68">
        <f t="shared" si="60"/>
        <v>32.185127258569672</v>
      </c>
      <c r="L276" s="35">
        <f>'B) D RI'!S277</f>
        <v>68</v>
      </c>
      <c r="M276" s="35">
        <f t="shared" si="54"/>
        <v>35.814872741430328</v>
      </c>
      <c r="N276" s="35">
        <f>'J) Plafonnement effort'!G275+'J) Plafonnement effort'!H275-'K) Plafonnement aide'!I275</f>
        <v>35.076902134803142</v>
      </c>
      <c r="O276" s="133">
        <f t="shared" si="55"/>
        <v>70.89177487623347</v>
      </c>
      <c r="P276" s="49">
        <f t="shared" si="56"/>
        <v>0</v>
      </c>
      <c r="Q276" s="59">
        <f t="shared" si="61"/>
        <v>0</v>
      </c>
      <c r="R276" s="154">
        <f t="shared" si="57"/>
        <v>70.89177487623347</v>
      </c>
      <c r="S276" s="133">
        <f t="shared" si="58"/>
        <v>2.8917748762334696</v>
      </c>
      <c r="T276" s="153">
        <f t="shared" si="59"/>
        <v>0</v>
      </c>
      <c r="V276" s="13"/>
    </row>
    <row r="277" spans="1:22" x14ac:dyDescent="0.25">
      <c r="A277" s="51">
        <f>'A) Base RI'!A278</f>
        <v>5883</v>
      </c>
      <c r="B277" s="484" t="str">
        <f>'A) Base RI'!B278</f>
        <v>Corseaux</v>
      </c>
      <c r="C277" s="493">
        <v>3170508.1543549933</v>
      </c>
      <c r="D277" s="487">
        <v>2107080.312439655</v>
      </c>
      <c r="E277" s="493">
        <v>0</v>
      </c>
      <c r="F277" s="487">
        <v>0</v>
      </c>
      <c r="G277" s="493">
        <v>0</v>
      </c>
      <c r="H277" s="487">
        <v>5277588.4667946482</v>
      </c>
      <c r="I277" s="159">
        <v>151117.63015625</v>
      </c>
      <c r="J277" s="490">
        <f>'B) D RI'!U278</f>
        <v>151056.33637681158</v>
      </c>
      <c r="K277" s="68">
        <f t="shared" si="60"/>
        <v>34.923711160225437</v>
      </c>
      <c r="L277" s="35">
        <f>'B) D RI'!S278</f>
        <v>69</v>
      </c>
      <c r="M277" s="35">
        <f t="shared" si="54"/>
        <v>34.076288839774563</v>
      </c>
      <c r="N277" s="35">
        <f>'J) Plafonnement effort'!G276+'J) Plafonnement effort'!H276-'K) Plafonnement aide'!I276</f>
        <v>35.448030623144945</v>
      </c>
      <c r="O277" s="133">
        <f t="shared" si="55"/>
        <v>69.524319462919507</v>
      </c>
      <c r="P277" s="49">
        <f t="shared" si="56"/>
        <v>0</v>
      </c>
      <c r="Q277" s="59">
        <f t="shared" si="61"/>
        <v>0</v>
      </c>
      <c r="R277" s="154">
        <f t="shared" si="57"/>
        <v>69.524319462919507</v>
      </c>
      <c r="S277" s="133">
        <f t="shared" si="58"/>
        <v>0.52431946291950737</v>
      </c>
      <c r="T277" s="153">
        <f t="shared" si="59"/>
        <v>0</v>
      </c>
      <c r="V277" s="13"/>
    </row>
    <row r="278" spans="1:22" x14ac:dyDescent="0.25">
      <c r="A278" s="51">
        <f>'A) Base RI'!A279</f>
        <v>5884</v>
      </c>
      <c r="B278" s="484" t="str">
        <f>'A) Base RI'!B279</f>
        <v>Corsier-sur-Vevey</v>
      </c>
      <c r="C278" s="493">
        <v>2044738.1583040599</v>
      </c>
      <c r="D278" s="487">
        <v>588453.11555905873</v>
      </c>
      <c r="E278" s="493">
        <v>0</v>
      </c>
      <c r="F278" s="487">
        <v>0</v>
      </c>
      <c r="G278" s="493">
        <v>0</v>
      </c>
      <c r="H278" s="487">
        <v>2633191.2738631186</v>
      </c>
      <c r="I278" s="159">
        <v>116440.6211111111</v>
      </c>
      <c r="J278" s="490">
        <f>'B) D RI'!U279</f>
        <v>131937.87883838385</v>
      </c>
      <c r="K278" s="68">
        <f t="shared" si="60"/>
        <v>22.614026348678173</v>
      </c>
      <c r="L278" s="35">
        <f>'B) D RI'!S279</f>
        <v>66</v>
      </c>
      <c r="M278" s="35">
        <f t="shared" si="54"/>
        <v>43.385973651321827</v>
      </c>
      <c r="N278" s="35">
        <f>'J) Plafonnement effort'!G277+'J) Plafonnement effort'!H277-'K) Plafonnement aide'!I277</f>
        <v>18.829369797106587</v>
      </c>
      <c r="O278" s="133">
        <f t="shared" si="55"/>
        <v>62.215343448428413</v>
      </c>
      <c r="P278" s="49">
        <f t="shared" si="56"/>
        <v>0</v>
      </c>
      <c r="Q278" s="59">
        <f t="shared" si="61"/>
        <v>0</v>
      </c>
      <c r="R278" s="154">
        <f t="shared" si="57"/>
        <v>62.215343448428413</v>
      </c>
      <c r="S278" s="133">
        <f t="shared" si="58"/>
        <v>-3.7846565515715866</v>
      </c>
      <c r="T278" s="153">
        <f t="shared" si="59"/>
        <v>0</v>
      </c>
      <c r="V278" s="13"/>
    </row>
    <row r="279" spans="1:22" x14ac:dyDescent="0.25">
      <c r="A279" s="51">
        <f>'A) Base RI'!A280</f>
        <v>5885</v>
      </c>
      <c r="B279" s="484" t="str">
        <f>'A) Base RI'!B280</f>
        <v>Jongny</v>
      </c>
      <c r="C279" s="493">
        <v>1416484.286135071</v>
      </c>
      <c r="D279" s="487">
        <v>1251959.1669486472</v>
      </c>
      <c r="E279" s="493">
        <v>0</v>
      </c>
      <c r="F279" s="487">
        <v>0</v>
      </c>
      <c r="G279" s="493">
        <v>0</v>
      </c>
      <c r="H279" s="487">
        <v>2668443.4530837182</v>
      </c>
      <c r="I279" s="159">
        <v>81843.123028169022</v>
      </c>
      <c r="J279" s="490">
        <f>'B) D RI'!U280</f>
        <v>94073.949178403767</v>
      </c>
      <c r="K279" s="68">
        <f t="shared" si="60"/>
        <v>32.60436985237336</v>
      </c>
      <c r="L279" s="35">
        <f>'B) D RI'!S280</f>
        <v>71</v>
      </c>
      <c r="M279" s="35">
        <f t="shared" si="54"/>
        <v>38.39563014762664</v>
      </c>
      <c r="N279" s="35">
        <f>'J) Plafonnement effort'!G278+'J) Plafonnement effort'!H278-'K) Plafonnement aide'!I278</f>
        <v>35.262409851381392</v>
      </c>
      <c r="O279" s="133">
        <f t="shared" si="55"/>
        <v>73.658039999008025</v>
      </c>
      <c r="P279" s="49">
        <f t="shared" si="56"/>
        <v>0</v>
      </c>
      <c r="Q279" s="59">
        <f t="shared" si="61"/>
        <v>0</v>
      </c>
      <c r="R279" s="154">
        <f t="shared" si="57"/>
        <v>73.658039999008025</v>
      </c>
      <c r="S279" s="133">
        <f t="shared" si="58"/>
        <v>2.6580399990080252</v>
      </c>
      <c r="T279" s="153">
        <f t="shared" si="59"/>
        <v>0</v>
      </c>
      <c r="V279" s="13"/>
    </row>
    <row r="280" spans="1:22" x14ac:dyDescent="0.25">
      <c r="A280" s="51">
        <f>'A) Base RI'!A281</f>
        <v>5886</v>
      </c>
      <c r="B280" s="484" t="str">
        <f>'A) Base RI'!B281</f>
        <v>Montreux</v>
      </c>
      <c r="C280" s="493">
        <v>24315913.28262499</v>
      </c>
      <c r="D280" s="487">
        <v>395372.54982239008</v>
      </c>
      <c r="E280" s="493">
        <v>0</v>
      </c>
      <c r="F280" s="487">
        <v>0</v>
      </c>
      <c r="G280" s="493">
        <v>0</v>
      </c>
      <c r="H280" s="487">
        <v>24711285.83244738</v>
      </c>
      <c r="I280" s="159">
        <v>1175239.0178974359</v>
      </c>
      <c r="J280" s="490">
        <f>'B) D RI'!U281</f>
        <v>1128562.492051282</v>
      </c>
      <c r="K280" s="68">
        <f t="shared" si="60"/>
        <v>21.026604338458029</v>
      </c>
      <c r="L280" s="35">
        <f>'B) D RI'!S281</f>
        <v>65</v>
      </c>
      <c r="M280" s="35">
        <f t="shared" si="54"/>
        <v>43.973395661541971</v>
      </c>
      <c r="N280" s="35">
        <f>'J) Plafonnement effort'!G279+'J) Plafonnement effort'!H279-'K) Plafonnement aide'!I279</f>
        <v>15.472066080275093</v>
      </c>
      <c r="O280" s="133">
        <f t="shared" si="55"/>
        <v>59.445461741817063</v>
      </c>
      <c r="P280" s="49">
        <f t="shared" si="56"/>
        <v>0</v>
      </c>
      <c r="Q280" s="59">
        <f t="shared" si="61"/>
        <v>0</v>
      </c>
      <c r="R280" s="154">
        <f t="shared" si="57"/>
        <v>59.445461741817063</v>
      </c>
      <c r="S280" s="133">
        <f t="shared" si="58"/>
        <v>-5.5545382581829372</v>
      </c>
      <c r="T280" s="153">
        <f t="shared" si="59"/>
        <v>0</v>
      </c>
      <c r="V280" s="13"/>
    </row>
    <row r="281" spans="1:22" x14ac:dyDescent="0.25">
      <c r="A281" s="51">
        <f>'A) Base RI'!A282</f>
        <v>5888</v>
      </c>
      <c r="B281" s="484" t="str">
        <f>'A) Base RI'!B282</f>
        <v>Saint-Légier-La Chiésaz</v>
      </c>
      <c r="C281" s="493">
        <v>5594477.1710605668</v>
      </c>
      <c r="D281" s="487">
        <v>3719021.2367476719</v>
      </c>
      <c r="E281" s="493">
        <v>0</v>
      </c>
      <c r="F281" s="487">
        <v>0</v>
      </c>
      <c r="G281" s="493">
        <v>0</v>
      </c>
      <c r="H281" s="487">
        <v>9313498.4078082386</v>
      </c>
      <c r="I281" s="159">
        <v>307135.62007462693</v>
      </c>
      <c r="J281" s="490">
        <f>'B) D RI'!U282</f>
        <v>294301.72840796027</v>
      </c>
      <c r="K281" s="68">
        <f t="shared" si="60"/>
        <v>30.323732576329867</v>
      </c>
      <c r="L281" s="35">
        <f>'B) D RI'!S282</f>
        <v>67</v>
      </c>
      <c r="M281" s="35">
        <f t="shared" si="54"/>
        <v>36.676267423670133</v>
      </c>
      <c r="N281" s="35">
        <f>'J) Plafonnement effort'!G280+'J) Plafonnement effort'!H280-'K) Plafonnement aide'!I280</f>
        <v>29.932405109513052</v>
      </c>
      <c r="O281" s="133">
        <f t="shared" si="55"/>
        <v>66.608672533183181</v>
      </c>
      <c r="P281" s="49">
        <f t="shared" si="56"/>
        <v>0</v>
      </c>
      <c r="Q281" s="59">
        <f t="shared" si="61"/>
        <v>0</v>
      </c>
      <c r="R281" s="154">
        <f t="shared" si="57"/>
        <v>66.608672533183181</v>
      </c>
      <c r="S281" s="133">
        <f t="shared" si="58"/>
        <v>-0.39132746681681851</v>
      </c>
      <c r="T281" s="153">
        <f t="shared" si="59"/>
        <v>0</v>
      </c>
      <c r="V281" s="13"/>
    </row>
    <row r="282" spans="1:22" x14ac:dyDescent="0.25">
      <c r="A282" s="51">
        <f>'A) Base RI'!A283</f>
        <v>5889</v>
      </c>
      <c r="B282" s="484" t="str">
        <f>'A) Base RI'!B283</f>
        <v>La Tour-de-Peilz</v>
      </c>
      <c r="C282" s="493">
        <v>11233033.972794957</v>
      </c>
      <c r="D282" s="487">
        <v>5130216.9740286265</v>
      </c>
      <c r="E282" s="493">
        <v>0</v>
      </c>
      <c r="F282" s="487">
        <v>0</v>
      </c>
      <c r="G282" s="493">
        <v>0</v>
      </c>
      <c r="H282" s="487">
        <v>16363250.946823584</v>
      </c>
      <c r="I282" s="159">
        <v>618611.02559895837</v>
      </c>
      <c r="J282" s="490">
        <f>'B) D RI'!U283</f>
        <v>666166.0371614584</v>
      </c>
      <c r="K282" s="68">
        <f t="shared" si="60"/>
        <v>26.451599259777463</v>
      </c>
      <c r="L282" s="35">
        <f>'B) D RI'!S283</f>
        <v>64</v>
      </c>
      <c r="M282" s="35">
        <f t="shared" si="54"/>
        <v>37.548400740222533</v>
      </c>
      <c r="N282" s="35">
        <f>'J) Plafonnement effort'!G281+'J) Plafonnement effort'!H281-'K) Plafonnement aide'!I281</f>
        <v>26.741062319302848</v>
      </c>
      <c r="O282" s="133">
        <f t="shared" si="55"/>
        <v>64.289463059525389</v>
      </c>
      <c r="P282" s="49">
        <f t="shared" si="56"/>
        <v>0</v>
      </c>
      <c r="Q282" s="59">
        <f t="shared" si="61"/>
        <v>0</v>
      </c>
      <c r="R282" s="154">
        <f t="shared" si="57"/>
        <v>64.289463059525389</v>
      </c>
      <c r="S282" s="133">
        <f t="shared" si="58"/>
        <v>0.28946305952538864</v>
      </c>
      <c r="T282" s="153">
        <f t="shared" si="59"/>
        <v>0</v>
      </c>
      <c r="V282" s="13"/>
    </row>
    <row r="283" spans="1:22" x14ac:dyDescent="0.25">
      <c r="A283" s="51">
        <f>'A) Base RI'!A284</f>
        <v>5890</v>
      </c>
      <c r="B283" s="484" t="str">
        <f>'A) Base RI'!B284</f>
        <v>Vevey</v>
      </c>
      <c r="C283" s="493">
        <v>15667163.625780936</v>
      </c>
      <c r="D283" s="487">
        <v>2494464.6390882488</v>
      </c>
      <c r="E283" s="493">
        <v>0</v>
      </c>
      <c r="F283" s="487">
        <v>0</v>
      </c>
      <c r="G283" s="493">
        <v>0</v>
      </c>
      <c r="H283" s="487">
        <v>18161628.264869183</v>
      </c>
      <c r="I283" s="159">
        <v>909212.90865296812</v>
      </c>
      <c r="J283" s="490">
        <f>'B) D RI'!U284</f>
        <v>976058.24146118714</v>
      </c>
      <c r="K283" s="68">
        <f t="shared" si="60"/>
        <v>19.975110441157611</v>
      </c>
      <c r="L283" s="35">
        <f>'B) D RI'!S284</f>
        <v>73</v>
      </c>
      <c r="M283" s="35">
        <f t="shared" si="54"/>
        <v>53.024889558842389</v>
      </c>
      <c r="N283" s="35">
        <f>'J) Plafonnement effort'!G282+'J) Plafonnement effort'!H282-'K) Plafonnement aide'!I282</f>
        <v>19.834494580863563</v>
      </c>
      <c r="O283" s="133">
        <f t="shared" si="55"/>
        <v>72.859384139705952</v>
      </c>
      <c r="P283" s="49">
        <f t="shared" si="56"/>
        <v>0</v>
      </c>
      <c r="Q283" s="59">
        <f t="shared" si="61"/>
        <v>0</v>
      </c>
      <c r="R283" s="154">
        <f t="shared" si="57"/>
        <v>72.859384139705952</v>
      </c>
      <c r="S283" s="133">
        <f t="shared" si="58"/>
        <v>-0.14061586029404793</v>
      </c>
      <c r="T283" s="153">
        <f t="shared" si="59"/>
        <v>0</v>
      </c>
      <c r="V283" s="13"/>
    </row>
    <row r="284" spans="1:22" x14ac:dyDescent="0.25">
      <c r="A284" s="51">
        <f>'A) Base RI'!A285</f>
        <v>5891</v>
      </c>
      <c r="B284" s="484" t="str">
        <f>'A) Base RI'!B285</f>
        <v>Veytaux</v>
      </c>
      <c r="C284" s="493">
        <v>740379.77877078811</v>
      </c>
      <c r="D284" s="487">
        <v>649481.17653385038</v>
      </c>
      <c r="E284" s="493">
        <v>0</v>
      </c>
      <c r="F284" s="487">
        <v>0</v>
      </c>
      <c r="G284" s="493">
        <v>0</v>
      </c>
      <c r="H284" s="487">
        <v>1389860.9553046385</v>
      </c>
      <c r="I284" s="159">
        <v>39510.481835748789</v>
      </c>
      <c r="J284" s="490">
        <f>'B) D RI'!U285</f>
        <v>35228.276473429949</v>
      </c>
      <c r="K284" s="68">
        <f t="shared" si="60"/>
        <v>35.177018622109102</v>
      </c>
      <c r="L284" s="35">
        <f>'B) D RI'!S285</f>
        <v>69</v>
      </c>
      <c r="M284" s="35">
        <f t="shared" si="54"/>
        <v>33.822981377890898</v>
      </c>
      <c r="N284" s="35">
        <f>'J) Plafonnement effort'!G283+'J) Plafonnement effort'!H283-'K) Plafonnement aide'!I283</f>
        <v>23.887186755449299</v>
      </c>
      <c r="O284" s="133">
        <f t="shared" si="55"/>
        <v>57.710168133340197</v>
      </c>
      <c r="P284" s="49">
        <f t="shared" si="56"/>
        <v>0</v>
      </c>
      <c r="Q284" s="59">
        <f t="shared" si="61"/>
        <v>0</v>
      </c>
      <c r="R284" s="154">
        <f t="shared" si="57"/>
        <v>57.710168133340197</v>
      </c>
      <c r="S284" s="133">
        <f t="shared" si="58"/>
        <v>-11.289831866659803</v>
      </c>
      <c r="T284" s="153">
        <f t="shared" si="59"/>
        <v>0</v>
      </c>
      <c r="V284" s="13"/>
    </row>
    <row r="285" spans="1:22" x14ac:dyDescent="0.25">
      <c r="A285" s="51">
        <f>'A) Base RI'!A286</f>
        <v>5902</v>
      </c>
      <c r="B285" s="484" t="str">
        <f>'A) Base RI'!B286</f>
        <v>Belmont-sur-Yverdon</v>
      </c>
      <c r="C285" s="493">
        <v>143538.18625945519</v>
      </c>
      <c r="D285" s="487">
        <v>-26617.789368052385</v>
      </c>
      <c r="E285" s="493">
        <v>0</v>
      </c>
      <c r="F285" s="487">
        <v>0</v>
      </c>
      <c r="G285" s="493">
        <v>0</v>
      </c>
      <c r="H285" s="487">
        <v>116920.39689140281</v>
      </c>
      <c r="I285" s="159">
        <v>9227.1448684210518</v>
      </c>
      <c r="J285" s="490">
        <f>'B) D RI'!U286</f>
        <v>9905.4513157894726</v>
      </c>
      <c r="K285" s="68">
        <f t="shared" si="60"/>
        <v>12.671351599946238</v>
      </c>
      <c r="L285" s="35">
        <f>'B) D RI'!S286</f>
        <v>76</v>
      </c>
      <c r="M285" s="35">
        <f t="shared" si="54"/>
        <v>63.328648400053765</v>
      </c>
      <c r="N285" s="35">
        <f>'J) Plafonnement effort'!G284+'J) Plafonnement effort'!H284-'K) Plafonnement aide'!I284</f>
        <v>-18.129722593503665</v>
      </c>
      <c r="O285" s="133">
        <f t="shared" si="55"/>
        <v>45.198925806550101</v>
      </c>
      <c r="P285" s="49">
        <f t="shared" si="56"/>
        <v>0</v>
      </c>
      <c r="Q285" s="59">
        <f t="shared" si="61"/>
        <v>0</v>
      </c>
      <c r="R285" s="154">
        <f t="shared" si="57"/>
        <v>45.198925806550101</v>
      </c>
      <c r="S285" s="133">
        <f t="shared" si="58"/>
        <v>-30.801074193449899</v>
      </c>
      <c r="T285" s="153">
        <f t="shared" si="59"/>
        <v>0</v>
      </c>
      <c r="V285" s="13"/>
    </row>
    <row r="286" spans="1:22" x14ac:dyDescent="0.25">
      <c r="A286" s="51">
        <f>'A) Base RI'!A287</f>
        <v>5903</v>
      </c>
      <c r="B286" s="484" t="str">
        <f>'A) Base RI'!B287</f>
        <v>Bioley-Magnoux</v>
      </c>
      <c r="C286" s="493">
        <v>100260.36614700397</v>
      </c>
      <c r="D286" s="487">
        <v>-3829.876520965714</v>
      </c>
      <c r="E286" s="493">
        <v>0</v>
      </c>
      <c r="F286" s="487">
        <v>0</v>
      </c>
      <c r="G286" s="493">
        <v>0</v>
      </c>
      <c r="H286" s="487">
        <v>96430.489626038252</v>
      </c>
      <c r="I286" s="159">
        <v>5953.911158301159</v>
      </c>
      <c r="J286" s="490">
        <f>'B) D RI'!U287</f>
        <v>5979.8765830115835</v>
      </c>
      <c r="K286" s="68">
        <f t="shared" si="60"/>
        <v>16.196158636259018</v>
      </c>
      <c r="L286" s="35">
        <f>'B) D RI'!S287</f>
        <v>74</v>
      </c>
      <c r="M286" s="35">
        <f t="shared" si="54"/>
        <v>57.803841363740986</v>
      </c>
      <c r="N286" s="35">
        <f>'J) Plafonnement effort'!G285+'J) Plafonnement effort'!H285-'K) Plafonnement aide'!I285</f>
        <v>-29.459902161909515</v>
      </c>
      <c r="O286" s="133">
        <f t="shared" si="55"/>
        <v>28.343939201831471</v>
      </c>
      <c r="P286" s="49">
        <f t="shared" si="56"/>
        <v>0</v>
      </c>
      <c r="Q286" s="59">
        <f t="shared" si="61"/>
        <v>0</v>
      </c>
      <c r="R286" s="154">
        <f t="shared" si="57"/>
        <v>28.343939201831471</v>
      </c>
      <c r="S286" s="133">
        <f t="shared" si="58"/>
        <v>-45.656060798168525</v>
      </c>
      <c r="T286" s="153">
        <f t="shared" si="59"/>
        <v>0</v>
      </c>
      <c r="V286" s="13"/>
    </row>
    <row r="287" spans="1:22" x14ac:dyDescent="0.25">
      <c r="A287" s="51">
        <f>'A) Base RI'!A288</f>
        <v>5904</v>
      </c>
      <c r="B287" s="484" t="str">
        <f>'A) Base RI'!B288</f>
        <v>Chamblon</v>
      </c>
      <c r="C287" s="493">
        <v>369900.8779295836</v>
      </c>
      <c r="D287" s="487">
        <v>349475.4602012267</v>
      </c>
      <c r="E287" s="493">
        <v>0</v>
      </c>
      <c r="F287" s="487">
        <v>0</v>
      </c>
      <c r="G287" s="493">
        <v>0</v>
      </c>
      <c r="H287" s="487">
        <v>719376.3381308103</v>
      </c>
      <c r="I287" s="159">
        <v>22914.009848484849</v>
      </c>
      <c r="J287" s="490">
        <f>'B) D RI'!U288</f>
        <v>21723.445757575762</v>
      </c>
      <c r="K287" s="68">
        <f t="shared" si="60"/>
        <v>31.394607180828189</v>
      </c>
      <c r="L287" s="35">
        <f>'B) D RI'!S288</f>
        <v>66</v>
      </c>
      <c r="M287" s="35">
        <f t="shared" si="54"/>
        <v>34.605392819171811</v>
      </c>
      <c r="N287" s="35">
        <f>'J) Plafonnement effort'!G286+'J) Plafonnement effort'!H286-'K) Plafonnement aide'!I286</f>
        <v>31.687399391108819</v>
      </c>
      <c r="O287" s="133">
        <f t="shared" si="55"/>
        <v>66.292792210280624</v>
      </c>
      <c r="P287" s="49">
        <f t="shared" si="56"/>
        <v>0</v>
      </c>
      <c r="Q287" s="59">
        <f t="shared" si="61"/>
        <v>0</v>
      </c>
      <c r="R287" s="154">
        <f t="shared" si="57"/>
        <v>66.292792210280624</v>
      </c>
      <c r="S287" s="133">
        <f t="shared" si="58"/>
        <v>0.29279221028062352</v>
      </c>
      <c r="T287" s="153">
        <f t="shared" si="59"/>
        <v>0</v>
      </c>
      <c r="V287" s="13"/>
    </row>
    <row r="288" spans="1:22" x14ac:dyDescent="0.25">
      <c r="A288" s="51">
        <f>'A) Base RI'!A289</f>
        <v>5905</v>
      </c>
      <c r="B288" s="484" t="str">
        <f>'A) Base RI'!B289</f>
        <v>Champvent</v>
      </c>
      <c r="C288" s="493">
        <v>441457.90810924215</v>
      </c>
      <c r="D288" s="487">
        <v>170825.71777228749</v>
      </c>
      <c r="E288" s="493">
        <v>0</v>
      </c>
      <c r="F288" s="487">
        <v>0</v>
      </c>
      <c r="G288" s="493">
        <v>0</v>
      </c>
      <c r="H288" s="487">
        <v>612283.62588152965</v>
      </c>
      <c r="I288" s="159">
        <v>21038.740140845071</v>
      </c>
      <c r="J288" s="490">
        <f>'B) D RI'!U289</f>
        <v>23277.051267605631</v>
      </c>
      <c r="K288" s="68">
        <f t="shared" si="60"/>
        <v>29.102675435057481</v>
      </c>
      <c r="L288" s="35">
        <f>'B) D RI'!S289</f>
        <v>71</v>
      </c>
      <c r="M288" s="35">
        <f t="shared" si="54"/>
        <v>41.897324564942522</v>
      </c>
      <c r="N288" s="35">
        <f>'J) Plafonnement effort'!G287+'J) Plafonnement effort'!H287-'K) Plafonnement aide'!I287</f>
        <v>24.527052492629373</v>
      </c>
      <c r="O288" s="133">
        <f t="shared" si="55"/>
        <v>66.424377057571888</v>
      </c>
      <c r="P288" s="49">
        <f t="shared" si="56"/>
        <v>0</v>
      </c>
      <c r="Q288" s="59">
        <f t="shared" si="61"/>
        <v>0</v>
      </c>
      <c r="R288" s="154">
        <f t="shared" si="57"/>
        <v>66.424377057571888</v>
      </c>
      <c r="S288" s="133">
        <f t="shared" si="58"/>
        <v>-4.5756229424281116</v>
      </c>
      <c r="T288" s="153">
        <f t="shared" si="59"/>
        <v>0</v>
      </c>
      <c r="V288" s="13"/>
    </row>
    <row r="289" spans="1:22" x14ac:dyDescent="0.25">
      <c r="A289" s="51">
        <f>'A) Base RI'!A290</f>
        <v>5907</v>
      </c>
      <c r="B289" s="484" t="str">
        <f>'A) Base RI'!B290</f>
        <v>Chavannes-le-Chêne</v>
      </c>
      <c r="C289" s="493">
        <v>156559.88679271331</v>
      </c>
      <c r="D289" s="487">
        <v>26894.155949883454</v>
      </c>
      <c r="E289" s="493">
        <v>0</v>
      </c>
      <c r="F289" s="487">
        <v>0</v>
      </c>
      <c r="G289" s="493">
        <v>0</v>
      </c>
      <c r="H289" s="487">
        <v>183454.04274259676</v>
      </c>
      <c r="I289" s="159">
        <v>8819.3566666666684</v>
      </c>
      <c r="J289" s="490">
        <f>'B) D RI'!U290</f>
        <v>8647.1699999999983</v>
      </c>
      <c r="K289" s="68">
        <f t="shared" si="60"/>
        <v>20.801295341186648</v>
      </c>
      <c r="L289" s="35">
        <f>'B) D RI'!S290</f>
        <v>78</v>
      </c>
      <c r="M289" s="35">
        <f t="shared" si="54"/>
        <v>57.198704658813355</v>
      </c>
      <c r="N289" s="35">
        <f>'J) Plafonnement effort'!G288+'J) Plafonnement effort'!H288-'K) Plafonnement aide'!I288</f>
        <v>8.7047023054786141</v>
      </c>
      <c r="O289" s="133">
        <f t="shared" si="55"/>
        <v>65.903406964291975</v>
      </c>
      <c r="P289" s="49">
        <f t="shared" si="56"/>
        <v>0</v>
      </c>
      <c r="Q289" s="59">
        <f t="shared" si="61"/>
        <v>0</v>
      </c>
      <c r="R289" s="154">
        <f t="shared" si="57"/>
        <v>65.903406964291975</v>
      </c>
      <c r="S289" s="133">
        <f t="shared" si="58"/>
        <v>-12.096593035708025</v>
      </c>
      <c r="T289" s="153">
        <f t="shared" si="59"/>
        <v>0</v>
      </c>
      <c r="V289" s="13"/>
    </row>
    <row r="290" spans="1:22" x14ac:dyDescent="0.25">
      <c r="A290" s="51">
        <f>'A) Base RI'!A291</f>
        <v>5908</v>
      </c>
      <c r="B290" s="484" t="str">
        <f>'A) Base RI'!B291</f>
        <v>Chêne-Pâquier</v>
      </c>
      <c r="C290" s="493">
        <v>48731.722189448061</v>
      </c>
      <c r="D290" s="487">
        <v>-40967.335134493907</v>
      </c>
      <c r="E290" s="493">
        <v>0</v>
      </c>
      <c r="F290" s="487">
        <v>0</v>
      </c>
      <c r="G290" s="493">
        <v>0</v>
      </c>
      <c r="H290" s="487">
        <v>7764.3870549541534</v>
      </c>
      <c r="I290" s="159">
        <v>2915.1287341772154</v>
      </c>
      <c r="J290" s="490">
        <f>'B) D RI'!U291</f>
        <v>2751.637341772152</v>
      </c>
      <c r="K290" s="68">
        <f t="shared" si="60"/>
        <v>2.6634799910974167</v>
      </c>
      <c r="L290" s="35">
        <f>'B) D RI'!S291</f>
        <v>79</v>
      </c>
      <c r="M290" s="35">
        <f t="shared" si="54"/>
        <v>76.336520008902582</v>
      </c>
      <c r="N290" s="35">
        <f>'J) Plafonnement effort'!G289+'J) Plafonnement effort'!H289-'K) Plafonnement aide'!I289</f>
        <v>-14.508832952685665</v>
      </c>
      <c r="O290" s="133">
        <f t="shared" si="55"/>
        <v>61.827687056216917</v>
      </c>
      <c r="P290" s="49">
        <f t="shared" si="56"/>
        <v>0</v>
      </c>
      <c r="Q290" s="59">
        <f t="shared" si="61"/>
        <v>0</v>
      </c>
      <c r="R290" s="154">
        <f t="shared" si="57"/>
        <v>61.827687056216917</v>
      </c>
      <c r="S290" s="133">
        <f t="shared" si="58"/>
        <v>-17.172312943783083</v>
      </c>
      <c r="T290" s="153">
        <f t="shared" si="59"/>
        <v>0</v>
      </c>
      <c r="V290" s="13"/>
    </row>
    <row r="291" spans="1:22" x14ac:dyDescent="0.25">
      <c r="A291" s="51">
        <f>'A) Base RI'!A292</f>
        <v>5909</v>
      </c>
      <c r="B291" s="484" t="str">
        <f>'A) Base RI'!B292</f>
        <v>Cheseaux-Noréaz</v>
      </c>
      <c r="C291" s="493">
        <v>414904.52900509251</v>
      </c>
      <c r="D291" s="487">
        <v>300214.42620745761</v>
      </c>
      <c r="E291" s="493">
        <v>0</v>
      </c>
      <c r="F291" s="487">
        <v>0</v>
      </c>
      <c r="G291" s="493">
        <v>0</v>
      </c>
      <c r="H291" s="487">
        <v>715118.95521255012</v>
      </c>
      <c r="I291" s="159">
        <v>24771.110857142852</v>
      </c>
      <c r="J291" s="490">
        <f>'B) D RI'!U292</f>
        <v>27973.27357142857</v>
      </c>
      <c r="K291" s="68">
        <f t="shared" si="60"/>
        <v>28.869070884091684</v>
      </c>
      <c r="L291" s="35">
        <f>'B) D RI'!S292</f>
        <v>70</v>
      </c>
      <c r="M291" s="35">
        <f t="shared" si="54"/>
        <v>41.130929115908316</v>
      </c>
      <c r="N291" s="35">
        <f>'J) Plafonnement effort'!G290+'J) Plafonnement effort'!H290-'K) Plafonnement aide'!I290</f>
        <v>29.312704382931248</v>
      </c>
      <c r="O291" s="133">
        <f t="shared" si="55"/>
        <v>70.44363349883956</v>
      </c>
      <c r="P291" s="49">
        <f t="shared" si="56"/>
        <v>0</v>
      </c>
      <c r="Q291" s="59">
        <f t="shared" si="61"/>
        <v>0</v>
      </c>
      <c r="R291" s="154">
        <f t="shared" si="57"/>
        <v>70.44363349883956</v>
      </c>
      <c r="S291" s="133">
        <f t="shared" si="58"/>
        <v>0.44363349883956005</v>
      </c>
      <c r="T291" s="153">
        <f t="shared" si="59"/>
        <v>0</v>
      </c>
      <c r="V291" s="13"/>
    </row>
    <row r="292" spans="1:22" x14ac:dyDescent="0.25">
      <c r="A292" s="51">
        <f>'A) Base RI'!A293</f>
        <v>5910</v>
      </c>
      <c r="B292" s="484" t="str">
        <f>'A) Base RI'!B293</f>
        <v>Cronay</v>
      </c>
      <c r="C292" s="493">
        <v>166848.45003250497</v>
      </c>
      <c r="D292" s="487">
        <v>-16155.608462530188</v>
      </c>
      <c r="E292" s="493">
        <v>0</v>
      </c>
      <c r="F292" s="487">
        <v>0</v>
      </c>
      <c r="G292" s="493">
        <v>0</v>
      </c>
      <c r="H292" s="487">
        <v>150692.84156997479</v>
      </c>
      <c r="I292" s="159">
        <v>10097.267848101266</v>
      </c>
      <c r="J292" s="490">
        <f>'B) D RI'!U293</f>
        <v>10127.988607594936</v>
      </c>
      <c r="K292" s="68">
        <f t="shared" si="60"/>
        <v>14.924120448910516</v>
      </c>
      <c r="L292" s="35">
        <f>'B) D RI'!S293</f>
        <v>79</v>
      </c>
      <c r="M292" s="35">
        <f t="shared" ref="M292:M314" si="62">L292-K292</f>
        <v>64.075879551089486</v>
      </c>
      <c r="N292" s="35">
        <f>'J) Plafonnement effort'!G291+'J) Plafonnement effort'!H291-'K) Plafonnement aide'!I291</f>
        <v>4.4889327381305808</v>
      </c>
      <c r="O292" s="133">
        <f t="shared" si="55"/>
        <v>68.564812289220072</v>
      </c>
      <c r="P292" s="49">
        <f t="shared" si="56"/>
        <v>0</v>
      </c>
      <c r="Q292" s="59">
        <f t="shared" si="61"/>
        <v>0</v>
      </c>
      <c r="R292" s="154">
        <f t="shared" si="57"/>
        <v>68.564812289220072</v>
      </c>
      <c r="S292" s="133">
        <f t="shared" si="58"/>
        <v>-10.435187710779928</v>
      </c>
      <c r="T292" s="153">
        <f t="shared" si="59"/>
        <v>0</v>
      </c>
      <c r="V292" s="13"/>
    </row>
    <row r="293" spans="1:22" x14ac:dyDescent="0.25">
      <c r="A293" s="51">
        <f>'A) Base RI'!A294</f>
        <v>5911</v>
      </c>
      <c r="B293" s="484" t="str">
        <f>'A) Base RI'!B294</f>
        <v>Cuarny</v>
      </c>
      <c r="C293" s="493">
        <v>114566.75144681893</v>
      </c>
      <c r="D293" s="487">
        <v>52743.538130591929</v>
      </c>
      <c r="E293" s="493">
        <v>0</v>
      </c>
      <c r="F293" s="487">
        <v>0</v>
      </c>
      <c r="G293" s="493">
        <v>0</v>
      </c>
      <c r="H293" s="487">
        <v>167310.28957741085</v>
      </c>
      <c r="I293" s="159">
        <v>7741.5774683544305</v>
      </c>
      <c r="J293" s="490">
        <f>'B) D RI'!U294</f>
        <v>7075.4874683544303</v>
      </c>
      <c r="K293" s="68">
        <f t="shared" si="60"/>
        <v>21.611911817886227</v>
      </c>
      <c r="L293" s="35">
        <f>'B) D RI'!S294</f>
        <v>79</v>
      </c>
      <c r="M293" s="35">
        <f t="shared" si="62"/>
        <v>57.388088182113776</v>
      </c>
      <c r="N293" s="35">
        <f>'J) Plafonnement effort'!G292+'J) Plafonnement effort'!H292-'K) Plafonnement aide'!I292</f>
        <v>15.021926182542495</v>
      </c>
      <c r="O293" s="133">
        <f t="shared" si="55"/>
        <v>72.410014364656277</v>
      </c>
      <c r="P293" s="49">
        <f t="shared" si="56"/>
        <v>0</v>
      </c>
      <c r="Q293" s="59">
        <f t="shared" si="61"/>
        <v>0</v>
      </c>
      <c r="R293" s="154">
        <f t="shared" si="57"/>
        <v>72.410014364656277</v>
      </c>
      <c r="S293" s="133">
        <f t="shared" si="58"/>
        <v>-6.5899856353437229</v>
      </c>
      <c r="T293" s="153">
        <f t="shared" si="59"/>
        <v>0</v>
      </c>
      <c r="V293" s="13"/>
    </row>
    <row r="294" spans="1:22" x14ac:dyDescent="0.25">
      <c r="A294" s="51">
        <f>'A) Base RI'!A295</f>
        <v>5912</v>
      </c>
      <c r="B294" s="484" t="str">
        <f>'A) Base RI'!B295</f>
        <v>Démoret</v>
      </c>
      <c r="C294" s="493">
        <v>45510.398561168382</v>
      </c>
      <c r="D294" s="487">
        <v>-34431.8857492022</v>
      </c>
      <c r="E294" s="493">
        <v>0</v>
      </c>
      <c r="F294" s="487">
        <v>0</v>
      </c>
      <c r="G294" s="493">
        <v>0</v>
      </c>
      <c r="H294" s="487">
        <v>11078.512811966182</v>
      </c>
      <c r="I294" s="159">
        <v>2761.8208641975311</v>
      </c>
      <c r="J294" s="490">
        <f>'B) D RI'!U295</f>
        <v>3190.0809876543208</v>
      </c>
      <c r="K294" s="68">
        <f t="shared" si="60"/>
        <v>4.0113075238082585</v>
      </c>
      <c r="L294" s="35">
        <f>'B) D RI'!S295</f>
        <v>81</v>
      </c>
      <c r="M294" s="35">
        <f t="shared" si="62"/>
        <v>76.988692476191744</v>
      </c>
      <c r="N294" s="35">
        <f>'J) Plafonnement effort'!G293+'J) Plafonnement effort'!H293-'K) Plafonnement aide'!I293</f>
        <v>-0.717937485395165</v>
      </c>
      <c r="O294" s="133">
        <f t="shared" si="55"/>
        <v>76.270754990796576</v>
      </c>
      <c r="P294" s="49">
        <f t="shared" si="56"/>
        <v>0</v>
      </c>
      <c r="Q294" s="59">
        <f t="shared" si="61"/>
        <v>0</v>
      </c>
      <c r="R294" s="154">
        <f t="shared" si="57"/>
        <v>76.270754990796576</v>
      </c>
      <c r="S294" s="133">
        <f t="shared" si="58"/>
        <v>-4.7292450092034244</v>
      </c>
      <c r="T294" s="153">
        <f t="shared" si="59"/>
        <v>0</v>
      </c>
      <c r="V294" s="13"/>
    </row>
    <row r="295" spans="1:22" x14ac:dyDescent="0.25">
      <c r="A295" s="51">
        <f>'A) Base RI'!A296</f>
        <v>5913</v>
      </c>
      <c r="B295" s="484" t="str">
        <f>'A) Base RI'!B296</f>
        <v>Donneloye</v>
      </c>
      <c r="C295" s="493">
        <v>374190.16621333698</v>
      </c>
      <c r="D295" s="487">
        <v>29573.19130963512</v>
      </c>
      <c r="E295" s="493">
        <v>0</v>
      </c>
      <c r="F295" s="487">
        <v>0</v>
      </c>
      <c r="G295" s="493">
        <v>0</v>
      </c>
      <c r="H295" s="487">
        <v>403763.3575229721</v>
      </c>
      <c r="I295" s="159">
        <v>21023.999589041094</v>
      </c>
      <c r="J295" s="490">
        <f>'B) D RI'!U296</f>
        <v>20217.518082191778</v>
      </c>
      <c r="K295" s="68">
        <f t="shared" si="60"/>
        <v>19.204878491980022</v>
      </c>
      <c r="L295" s="35">
        <f>'B) D RI'!S296</f>
        <v>73</v>
      </c>
      <c r="M295" s="35">
        <f t="shared" si="62"/>
        <v>53.795121508019974</v>
      </c>
      <c r="N295" s="35">
        <f>'J) Plafonnement effort'!G294+'J) Plafonnement effort'!H294-'K) Plafonnement aide'!I294</f>
        <v>8.7731368468758255</v>
      </c>
      <c r="O295" s="133">
        <f t="shared" si="55"/>
        <v>62.568258354895804</v>
      </c>
      <c r="P295" s="49">
        <f t="shared" si="56"/>
        <v>0</v>
      </c>
      <c r="Q295" s="59">
        <f t="shared" si="61"/>
        <v>0</v>
      </c>
      <c r="R295" s="154">
        <f t="shared" si="57"/>
        <v>62.568258354895804</v>
      </c>
      <c r="S295" s="133">
        <f t="shared" si="58"/>
        <v>-10.431741645104196</v>
      </c>
      <c r="T295" s="153">
        <f t="shared" si="59"/>
        <v>0</v>
      </c>
      <c r="V295" s="13"/>
    </row>
    <row r="296" spans="1:22" x14ac:dyDescent="0.25">
      <c r="A296" s="51">
        <f>'A) Base RI'!A297</f>
        <v>5914</v>
      </c>
      <c r="B296" s="484" t="str">
        <f>'A) Base RI'!B297</f>
        <v>Ependes</v>
      </c>
      <c r="C296" s="493">
        <v>136679.07411250714</v>
      </c>
      <c r="D296" s="487">
        <v>-18743.695861680753</v>
      </c>
      <c r="E296" s="493">
        <v>0</v>
      </c>
      <c r="F296" s="487">
        <v>0</v>
      </c>
      <c r="G296" s="493">
        <v>0</v>
      </c>
      <c r="H296" s="487">
        <v>117935.37825082638</v>
      </c>
      <c r="I296" s="159">
        <v>8838.0616000000009</v>
      </c>
      <c r="J296" s="490">
        <f>'B) D RI'!U297</f>
        <v>9998.8652000000002</v>
      </c>
      <c r="K296" s="68">
        <f t="shared" si="60"/>
        <v>13.34403216320945</v>
      </c>
      <c r="L296" s="35">
        <f>'B) D RI'!S297</f>
        <v>75</v>
      </c>
      <c r="M296" s="35">
        <f t="shared" si="62"/>
        <v>61.655967836790552</v>
      </c>
      <c r="N296" s="35">
        <f>'J) Plafonnement effort'!G295+'J) Plafonnement effort'!H295-'K) Plafonnement aide'!I295</f>
        <v>11.37953183877204</v>
      </c>
      <c r="O296" s="133">
        <f t="shared" si="55"/>
        <v>73.03549967556259</v>
      </c>
      <c r="P296" s="49">
        <f t="shared" si="56"/>
        <v>0</v>
      </c>
      <c r="Q296" s="59">
        <f t="shared" si="61"/>
        <v>0</v>
      </c>
      <c r="R296" s="154">
        <f t="shared" si="57"/>
        <v>73.03549967556259</v>
      </c>
      <c r="S296" s="133">
        <f t="shared" si="58"/>
        <v>-1.9645003244374095</v>
      </c>
      <c r="T296" s="153">
        <f t="shared" si="59"/>
        <v>0</v>
      </c>
      <c r="V296" s="13"/>
    </row>
    <row r="297" spans="1:22" x14ac:dyDescent="0.25">
      <c r="A297" s="51">
        <f>'A) Base RI'!A298</f>
        <v>5919</v>
      </c>
      <c r="B297" s="484" t="str">
        <f>'A) Base RI'!B298</f>
        <v>Mathod</v>
      </c>
      <c r="C297" s="493">
        <v>333216.84541399078</v>
      </c>
      <c r="D297" s="487">
        <v>29796.563755036797</v>
      </c>
      <c r="E297" s="493">
        <v>0</v>
      </c>
      <c r="F297" s="487">
        <v>0</v>
      </c>
      <c r="G297" s="493">
        <v>0</v>
      </c>
      <c r="H297" s="487">
        <v>363013.40916902758</v>
      </c>
      <c r="I297" s="159">
        <v>16883.878828828827</v>
      </c>
      <c r="J297" s="490">
        <f>'B) D RI'!U298</f>
        <v>15974.205138888889</v>
      </c>
      <c r="K297" s="68">
        <f t="shared" si="60"/>
        <v>21.500593130838556</v>
      </c>
      <c r="L297" s="35">
        <f>'B) D RI'!S298</f>
        <v>72</v>
      </c>
      <c r="M297" s="35">
        <f t="shared" si="62"/>
        <v>50.499406869161447</v>
      </c>
      <c r="N297" s="35">
        <f>'J) Plafonnement effort'!G296+'J) Plafonnement effort'!H296-'K) Plafonnement aide'!I296</f>
        <v>0.10626604330855827</v>
      </c>
      <c r="O297" s="133">
        <f t="shared" si="55"/>
        <v>50.605672912470006</v>
      </c>
      <c r="P297" s="49">
        <f t="shared" si="56"/>
        <v>0</v>
      </c>
      <c r="Q297" s="59">
        <f t="shared" si="61"/>
        <v>0</v>
      </c>
      <c r="R297" s="154">
        <f t="shared" si="57"/>
        <v>50.605672912470006</v>
      </c>
      <c r="S297" s="133">
        <f t="shared" si="58"/>
        <v>-21.394327087529994</v>
      </c>
      <c r="T297" s="153">
        <f t="shared" si="59"/>
        <v>0</v>
      </c>
      <c r="V297" s="13"/>
    </row>
    <row r="298" spans="1:22" x14ac:dyDescent="0.25">
      <c r="A298" s="51">
        <f>'A) Base RI'!A299</f>
        <v>5921</v>
      </c>
      <c r="B298" s="484" t="str">
        <f>'A) Base RI'!B299</f>
        <v>Molondin</v>
      </c>
      <c r="C298" s="493">
        <v>98501.822249687044</v>
      </c>
      <c r="D298" s="487">
        <v>-26448.620573744935</v>
      </c>
      <c r="E298" s="493">
        <v>0</v>
      </c>
      <c r="F298" s="487">
        <v>0</v>
      </c>
      <c r="G298" s="493">
        <v>0</v>
      </c>
      <c r="H298" s="487">
        <v>72053.201675942109</v>
      </c>
      <c r="I298" s="159">
        <v>5518.0840740740732</v>
      </c>
      <c r="J298" s="490">
        <f>'B) D RI'!U299</f>
        <v>5428.3767901234569</v>
      </c>
      <c r="K298" s="68">
        <f t="shared" si="60"/>
        <v>13.057648399101737</v>
      </c>
      <c r="L298" s="35">
        <f>'B) D RI'!S299</f>
        <v>81</v>
      </c>
      <c r="M298" s="35">
        <f t="shared" si="62"/>
        <v>67.942351600898263</v>
      </c>
      <c r="N298" s="35">
        <f>'J) Plafonnement effort'!G297+'J) Plafonnement effort'!H297-'K) Plafonnement aide'!I297</f>
        <v>0.93339801373343523</v>
      </c>
      <c r="O298" s="133">
        <f t="shared" si="55"/>
        <v>68.875749614631701</v>
      </c>
      <c r="P298" s="49">
        <f t="shared" si="56"/>
        <v>0</v>
      </c>
      <c r="Q298" s="59">
        <f t="shared" si="61"/>
        <v>0</v>
      </c>
      <c r="R298" s="154">
        <f t="shared" si="57"/>
        <v>68.875749614631701</v>
      </c>
      <c r="S298" s="133">
        <f t="shared" si="58"/>
        <v>-12.124250385368299</v>
      </c>
      <c r="T298" s="153">
        <f t="shared" si="59"/>
        <v>0</v>
      </c>
      <c r="V298" s="13"/>
    </row>
    <row r="299" spans="1:22" x14ac:dyDescent="0.25">
      <c r="A299" s="51">
        <f>'A) Base RI'!A300</f>
        <v>5922</v>
      </c>
      <c r="B299" s="484" t="str">
        <f>'A) Base RI'!B300</f>
        <v>Montagny-près-Yverdon</v>
      </c>
      <c r="C299" s="493">
        <v>790375.36283341108</v>
      </c>
      <c r="D299" s="487">
        <v>737264.18901025574</v>
      </c>
      <c r="E299" s="493">
        <v>0</v>
      </c>
      <c r="F299" s="487">
        <v>0</v>
      </c>
      <c r="G299" s="493">
        <v>0</v>
      </c>
      <c r="H299" s="487">
        <v>1527639.5518436669</v>
      </c>
      <c r="I299" s="159">
        <v>45028.443278688515</v>
      </c>
      <c r="J299" s="490">
        <f>'B) D RI'!U300</f>
        <v>48081.180040983607</v>
      </c>
      <c r="K299" s="68">
        <f t="shared" si="60"/>
        <v>33.926101828323311</v>
      </c>
      <c r="L299" s="35">
        <f>'B) D RI'!S300</f>
        <v>61</v>
      </c>
      <c r="M299" s="35">
        <f t="shared" si="62"/>
        <v>27.073898171676689</v>
      </c>
      <c r="N299" s="35">
        <f>'J) Plafonnement effort'!G298+'J) Plafonnement effort'!H298-'K) Plafonnement aide'!I298</f>
        <v>33.557528274009961</v>
      </c>
      <c r="O299" s="133">
        <f t="shared" si="55"/>
        <v>60.63142644568665</v>
      </c>
      <c r="P299" s="49">
        <f t="shared" si="56"/>
        <v>0</v>
      </c>
      <c r="Q299" s="59">
        <f t="shared" si="61"/>
        <v>0</v>
      </c>
      <c r="R299" s="154">
        <f t="shared" si="57"/>
        <v>60.63142644568665</v>
      </c>
      <c r="S299" s="133">
        <f t="shared" si="58"/>
        <v>-0.36857355431335037</v>
      </c>
      <c r="T299" s="153">
        <f t="shared" si="59"/>
        <v>0</v>
      </c>
      <c r="V299" s="13"/>
    </row>
    <row r="300" spans="1:22" x14ac:dyDescent="0.25">
      <c r="A300" s="51">
        <f>'A) Base RI'!A301</f>
        <v>5923</v>
      </c>
      <c r="B300" s="484" t="str">
        <f>'A) Base RI'!B301</f>
        <v>Oppens</v>
      </c>
      <c r="C300" s="493">
        <v>102604.52512356729</v>
      </c>
      <c r="D300" s="487">
        <v>-9802.9643775467994</v>
      </c>
      <c r="E300" s="493">
        <v>0</v>
      </c>
      <c r="F300" s="487">
        <v>0</v>
      </c>
      <c r="G300" s="493">
        <v>0</v>
      </c>
      <c r="H300" s="487">
        <v>92801.560746020492</v>
      </c>
      <c r="I300" s="159">
        <v>4881.0219753086412</v>
      </c>
      <c r="J300" s="490">
        <f>'B) D RI'!U301</f>
        <v>4655.3639506172849</v>
      </c>
      <c r="K300" s="68">
        <f t="shared" si="60"/>
        <v>19.012731599134497</v>
      </c>
      <c r="L300" s="35">
        <f>'B) D RI'!S301</f>
        <v>81</v>
      </c>
      <c r="M300" s="35">
        <f t="shared" si="62"/>
        <v>61.987268400865503</v>
      </c>
      <c r="N300" s="35">
        <f>'J) Plafonnement effort'!G299+'J) Plafonnement effort'!H299-'K) Plafonnement aide'!I299</f>
        <v>1.7029574992054695</v>
      </c>
      <c r="O300" s="133">
        <f t="shared" si="55"/>
        <v>63.690225900070971</v>
      </c>
      <c r="P300" s="49">
        <f t="shared" si="56"/>
        <v>0</v>
      </c>
      <c r="Q300" s="59">
        <f t="shared" si="61"/>
        <v>0</v>
      </c>
      <c r="R300" s="154">
        <f t="shared" si="57"/>
        <v>63.690225900070971</v>
      </c>
      <c r="S300" s="133">
        <f t="shared" si="58"/>
        <v>-17.309774099929029</v>
      </c>
      <c r="T300" s="153">
        <f t="shared" si="59"/>
        <v>0</v>
      </c>
      <c r="V300" s="13"/>
    </row>
    <row r="301" spans="1:22" x14ac:dyDescent="0.25">
      <c r="A301" s="51">
        <f>'A) Base RI'!A302</f>
        <v>5924</v>
      </c>
      <c r="B301" s="484" t="str">
        <f>'A) Base RI'!B302</f>
        <v>Orges</v>
      </c>
      <c r="C301" s="493">
        <v>158058.02691959252</v>
      </c>
      <c r="D301" s="487">
        <v>72692.561357783023</v>
      </c>
      <c r="E301" s="493">
        <v>0</v>
      </c>
      <c r="F301" s="487">
        <v>0</v>
      </c>
      <c r="G301" s="493">
        <v>0</v>
      </c>
      <c r="H301" s="487">
        <v>230750.58827737556</v>
      </c>
      <c r="I301" s="159">
        <v>9476.448378378378</v>
      </c>
      <c r="J301" s="490">
        <f>'B) D RI'!U302</f>
        <v>10584.548243243244</v>
      </c>
      <c r="K301" s="68">
        <f t="shared" si="60"/>
        <v>24.34990188981137</v>
      </c>
      <c r="L301" s="35">
        <f>'B) D RI'!S302</f>
        <v>74</v>
      </c>
      <c r="M301" s="35">
        <f t="shared" si="62"/>
        <v>49.65009811018863</v>
      </c>
      <c r="N301" s="35">
        <f>'J) Plafonnement effort'!G300+'J) Plafonnement effort'!H300-'K) Plafonnement aide'!I300</f>
        <v>22.191443739056751</v>
      </c>
      <c r="O301" s="133">
        <f t="shared" si="55"/>
        <v>71.841541849245374</v>
      </c>
      <c r="P301" s="49">
        <f t="shared" si="56"/>
        <v>0</v>
      </c>
      <c r="Q301" s="59">
        <f t="shared" si="61"/>
        <v>0</v>
      </c>
      <c r="R301" s="154">
        <f t="shared" si="57"/>
        <v>71.841541849245374</v>
      </c>
      <c r="S301" s="133">
        <f t="shared" si="58"/>
        <v>-2.1584581507546261</v>
      </c>
      <c r="T301" s="153">
        <f t="shared" si="59"/>
        <v>0</v>
      </c>
      <c r="V301" s="13"/>
    </row>
    <row r="302" spans="1:22" x14ac:dyDescent="0.25">
      <c r="A302" s="51">
        <f>'A) Base RI'!A303</f>
        <v>5925</v>
      </c>
      <c r="B302" s="484" t="str">
        <f>'A) Base RI'!B303</f>
        <v>Orzens</v>
      </c>
      <c r="C302" s="493">
        <v>83564.727578737322</v>
      </c>
      <c r="D302" s="487">
        <v>-27596.231064143591</v>
      </c>
      <c r="E302" s="493">
        <v>0</v>
      </c>
      <c r="F302" s="487">
        <v>0</v>
      </c>
      <c r="G302" s="493">
        <v>0</v>
      </c>
      <c r="H302" s="487">
        <v>55968.496514593731</v>
      </c>
      <c r="I302" s="159">
        <v>4875.4426582278484</v>
      </c>
      <c r="J302" s="490">
        <f>'B) D RI'!U303</f>
        <v>4781.2708860759494</v>
      </c>
      <c r="K302" s="68">
        <f t="shared" si="60"/>
        <v>11.479674859910558</v>
      </c>
      <c r="L302" s="35">
        <f>'B) D RI'!S303</f>
        <v>79</v>
      </c>
      <c r="M302" s="35">
        <f t="shared" si="62"/>
        <v>67.52032514008944</v>
      </c>
      <c r="N302" s="35">
        <f>'J) Plafonnement effort'!G301+'J) Plafonnement effort'!H301-'K) Plafonnement aide'!I301</f>
        <v>7.6636073682546026</v>
      </c>
      <c r="O302" s="133">
        <f t="shared" si="55"/>
        <v>75.183932508344043</v>
      </c>
      <c r="P302" s="49">
        <f t="shared" si="56"/>
        <v>0</v>
      </c>
      <c r="Q302" s="59">
        <f t="shared" si="61"/>
        <v>0</v>
      </c>
      <c r="R302" s="154">
        <f t="shared" si="57"/>
        <v>75.183932508344043</v>
      </c>
      <c r="S302" s="133">
        <f t="shared" si="58"/>
        <v>-3.8160674916559572</v>
      </c>
      <c r="T302" s="153">
        <f t="shared" si="59"/>
        <v>0</v>
      </c>
      <c r="V302" s="13"/>
    </row>
    <row r="303" spans="1:22" x14ac:dyDescent="0.25">
      <c r="A303" s="51">
        <f>'A) Base RI'!A304</f>
        <v>5926</v>
      </c>
      <c r="B303" s="484" t="str">
        <f>'A) Base RI'!B304</f>
        <v>Pomy</v>
      </c>
      <c r="C303" s="493">
        <v>405814.40844017087</v>
      </c>
      <c r="D303" s="487">
        <v>131415.50034886628</v>
      </c>
      <c r="E303" s="493">
        <v>0</v>
      </c>
      <c r="F303" s="487">
        <v>0</v>
      </c>
      <c r="G303" s="493">
        <v>0</v>
      </c>
      <c r="H303" s="487">
        <v>537229.90878903714</v>
      </c>
      <c r="I303" s="159">
        <v>22774.42661971831</v>
      </c>
      <c r="J303" s="490">
        <f>'B) D RI'!U304</f>
        <v>23350.72985915493</v>
      </c>
      <c r="K303" s="68">
        <f t="shared" si="60"/>
        <v>23.589173846594168</v>
      </c>
      <c r="L303" s="35">
        <f>'B) D RI'!S304</f>
        <v>71</v>
      </c>
      <c r="M303" s="35">
        <f t="shared" si="62"/>
        <v>47.410826153405836</v>
      </c>
      <c r="N303" s="35">
        <f>'J) Plafonnement effort'!G302+'J) Plafonnement effort'!H302-'K) Plafonnement aide'!I302</f>
        <v>20.515313831678633</v>
      </c>
      <c r="O303" s="133">
        <f t="shared" si="55"/>
        <v>67.926139985084461</v>
      </c>
      <c r="P303" s="49">
        <f t="shared" si="56"/>
        <v>0</v>
      </c>
      <c r="Q303" s="59">
        <f t="shared" si="61"/>
        <v>0</v>
      </c>
      <c r="R303" s="154">
        <f t="shared" si="57"/>
        <v>67.926139985084461</v>
      </c>
      <c r="S303" s="133">
        <f t="shared" si="58"/>
        <v>-3.0738600149155388</v>
      </c>
      <c r="T303" s="153">
        <f t="shared" si="59"/>
        <v>0</v>
      </c>
      <c r="V303" s="13"/>
    </row>
    <row r="304" spans="1:22" x14ac:dyDescent="0.25">
      <c r="A304" s="51">
        <f>'A) Base RI'!A305</f>
        <v>5928</v>
      </c>
      <c r="B304" s="484" t="str">
        <f>'A) Base RI'!B305</f>
        <v>Rovray</v>
      </c>
      <c r="C304" s="493">
        <v>74634.038805688135</v>
      </c>
      <c r="D304" s="487">
        <v>-1054.5013316179393</v>
      </c>
      <c r="E304" s="493">
        <v>0</v>
      </c>
      <c r="F304" s="487">
        <v>0</v>
      </c>
      <c r="G304" s="493">
        <v>0</v>
      </c>
      <c r="H304" s="487">
        <v>73579.537474070195</v>
      </c>
      <c r="I304" s="159">
        <v>4451.7282191780823</v>
      </c>
      <c r="J304" s="490">
        <f>'B) D RI'!U305</f>
        <v>4495.7758904109587</v>
      </c>
      <c r="K304" s="68">
        <f t="shared" si="60"/>
        <v>16.528308524561076</v>
      </c>
      <c r="L304" s="35">
        <f>'B) D RI'!S305</f>
        <v>73</v>
      </c>
      <c r="M304" s="35">
        <f t="shared" si="62"/>
        <v>56.471691475438924</v>
      </c>
      <c r="N304" s="35">
        <f>'J) Plafonnement effort'!G303+'J) Plafonnement effort'!H303-'K) Plafonnement aide'!I303</f>
        <v>9.4199769261204214</v>
      </c>
      <c r="O304" s="133">
        <f t="shared" si="55"/>
        <v>65.891668401559343</v>
      </c>
      <c r="P304" s="49">
        <f t="shared" si="56"/>
        <v>0</v>
      </c>
      <c r="Q304" s="59">
        <f t="shared" si="61"/>
        <v>0</v>
      </c>
      <c r="R304" s="154">
        <f t="shared" si="57"/>
        <v>65.891668401559343</v>
      </c>
      <c r="S304" s="133">
        <f t="shared" si="58"/>
        <v>-7.1083315984406568</v>
      </c>
      <c r="T304" s="153">
        <f t="shared" si="59"/>
        <v>0</v>
      </c>
      <c r="V304" s="13"/>
    </row>
    <row r="305" spans="1:22" x14ac:dyDescent="0.25">
      <c r="A305" s="51">
        <f>'A) Base RI'!A306</f>
        <v>5929</v>
      </c>
      <c r="B305" s="484" t="str">
        <f>'A) Base RI'!B306</f>
        <v>Suchy</v>
      </c>
      <c r="C305" s="493">
        <v>271509.15859155904</v>
      </c>
      <c r="D305" s="487">
        <v>49505.931116492255</v>
      </c>
      <c r="E305" s="493">
        <v>0</v>
      </c>
      <c r="F305" s="487">
        <v>0</v>
      </c>
      <c r="G305" s="493">
        <v>0</v>
      </c>
      <c r="H305" s="487">
        <v>321015.0897080513</v>
      </c>
      <c r="I305" s="159">
        <v>16583.788428571432</v>
      </c>
      <c r="J305" s="490">
        <f>'B) D RI'!U306</f>
        <v>17118.434321428569</v>
      </c>
      <c r="K305" s="68">
        <f t="shared" si="60"/>
        <v>19.357162634503311</v>
      </c>
      <c r="L305" s="35">
        <f>'B) D RI'!S306</f>
        <v>70</v>
      </c>
      <c r="M305" s="35">
        <f t="shared" si="62"/>
        <v>50.642837365496689</v>
      </c>
      <c r="N305" s="35">
        <f>'J) Plafonnement effort'!G304+'J) Plafonnement effort'!H304-'K) Plafonnement aide'!I304</f>
        <v>20.17765108720501</v>
      </c>
      <c r="O305" s="133">
        <f t="shared" si="55"/>
        <v>70.820488452701696</v>
      </c>
      <c r="P305" s="49">
        <f t="shared" si="56"/>
        <v>0</v>
      </c>
      <c r="Q305" s="59">
        <f t="shared" si="61"/>
        <v>0</v>
      </c>
      <c r="R305" s="154">
        <f t="shared" si="57"/>
        <v>70.820488452701696</v>
      </c>
      <c r="S305" s="133">
        <f t="shared" si="58"/>
        <v>0.82048845270169579</v>
      </c>
      <c r="T305" s="153">
        <f t="shared" si="59"/>
        <v>0</v>
      </c>
      <c r="V305" s="13"/>
    </row>
    <row r="306" spans="1:22" x14ac:dyDescent="0.25">
      <c r="A306" s="51">
        <f>'A) Base RI'!A307</f>
        <v>5930</v>
      </c>
      <c r="B306" s="484" t="str">
        <f>'A) Base RI'!B307</f>
        <v>Suscévaz</v>
      </c>
      <c r="C306" s="493">
        <v>84627.737777063303</v>
      </c>
      <c r="D306" s="487">
        <v>778.69271332203061</v>
      </c>
      <c r="E306" s="493">
        <v>0</v>
      </c>
      <c r="F306" s="487">
        <v>0</v>
      </c>
      <c r="G306" s="493">
        <v>0</v>
      </c>
      <c r="H306" s="487">
        <v>85406.430490385334</v>
      </c>
      <c r="I306" s="159">
        <v>4886.5228787878787</v>
      </c>
      <c r="J306" s="490">
        <f>'B) D RI'!U307</f>
        <v>5362.7113888888889</v>
      </c>
      <c r="K306" s="68">
        <f t="shared" si="60"/>
        <v>17.47795571798709</v>
      </c>
      <c r="L306" s="35">
        <f>'B) D RI'!S307</f>
        <v>72</v>
      </c>
      <c r="M306" s="35">
        <f t="shared" si="62"/>
        <v>54.522044282012914</v>
      </c>
      <c r="N306" s="35">
        <f>'J) Plafonnement effort'!G305+'J) Plafonnement effort'!H305-'K) Plafonnement aide'!I305</f>
        <v>13.741065788546628</v>
      </c>
      <c r="O306" s="133">
        <f t="shared" si="55"/>
        <v>68.263110070559549</v>
      </c>
      <c r="P306" s="49">
        <f t="shared" si="56"/>
        <v>0</v>
      </c>
      <c r="Q306" s="59">
        <f t="shared" si="61"/>
        <v>0</v>
      </c>
      <c r="R306" s="154">
        <f t="shared" si="57"/>
        <v>68.263110070559549</v>
      </c>
      <c r="S306" s="133">
        <f t="shared" si="58"/>
        <v>-3.7368899294404514</v>
      </c>
      <c r="T306" s="153">
        <f t="shared" si="59"/>
        <v>0</v>
      </c>
      <c r="V306" s="13"/>
    </row>
    <row r="307" spans="1:22" x14ac:dyDescent="0.25">
      <c r="A307" s="51">
        <f>'A) Base RI'!A308</f>
        <v>5931</v>
      </c>
      <c r="B307" s="484" t="str">
        <f>'A) Base RI'!B308</f>
        <v>Treycovagnes</v>
      </c>
      <c r="C307" s="493">
        <v>254001.31529667889</v>
      </c>
      <c r="D307" s="487">
        <v>181680.97560535531</v>
      </c>
      <c r="E307" s="493">
        <v>0</v>
      </c>
      <c r="F307" s="487">
        <v>0</v>
      </c>
      <c r="G307" s="493">
        <v>0</v>
      </c>
      <c r="H307" s="487">
        <v>435682.2909020342</v>
      </c>
      <c r="I307" s="159">
        <v>16368.774155844154</v>
      </c>
      <c r="J307" s="490">
        <f>'B) D RI'!U308</f>
        <v>13288.6564</v>
      </c>
      <c r="K307" s="68">
        <f t="shared" si="60"/>
        <v>26.616671887215347</v>
      </c>
      <c r="L307" s="35">
        <f>'B) D RI'!S308</f>
        <v>75</v>
      </c>
      <c r="M307" s="35">
        <f t="shared" si="62"/>
        <v>48.383328112784653</v>
      </c>
      <c r="N307" s="35">
        <f>'J) Plafonnement effort'!G306+'J) Plafonnement effort'!H306-'K) Plafonnement aide'!I306</f>
        <v>21.217976564002349</v>
      </c>
      <c r="O307" s="133">
        <f t="shared" si="55"/>
        <v>69.601304676787009</v>
      </c>
      <c r="P307" s="49">
        <f t="shared" si="56"/>
        <v>0</v>
      </c>
      <c r="Q307" s="59">
        <f t="shared" si="61"/>
        <v>0</v>
      </c>
      <c r="R307" s="154">
        <f t="shared" si="57"/>
        <v>69.601304676787009</v>
      </c>
      <c r="S307" s="133">
        <f t="shared" si="58"/>
        <v>-5.3986953232129906</v>
      </c>
      <c r="T307" s="153">
        <f t="shared" si="59"/>
        <v>0</v>
      </c>
      <c r="V307" s="13"/>
    </row>
    <row r="308" spans="1:22" x14ac:dyDescent="0.25">
      <c r="A308" s="51">
        <f>'A) Base RI'!A309</f>
        <v>5932</v>
      </c>
      <c r="B308" s="484" t="str">
        <f>'A) Base RI'!B309</f>
        <v>Ursins</v>
      </c>
      <c r="C308" s="493">
        <v>102000.52287775814</v>
      </c>
      <c r="D308" s="487">
        <v>27088.811553328589</v>
      </c>
      <c r="E308" s="493">
        <v>0</v>
      </c>
      <c r="F308" s="487">
        <v>0</v>
      </c>
      <c r="G308" s="493">
        <v>0</v>
      </c>
      <c r="H308" s="487">
        <v>129089.33443108673</v>
      </c>
      <c r="I308" s="159">
        <v>6366.2738461538456</v>
      </c>
      <c r="J308" s="490">
        <f>'B) D RI'!U309</f>
        <v>6858.6807692307693</v>
      </c>
      <c r="K308" s="68">
        <f t="shared" si="60"/>
        <v>20.27706277653693</v>
      </c>
      <c r="L308" s="35">
        <f>'B) D RI'!S309</f>
        <v>78</v>
      </c>
      <c r="M308" s="35">
        <f t="shared" si="62"/>
        <v>57.72293722346307</v>
      </c>
      <c r="N308" s="35">
        <f>'J) Plafonnement effort'!G307+'J) Plafonnement effort'!H307-'K) Plafonnement aide'!I307</f>
        <v>21.184199426094636</v>
      </c>
      <c r="O308" s="133">
        <f t="shared" si="55"/>
        <v>78.907136649557714</v>
      </c>
      <c r="P308" s="49">
        <f t="shared" si="56"/>
        <v>0</v>
      </c>
      <c r="Q308" s="59">
        <f t="shared" si="61"/>
        <v>0</v>
      </c>
      <c r="R308" s="154">
        <f t="shared" si="57"/>
        <v>78.907136649557714</v>
      </c>
      <c r="S308" s="133">
        <f t="shared" si="58"/>
        <v>0.90713664955771378</v>
      </c>
      <c r="T308" s="153">
        <f t="shared" si="59"/>
        <v>0</v>
      </c>
      <c r="V308" s="13"/>
    </row>
    <row r="309" spans="1:22" x14ac:dyDescent="0.25">
      <c r="A309" s="51">
        <f>'A) Base RI'!A310</f>
        <v>5933</v>
      </c>
      <c r="B309" s="484" t="str">
        <f>'A) Base RI'!B310</f>
        <v>Valeyres-sous-Montagny</v>
      </c>
      <c r="C309" s="493">
        <v>334089.46041869593</v>
      </c>
      <c r="D309" s="487">
        <v>71613.020185391128</v>
      </c>
      <c r="E309" s="493">
        <v>0</v>
      </c>
      <c r="F309" s="487">
        <v>0</v>
      </c>
      <c r="G309" s="493">
        <v>0</v>
      </c>
      <c r="H309" s="487">
        <v>405702.48060408706</v>
      </c>
      <c r="I309" s="159">
        <v>19578.46263888889</v>
      </c>
      <c r="J309" s="490">
        <f>'B) D RI'!U310</f>
        <v>20763.196805555559</v>
      </c>
      <c r="K309" s="68">
        <f t="shared" si="60"/>
        <v>20.721876282473595</v>
      </c>
      <c r="L309" s="35">
        <f>'B) D RI'!S310</f>
        <v>72</v>
      </c>
      <c r="M309" s="35">
        <f t="shared" si="62"/>
        <v>51.278123717526405</v>
      </c>
      <c r="N309" s="35">
        <f>'J) Plafonnement effort'!G308+'J) Plafonnement effort'!H308-'K) Plafonnement aide'!I308</f>
        <v>9.5855347337636978</v>
      </c>
      <c r="O309" s="133">
        <f t="shared" si="55"/>
        <v>60.863658451290107</v>
      </c>
      <c r="P309" s="49">
        <f t="shared" si="56"/>
        <v>0</v>
      </c>
      <c r="Q309" s="59">
        <f t="shared" si="61"/>
        <v>0</v>
      </c>
      <c r="R309" s="154">
        <f t="shared" si="57"/>
        <v>60.863658451290107</v>
      </c>
      <c r="S309" s="133">
        <f t="shared" si="58"/>
        <v>-11.136341548709893</v>
      </c>
      <c r="T309" s="153">
        <f t="shared" si="59"/>
        <v>0</v>
      </c>
      <c r="V309" s="13"/>
    </row>
    <row r="310" spans="1:22" x14ac:dyDescent="0.25">
      <c r="A310" s="51">
        <f>'A) Base RI'!A311</f>
        <v>5934</v>
      </c>
      <c r="B310" s="484" t="str">
        <f>'A) Base RI'!B311</f>
        <v>Valeyres-sous-Ursins</v>
      </c>
      <c r="C310" s="493">
        <v>118602.91121872519</v>
      </c>
      <c r="D310" s="487">
        <v>2238.2470647104783</v>
      </c>
      <c r="E310" s="493">
        <v>0</v>
      </c>
      <c r="F310" s="487">
        <v>0</v>
      </c>
      <c r="G310" s="493">
        <v>0</v>
      </c>
      <c r="H310" s="487">
        <v>120841.15828343567</v>
      </c>
      <c r="I310" s="159">
        <v>6856.0722784810141</v>
      </c>
      <c r="J310" s="490">
        <f>'B) D RI'!U311</f>
        <v>6895.611012658228</v>
      </c>
      <c r="K310" s="68">
        <f t="shared" si="60"/>
        <v>17.625420703733951</v>
      </c>
      <c r="L310" s="35">
        <f>'B) D RI'!S311</f>
        <v>79</v>
      </c>
      <c r="M310" s="35">
        <f t="shared" si="62"/>
        <v>61.374579296266049</v>
      </c>
      <c r="N310" s="35">
        <f>'J) Plafonnement effort'!G309+'J) Plafonnement effort'!H309-'K) Plafonnement aide'!I309</f>
        <v>15.790826096678069</v>
      </c>
      <c r="O310" s="133">
        <f t="shared" si="55"/>
        <v>77.165405392944123</v>
      </c>
      <c r="P310" s="49">
        <f t="shared" si="56"/>
        <v>0</v>
      </c>
      <c r="Q310" s="59">
        <f t="shared" si="61"/>
        <v>0</v>
      </c>
      <c r="R310" s="154">
        <f t="shared" si="57"/>
        <v>77.165405392944123</v>
      </c>
      <c r="S310" s="133">
        <f t="shared" si="58"/>
        <v>-1.8345946070558767</v>
      </c>
      <c r="T310" s="153">
        <f t="shared" si="59"/>
        <v>0</v>
      </c>
      <c r="V310" s="13"/>
    </row>
    <row r="311" spans="1:22" x14ac:dyDescent="0.25">
      <c r="A311" s="51">
        <f>'A) Base RI'!A312</f>
        <v>5935</v>
      </c>
      <c r="B311" s="484" t="str">
        <f>'A) Base RI'!B312</f>
        <v>Villars-Epeney</v>
      </c>
      <c r="C311" s="493">
        <v>72424.528688540682</v>
      </c>
      <c r="D311" s="487">
        <v>63144.413020958847</v>
      </c>
      <c r="E311" s="493">
        <v>0</v>
      </c>
      <c r="F311" s="487">
        <v>0</v>
      </c>
      <c r="G311" s="493">
        <v>0</v>
      </c>
      <c r="H311" s="487">
        <v>135568.94170949952</v>
      </c>
      <c r="I311" s="159">
        <v>4252.6353333333336</v>
      </c>
      <c r="J311" s="490">
        <f>'B) D RI'!U312</f>
        <v>5507.9496666666664</v>
      </c>
      <c r="K311" s="68">
        <f t="shared" si="60"/>
        <v>31.878807159144966</v>
      </c>
      <c r="L311" s="35">
        <f>'B) D RI'!S312</f>
        <v>60</v>
      </c>
      <c r="M311" s="35">
        <f t="shared" si="62"/>
        <v>28.121192840855034</v>
      </c>
      <c r="N311" s="35">
        <f>'J) Plafonnement effort'!G310+'J) Plafonnement effort'!H310-'K) Plafonnement aide'!I310</f>
        <v>29.692250505138755</v>
      </c>
      <c r="O311" s="133">
        <f t="shared" si="55"/>
        <v>57.81344334599379</v>
      </c>
      <c r="P311" s="49">
        <f t="shared" si="56"/>
        <v>0</v>
      </c>
      <c r="Q311" s="59">
        <f t="shared" si="61"/>
        <v>0</v>
      </c>
      <c r="R311" s="154">
        <f t="shared" si="57"/>
        <v>57.81344334599379</v>
      </c>
      <c r="S311" s="133">
        <f t="shared" si="58"/>
        <v>-2.1865566540062105</v>
      </c>
      <c r="T311" s="153">
        <f t="shared" si="59"/>
        <v>0</v>
      </c>
      <c r="V311" s="13"/>
    </row>
    <row r="312" spans="1:22" x14ac:dyDescent="0.25">
      <c r="A312" s="51">
        <f>'A) Base RI'!A313</f>
        <v>5937</v>
      </c>
      <c r="B312" s="484" t="str">
        <f>'A) Base RI'!B313</f>
        <v>Vugelles-La Mothe</v>
      </c>
      <c r="C312" s="493">
        <v>40660.181834418734</v>
      </c>
      <c r="D312" s="487">
        <v>-42225.829673448425</v>
      </c>
      <c r="E312" s="493">
        <v>0</v>
      </c>
      <c r="F312" s="487">
        <v>0</v>
      </c>
      <c r="G312" s="493">
        <v>0</v>
      </c>
      <c r="H312" s="487">
        <v>-1565.6478390296907</v>
      </c>
      <c r="I312" s="159">
        <v>2272.9823469387752</v>
      </c>
      <c r="J312" s="490">
        <f>'B) D RI'!U313</f>
        <v>2890.9266938775513</v>
      </c>
      <c r="K312" s="68">
        <f t="shared" si="60"/>
        <v>-0.68880774245267939</v>
      </c>
      <c r="L312" s="35">
        <f>'B) D RI'!S313</f>
        <v>70</v>
      </c>
      <c r="M312" s="35">
        <f t="shared" si="62"/>
        <v>70.688807742452681</v>
      </c>
      <c r="N312" s="35">
        <f>'J) Plafonnement effort'!G311+'J) Plafonnement effort'!H311-'K) Plafonnement aide'!I311</f>
        <v>4.6156408712930261</v>
      </c>
      <c r="O312" s="133">
        <f t="shared" si="55"/>
        <v>75.304448613745706</v>
      </c>
      <c r="P312" s="49">
        <f t="shared" si="56"/>
        <v>0</v>
      </c>
      <c r="Q312" s="59">
        <f t="shared" si="61"/>
        <v>0</v>
      </c>
      <c r="R312" s="154">
        <f t="shared" si="57"/>
        <v>75.304448613745706</v>
      </c>
      <c r="S312" s="133">
        <f t="shared" si="58"/>
        <v>5.3044486137457056</v>
      </c>
      <c r="T312" s="153">
        <f t="shared" si="59"/>
        <v>0</v>
      </c>
      <c r="V312" s="13"/>
    </row>
    <row r="313" spans="1:22" x14ac:dyDescent="0.25">
      <c r="A313" s="51">
        <f>'A) Base RI'!A314</f>
        <v>5938</v>
      </c>
      <c r="B313" s="484" t="str">
        <f>'A) Base RI'!B314</f>
        <v>Yverdon-les-Bains</v>
      </c>
      <c r="C313" s="493">
        <v>14901085.042176116</v>
      </c>
      <c r="D313" s="487">
        <v>-21245923.153387148</v>
      </c>
      <c r="E313" s="493">
        <v>1893990.5220607065</v>
      </c>
      <c r="F313" s="487">
        <v>0</v>
      </c>
      <c r="G313" s="493">
        <v>0</v>
      </c>
      <c r="H313" s="487">
        <v>-4450847.5891503254</v>
      </c>
      <c r="I313" s="159">
        <v>809245.0162091502</v>
      </c>
      <c r="J313" s="490">
        <f>'B) D RI'!U314</f>
        <v>801914.63490196085</v>
      </c>
      <c r="K313" s="68">
        <f t="shared" si="60"/>
        <v>-5.4999999999999991</v>
      </c>
      <c r="L313" s="35">
        <f>'B) D RI'!S314</f>
        <v>76.5</v>
      </c>
      <c r="M313" s="35">
        <f t="shared" si="62"/>
        <v>82</v>
      </c>
      <c r="N313" s="35">
        <f>'J) Plafonnement effort'!G312+'J) Plafonnement effort'!H312-'K) Plafonnement aide'!I312</f>
        <v>-15.736320848269179</v>
      </c>
      <c r="O313" s="133">
        <f t="shared" si="55"/>
        <v>66.263679151730827</v>
      </c>
      <c r="P313" s="49">
        <f t="shared" si="56"/>
        <v>0</v>
      </c>
      <c r="Q313" s="59">
        <f t="shared" si="61"/>
        <v>0</v>
      </c>
      <c r="R313" s="154">
        <f t="shared" si="57"/>
        <v>66.263679151730827</v>
      </c>
      <c r="S313" s="133">
        <f t="shared" si="58"/>
        <v>-10.236320848269173</v>
      </c>
      <c r="T313" s="153">
        <f t="shared" si="59"/>
        <v>0</v>
      </c>
      <c r="V313" s="13"/>
    </row>
    <row r="314" spans="1:22" x14ac:dyDescent="0.25">
      <c r="A314" s="52">
        <f>'A) Base RI'!A315</f>
        <v>5939</v>
      </c>
      <c r="B314" s="485" t="str">
        <f>'A) Base RI'!B315</f>
        <v>Yvonand</v>
      </c>
      <c r="C314" s="493">
        <v>1741210.6191769037</v>
      </c>
      <c r="D314" s="487">
        <v>-426254.23403404769</v>
      </c>
      <c r="E314" s="493">
        <v>0</v>
      </c>
      <c r="F314" s="487">
        <v>0</v>
      </c>
      <c r="G314" s="493">
        <v>0</v>
      </c>
      <c r="H314" s="487">
        <v>1314956.385142856</v>
      </c>
      <c r="I314" s="494">
        <v>88261.067808219188</v>
      </c>
      <c r="J314" s="491">
        <f>'B) D RI'!U315</f>
        <v>93413.424931506845</v>
      </c>
      <c r="K314" s="68">
        <f t="shared" si="60"/>
        <v>14.898487156308827</v>
      </c>
      <c r="L314" s="94">
        <f>'B) D RI'!S315</f>
        <v>73</v>
      </c>
      <c r="M314" s="94">
        <f t="shared" si="62"/>
        <v>58.101512843691175</v>
      </c>
      <c r="N314" s="94">
        <f>'J) Plafonnement effort'!G313+'J) Plafonnement effort'!H313-'K) Plafonnement aide'!I313</f>
        <v>13.477206371580419</v>
      </c>
      <c r="O314" s="135">
        <f t="shared" si="55"/>
        <v>71.57871921527159</v>
      </c>
      <c r="P314" s="49">
        <f t="shared" si="56"/>
        <v>0</v>
      </c>
      <c r="Q314" s="59">
        <f t="shared" si="61"/>
        <v>0</v>
      </c>
      <c r="R314" s="155">
        <f t="shared" si="57"/>
        <v>71.57871921527159</v>
      </c>
      <c r="S314" s="135">
        <f t="shared" si="58"/>
        <v>-1.4212807847284097</v>
      </c>
      <c r="T314" s="153">
        <f t="shared" si="59"/>
        <v>0</v>
      </c>
      <c r="V314" s="13"/>
    </row>
    <row r="315" spans="1:22" x14ac:dyDescent="0.25">
      <c r="A315" s="32"/>
      <c r="B315" s="126">
        <f>COUNTA(B6:B314)</f>
        <v>309</v>
      </c>
      <c r="C315" s="495">
        <f>SUM(C6:C314)</f>
        <v>740601543.00000072</v>
      </c>
      <c r="D315" s="160">
        <f t="shared" ref="D315:J315" si="63">SUM(D6:D314)</f>
        <v>135088107.09945101</v>
      </c>
      <c r="E315" s="160">
        <f t="shared" si="63"/>
        <v>4713108.6170783248</v>
      </c>
      <c r="F315" s="160">
        <f t="shared" si="63"/>
        <v>-2014242.2475740064</v>
      </c>
      <c r="G315" s="160">
        <f t="shared" si="63"/>
        <v>-68870.333007649868</v>
      </c>
      <c r="H315" s="160">
        <f t="shared" si="63"/>
        <v>878319646.13594747</v>
      </c>
      <c r="I315" s="486">
        <f t="shared" si="63"/>
        <v>36375577.514750503</v>
      </c>
      <c r="J315" s="102">
        <f t="shared" si="63"/>
        <v>36767173.359367341</v>
      </c>
      <c r="K315" s="65">
        <f>H315/I315</f>
        <v>24.145861210857309</v>
      </c>
      <c r="L315" s="21">
        <f>'B) D RI'!S316</f>
        <v>68.000134763828029</v>
      </c>
      <c r="M315" s="21"/>
      <c r="N315" s="21">
        <f>SUM(N6:N314)</f>
        <v>6229.4688718903917</v>
      </c>
      <c r="O315" s="103"/>
      <c r="P315" s="122"/>
      <c r="Q315" s="39">
        <f>SUM(Q6:Q314)</f>
        <v>-6324.0122778541308</v>
      </c>
      <c r="R315" s="125"/>
      <c r="S315" s="103"/>
      <c r="T315" s="157"/>
    </row>
    <row r="316" spans="1:22" x14ac:dyDescent="0.25">
      <c r="T316" s="24"/>
    </row>
    <row r="317" spans="1:22" s="6" customFormat="1" x14ac:dyDescent="0.25">
      <c r="K317" s="302"/>
      <c r="N317" s="16"/>
    </row>
    <row r="320" spans="1:22" s="6" customFormat="1" x14ac:dyDescent="0.25">
      <c r="K320" s="302"/>
      <c r="M320" s="302"/>
      <c r="N320" s="16"/>
      <c r="O320" s="302"/>
      <c r="P320" s="302"/>
    </row>
  </sheetData>
  <mergeCells count="17">
    <mergeCell ref="C3:I3"/>
    <mergeCell ref="C4:C5"/>
    <mergeCell ref="B4:B5"/>
    <mergeCell ref="A4:A5"/>
    <mergeCell ref="K4:K5"/>
    <mergeCell ref="E4:E5"/>
    <mergeCell ref="D4:D5"/>
    <mergeCell ref="S4:S5"/>
    <mergeCell ref="R4:R5"/>
    <mergeCell ref="Q4:Q5"/>
    <mergeCell ref="O4:O5"/>
    <mergeCell ref="N4:N5"/>
    <mergeCell ref="M4:M5"/>
    <mergeCell ref="L4:L5"/>
    <mergeCell ref="H4:H5"/>
    <mergeCell ref="G4:G5"/>
    <mergeCell ref="F4:F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00B050"/>
    <pageSetUpPr fitToPage="1"/>
  </sheetPr>
  <dimension ref="A1:V317"/>
  <sheetViews>
    <sheetView workbookViewId="0"/>
  </sheetViews>
  <sheetFormatPr baseColWidth="10" defaultColWidth="9.375" defaultRowHeight="15" x14ac:dyDescent="0.25"/>
  <cols>
    <col min="1" max="1" width="8.125" style="225" customWidth="1"/>
    <col min="2" max="2" width="17.875" style="225" bestFit="1" customWidth="1"/>
    <col min="3" max="3" width="9.875" style="225" customWidth="1"/>
    <col min="4" max="4" width="10.5" style="225" customWidth="1"/>
    <col min="5" max="5" width="5.625" style="225" bestFit="1" customWidth="1"/>
    <col min="6" max="6" width="12" style="225" bestFit="1" customWidth="1"/>
    <col min="7" max="7" width="10.875" style="225" bestFit="1" customWidth="1"/>
    <col min="8" max="8" width="12" style="225" bestFit="1" customWidth="1"/>
    <col min="9" max="9" width="13.625" style="225" customWidth="1"/>
    <col min="10" max="10" width="11.375" style="225" bestFit="1" customWidth="1"/>
    <col min="11" max="11" width="11.75" style="225" customWidth="1"/>
    <col min="12" max="12" width="11.375" style="225" bestFit="1" customWidth="1"/>
    <col min="13" max="13" width="9.75" style="225" bestFit="1" customWidth="1"/>
    <col min="14" max="14" width="11.375" style="225" bestFit="1" customWidth="1"/>
    <col min="15" max="15" width="10.75" style="225" bestFit="1" customWidth="1"/>
    <col min="16" max="16" width="13.125" style="227" customWidth="1"/>
    <col min="17" max="17" width="9.375" style="226"/>
    <col min="18" max="18" width="9.875" style="227" customWidth="1"/>
    <col min="19" max="19" width="11.75" style="227" bestFit="1" customWidth="1"/>
    <col min="20" max="22" width="9.375" style="226"/>
    <col min="23" max="249" width="9.375" style="225"/>
    <col min="250" max="250" width="5" style="225" customWidth="1"/>
    <col min="251" max="251" width="17.875" style="225" bestFit="1" customWidth="1"/>
    <col min="252" max="252" width="9.875" style="225" customWidth="1"/>
    <col min="253" max="253" width="8.875" style="225" customWidth="1"/>
    <col min="254" max="254" width="7.375" style="225" bestFit="1" customWidth="1"/>
    <col min="255" max="255" width="10.125" style="225" bestFit="1" customWidth="1"/>
    <col min="256" max="256" width="9.375" style="225"/>
    <col min="257" max="257" width="10.125" style="225" bestFit="1" customWidth="1"/>
    <col min="258" max="258" width="10.75" style="225" customWidth="1"/>
    <col min="259" max="261" width="9.375" style="225"/>
    <col min="262" max="263" width="10.75" style="225" customWidth="1"/>
    <col min="264" max="268" width="9.375" style="225"/>
    <col min="269" max="269" width="1.625" style="225" bestFit="1" customWidth="1"/>
    <col min="270" max="270" width="9.375" style="225"/>
    <col min="271" max="271" width="8.875" style="225" customWidth="1"/>
    <col min="272" max="272" width="13.125" style="225" customWidth="1"/>
    <col min="273" max="273" width="9.375" style="225"/>
    <col min="274" max="274" width="9.875" style="225" customWidth="1"/>
    <col min="275" max="275" width="11.75" style="225" bestFit="1" customWidth="1"/>
    <col min="276" max="505" width="9.375" style="225"/>
    <col min="506" max="506" width="5" style="225" customWidth="1"/>
    <col min="507" max="507" width="17.875" style="225" bestFit="1" customWidth="1"/>
    <col min="508" max="508" width="9.875" style="225" customWidth="1"/>
    <col min="509" max="509" width="8.875" style="225" customWidth="1"/>
    <col min="510" max="510" width="7.375" style="225" bestFit="1" customWidth="1"/>
    <col min="511" max="511" width="10.125" style="225" bestFit="1" customWidth="1"/>
    <col min="512" max="512" width="9.375" style="225"/>
    <col min="513" max="513" width="10.125" style="225" bestFit="1" customWidth="1"/>
    <col min="514" max="514" width="10.75" style="225" customWidth="1"/>
    <col min="515" max="517" width="9.375" style="225"/>
    <col min="518" max="519" width="10.75" style="225" customWidth="1"/>
    <col min="520" max="524" width="9.375" style="225"/>
    <col min="525" max="525" width="1.625" style="225" bestFit="1" customWidth="1"/>
    <col min="526" max="526" width="9.375" style="225"/>
    <col min="527" max="527" width="8.875" style="225" customWidth="1"/>
    <col min="528" max="528" width="13.125" style="225" customWidth="1"/>
    <col min="529" max="529" width="9.375" style="225"/>
    <col min="530" max="530" width="9.875" style="225" customWidth="1"/>
    <col min="531" max="531" width="11.75" style="225" bestFit="1" customWidth="1"/>
    <col min="532" max="761" width="9.375" style="225"/>
    <col min="762" max="762" width="5" style="225" customWidth="1"/>
    <col min="763" max="763" width="17.875" style="225" bestFit="1" customWidth="1"/>
    <col min="764" max="764" width="9.875" style="225" customWidth="1"/>
    <col min="765" max="765" width="8.875" style="225" customWidth="1"/>
    <col min="766" max="766" width="7.375" style="225" bestFit="1" customWidth="1"/>
    <col min="767" max="767" width="10.125" style="225" bestFit="1" customWidth="1"/>
    <col min="768" max="768" width="9.375" style="225"/>
    <col min="769" max="769" width="10.125" style="225" bestFit="1" customWidth="1"/>
    <col min="770" max="770" width="10.75" style="225" customWidth="1"/>
    <col min="771" max="773" width="9.375" style="225"/>
    <col min="774" max="775" width="10.75" style="225" customWidth="1"/>
    <col min="776" max="780" width="9.375" style="225"/>
    <col min="781" max="781" width="1.625" style="225" bestFit="1" customWidth="1"/>
    <col min="782" max="782" width="9.375" style="225"/>
    <col min="783" max="783" width="8.875" style="225" customWidth="1"/>
    <col min="784" max="784" width="13.125" style="225" customWidth="1"/>
    <col min="785" max="785" width="9.375" style="225"/>
    <col min="786" max="786" width="9.875" style="225" customWidth="1"/>
    <col min="787" max="787" width="11.75" style="225" bestFit="1" customWidth="1"/>
    <col min="788" max="1017" width="9.375" style="225"/>
    <col min="1018" max="1018" width="5" style="225" customWidth="1"/>
    <col min="1019" max="1019" width="17.875" style="225" bestFit="1" customWidth="1"/>
    <col min="1020" max="1020" width="9.875" style="225" customWidth="1"/>
    <col min="1021" max="1021" width="8.875" style="225" customWidth="1"/>
    <col min="1022" max="1022" width="7.375" style="225" bestFit="1" customWidth="1"/>
    <col min="1023" max="1023" width="10.125" style="225" bestFit="1" customWidth="1"/>
    <col min="1024" max="1024" width="9.375" style="225"/>
    <col min="1025" max="1025" width="10.125" style="225" bestFit="1" customWidth="1"/>
    <col min="1026" max="1026" width="10.75" style="225" customWidth="1"/>
    <col min="1027" max="1029" width="9.375" style="225"/>
    <col min="1030" max="1031" width="10.75" style="225" customWidth="1"/>
    <col min="1032" max="1036" width="9.375" style="225"/>
    <col min="1037" max="1037" width="1.625" style="225" bestFit="1" customWidth="1"/>
    <col min="1038" max="1038" width="9.375" style="225"/>
    <col min="1039" max="1039" width="8.875" style="225" customWidth="1"/>
    <col min="1040" max="1040" width="13.125" style="225" customWidth="1"/>
    <col min="1041" max="1041" width="9.375" style="225"/>
    <col min="1042" max="1042" width="9.875" style="225" customWidth="1"/>
    <col min="1043" max="1043" width="11.75" style="225" bestFit="1" customWidth="1"/>
    <col min="1044" max="1273" width="9.375" style="225"/>
    <col min="1274" max="1274" width="5" style="225" customWidth="1"/>
    <col min="1275" max="1275" width="17.875" style="225" bestFit="1" customWidth="1"/>
    <col min="1276" max="1276" width="9.875" style="225" customWidth="1"/>
    <col min="1277" max="1277" width="8.875" style="225" customWidth="1"/>
    <col min="1278" max="1278" width="7.375" style="225" bestFit="1" customWidth="1"/>
    <col min="1279" max="1279" width="10.125" style="225" bestFit="1" customWidth="1"/>
    <col min="1280" max="1280" width="9.375" style="225"/>
    <col min="1281" max="1281" width="10.125" style="225" bestFit="1" customWidth="1"/>
    <col min="1282" max="1282" width="10.75" style="225" customWidth="1"/>
    <col min="1283" max="1285" width="9.375" style="225"/>
    <col min="1286" max="1287" width="10.75" style="225" customWidth="1"/>
    <col min="1288" max="1292" width="9.375" style="225"/>
    <col min="1293" max="1293" width="1.625" style="225" bestFit="1" customWidth="1"/>
    <col min="1294" max="1294" width="9.375" style="225"/>
    <col min="1295" max="1295" width="8.875" style="225" customWidth="1"/>
    <col min="1296" max="1296" width="13.125" style="225" customWidth="1"/>
    <col min="1297" max="1297" width="9.375" style="225"/>
    <col min="1298" max="1298" width="9.875" style="225" customWidth="1"/>
    <col min="1299" max="1299" width="11.75" style="225" bestFit="1" customWidth="1"/>
    <col min="1300" max="1529" width="9.375" style="225"/>
    <col min="1530" max="1530" width="5" style="225" customWidth="1"/>
    <col min="1531" max="1531" width="17.875" style="225" bestFit="1" customWidth="1"/>
    <col min="1532" max="1532" width="9.875" style="225" customWidth="1"/>
    <col min="1533" max="1533" width="8.875" style="225" customWidth="1"/>
    <col min="1534" max="1534" width="7.375" style="225" bestFit="1" customWidth="1"/>
    <col min="1535" max="1535" width="10.125" style="225" bestFit="1" customWidth="1"/>
    <col min="1536" max="1536" width="9.375" style="225"/>
    <col min="1537" max="1537" width="10.125" style="225" bestFit="1" customWidth="1"/>
    <col min="1538" max="1538" width="10.75" style="225" customWidth="1"/>
    <col min="1539" max="1541" width="9.375" style="225"/>
    <col min="1542" max="1543" width="10.75" style="225" customWidth="1"/>
    <col min="1544" max="1548" width="9.375" style="225"/>
    <col min="1549" max="1549" width="1.625" style="225" bestFit="1" customWidth="1"/>
    <col min="1550" max="1550" width="9.375" style="225"/>
    <col min="1551" max="1551" width="8.875" style="225" customWidth="1"/>
    <col min="1552" max="1552" width="13.125" style="225" customWidth="1"/>
    <col min="1553" max="1553" width="9.375" style="225"/>
    <col min="1554" max="1554" width="9.875" style="225" customWidth="1"/>
    <col min="1555" max="1555" width="11.75" style="225" bestFit="1" customWidth="1"/>
    <col min="1556" max="1785" width="9.375" style="225"/>
    <col min="1786" max="1786" width="5" style="225" customWidth="1"/>
    <col min="1787" max="1787" width="17.875" style="225" bestFit="1" customWidth="1"/>
    <col min="1788" max="1788" width="9.875" style="225" customWidth="1"/>
    <col min="1789" max="1789" width="8.875" style="225" customWidth="1"/>
    <col min="1790" max="1790" width="7.375" style="225" bestFit="1" customWidth="1"/>
    <col min="1791" max="1791" width="10.125" style="225" bestFit="1" customWidth="1"/>
    <col min="1792" max="1792" width="9.375" style="225"/>
    <col min="1793" max="1793" width="10.125" style="225" bestFit="1" customWidth="1"/>
    <col min="1794" max="1794" width="10.75" style="225" customWidth="1"/>
    <col min="1795" max="1797" width="9.375" style="225"/>
    <col min="1798" max="1799" width="10.75" style="225" customWidth="1"/>
    <col min="1800" max="1804" width="9.375" style="225"/>
    <col min="1805" max="1805" width="1.625" style="225" bestFit="1" customWidth="1"/>
    <col min="1806" max="1806" width="9.375" style="225"/>
    <col min="1807" max="1807" width="8.875" style="225" customWidth="1"/>
    <col min="1808" max="1808" width="13.125" style="225" customWidth="1"/>
    <col min="1809" max="1809" width="9.375" style="225"/>
    <col min="1810" max="1810" width="9.875" style="225" customWidth="1"/>
    <col min="1811" max="1811" width="11.75" style="225" bestFit="1" customWidth="1"/>
    <col min="1812" max="2041" width="9.375" style="225"/>
    <col min="2042" max="2042" width="5" style="225" customWidth="1"/>
    <col min="2043" max="2043" width="17.875" style="225" bestFit="1" customWidth="1"/>
    <col min="2044" max="2044" width="9.875" style="225" customWidth="1"/>
    <col min="2045" max="2045" width="8.875" style="225" customWidth="1"/>
    <col min="2046" max="2046" width="7.375" style="225" bestFit="1" customWidth="1"/>
    <col min="2047" max="2047" width="10.125" style="225" bestFit="1" customWidth="1"/>
    <col min="2048" max="2048" width="9.375" style="225"/>
    <col min="2049" max="2049" width="10.125" style="225" bestFit="1" customWidth="1"/>
    <col min="2050" max="2050" width="10.75" style="225" customWidth="1"/>
    <col min="2051" max="2053" width="9.375" style="225"/>
    <col min="2054" max="2055" width="10.75" style="225" customWidth="1"/>
    <col min="2056" max="2060" width="9.375" style="225"/>
    <col min="2061" max="2061" width="1.625" style="225" bestFit="1" customWidth="1"/>
    <col min="2062" max="2062" width="9.375" style="225"/>
    <col min="2063" max="2063" width="8.875" style="225" customWidth="1"/>
    <col min="2064" max="2064" width="13.125" style="225" customWidth="1"/>
    <col min="2065" max="2065" width="9.375" style="225"/>
    <col min="2066" max="2066" width="9.875" style="225" customWidth="1"/>
    <col min="2067" max="2067" width="11.75" style="225" bestFit="1" customWidth="1"/>
    <col min="2068" max="2297" width="9.375" style="225"/>
    <col min="2298" max="2298" width="5" style="225" customWidth="1"/>
    <col min="2299" max="2299" width="17.875" style="225" bestFit="1" customWidth="1"/>
    <col min="2300" max="2300" width="9.875" style="225" customWidth="1"/>
    <col min="2301" max="2301" width="8.875" style="225" customWidth="1"/>
    <col min="2302" max="2302" width="7.375" style="225" bestFit="1" customWidth="1"/>
    <col min="2303" max="2303" width="10.125" style="225" bestFit="1" customWidth="1"/>
    <col min="2304" max="2304" width="9.375" style="225"/>
    <col min="2305" max="2305" width="10.125" style="225" bestFit="1" customWidth="1"/>
    <col min="2306" max="2306" width="10.75" style="225" customWidth="1"/>
    <col min="2307" max="2309" width="9.375" style="225"/>
    <col min="2310" max="2311" width="10.75" style="225" customWidth="1"/>
    <col min="2312" max="2316" width="9.375" style="225"/>
    <col min="2317" max="2317" width="1.625" style="225" bestFit="1" customWidth="1"/>
    <col min="2318" max="2318" width="9.375" style="225"/>
    <col min="2319" max="2319" width="8.875" style="225" customWidth="1"/>
    <col min="2320" max="2320" width="13.125" style="225" customWidth="1"/>
    <col min="2321" max="2321" width="9.375" style="225"/>
    <col min="2322" max="2322" width="9.875" style="225" customWidth="1"/>
    <col min="2323" max="2323" width="11.75" style="225" bestFit="1" customWidth="1"/>
    <col min="2324" max="2553" width="9.375" style="225"/>
    <col min="2554" max="2554" width="5" style="225" customWidth="1"/>
    <col min="2555" max="2555" width="17.875" style="225" bestFit="1" customWidth="1"/>
    <col min="2556" max="2556" width="9.875" style="225" customWidth="1"/>
    <col min="2557" max="2557" width="8.875" style="225" customWidth="1"/>
    <col min="2558" max="2558" width="7.375" style="225" bestFit="1" customWidth="1"/>
    <col min="2559" max="2559" width="10.125" style="225" bestFit="1" customWidth="1"/>
    <col min="2560" max="2560" width="9.375" style="225"/>
    <col min="2561" max="2561" width="10.125" style="225" bestFit="1" customWidth="1"/>
    <col min="2562" max="2562" width="10.75" style="225" customWidth="1"/>
    <col min="2563" max="2565" width="9.375" style="225"/>
    <col min="2566" max="2567" width="10.75" style="225" customWidth="1"/>
    <col min="2568" max="2572" width="9.375" style="225"/>
    <col min="2573" max="2573" width="1.625" style="225" bestFit="1" customWidth="1"/>
    <col min="2574" max="2574" width="9.375" style="225"/>
    <col min="2575" max="2575" width="8.875" style="225" customWidth="1"/>
    <col min="2576" max="2576" width="13.125" style="225" customWidth="1"/>
    <col min="2577" max="2577" width="9.375" style="225"/>
    <col min="2578" max="2578" width="9.875" style="225" customWidth="1"/>
    <col min="2579" max="2579" width="11.75" style="225" bestFit="1" customWidth="1"/>
    <col min="2580" max="2809" width="9.375" style="225"/>
    <col min="2810" max="2810" width="5" style="225" customWidth="1"/>
    <col min="2811" max="2811" width="17.875" style="225" bestFit="1" customWidth="1"/>
    <col min="2812" max="2812" width="9.875" style="225" customWidth="1"/>
    <col min="2813" max="2813" width="8.875" style="225" customWidth="1"/>
    <col min="2814" max="2814" width="7.375" style="225" bestFit="1" customWidth="1"/>
    <col min="2815" max="2815" width="10.125" style="225" bestFit="1" customWidth="1"/>
    <col min="2816" max="2816" width="9.375" style="225"/>
    <col min="2817" max="2817" width="10.125" style="225" bestFit="1" customWidth="1"/>
    <col min="2818" max="2818" width="10.75" style="225" customWidth="1"/>
    <col min="2819" max="2821" width="9.375" style="225"/>
    <col min="2822" max="2823" width="10.75" style="225" customWidth="1"/>
    <col min="2824" max="2828" width="9.375" style="225"/>
    <col min="2829" max="2829" width="1.625" style="225" bestFit="1" customWidth="1"/>
    <col min="2830" max="2830" width="9.375" style="225"/>
    <col min="2831" max="2831" width="8.875" style="225" customWidth="1"/>
    <col min="2832" max="2832" width="13.125" style="225" customWidth="1"/>
    <col min="2833" max="2833" width="9.375" style="225"/>
    <col min="2834" max="2834" width="9.875" style="225" customWidth="1"/>
    <col min="2835" max="2835" width="11.75" style="225" bestFit="1" customWidth="1"/>
    <col min="2836" max="3065" width="9.375" style="225"/>
    <col min="3066" max="3066" width="5" style="225" customWidth="1"/>
    <col min="3067" max="3067" width="17.875" style="225" bestFit="1" customWidth="1"/>
    <col min="3068" max="3068" width="9.875" style="225" customWidth="1"/>
    <col min="3069" max="3069" width="8.875" style="225" customWidth="1"/>
    <col min="3070" max="3070" width="7.375" style="225" bestFit="1" customWidth="1"/>
    <col min="3071" max="3071" width="10.125" style="225" bestFit="1" customWidth="1"/>
    <col min="3072" max="3072" width="9.375" style="225"/>
    <col min="3073" max="3073" width="10.125" style="225" bestFit="1" customWidth="1"/>
    <col min="3074" max="3074" width="10.75" style="225" customWidth="1"/>
    <col min="3075" max="3077" width="9.375" style="225"/>
    <col min="3078" max="3079" width="10.75" style="225" customWidth="1"/>
    <col min="3080" max="3084" width="9.375" style="225"/>
    <col min="3085" max="3085" width="1.625" style="225" bestFit="1" customWidth="1"/>
    <col min="3086" max="3086" width="9.375" style="225"/>
    <col min="3087" max="3087" width="8.875" style="225" customWidth="1"/>
    <col min="3088" max="3088" width="13.125" style="225" customWidth="1"/>
    <col min="3089" max="3089" width="9.375" style="225"/>
    <col min="3090" max="3090" width="9.875" style="225" customWidth="1"/>
    <col min="3091" max="3091" width="11.75" style="225" bestFit="1" customWidth="1"/>
    <col min="3092" max="3321" width="9.375" style="225"/>
    <col min="3322" max="3322" width="5" style="225" customWidth="1"/>
    <col min="3323" max="3323" width="17.875" style="225" bestFit="1" customWidth="1"/>
    <col min="3324" max="3324" width="9.875" style="225" customWidth="1"/>
    <col min="3325" max="3325" width="8.875" style="225" customWidth="1"/>
    <col min="3326" max="3326" width="7.375" style="225" bestFit="1" customWidth="1"/>
    <col min="3327" max="3327" width="10.125" style="225" bestFit="1" customWidth="1"/>
    <col min="3328" max="3328" width="9.375" style="225"/>
    <col min="3329" max="3329" width="10.125" style="225" bestFit="1" customWidth="1"/>
    <col min="3330" max="3330" width="10.75" style="225" customWidth="1"/>
    <col min="3331" max="3333" width="9.375" style="225"/>
    <col min="3334" max="3335" width="10.75" style="225" customWidth="1"/>
    <col min="3336" max="3340" width="9.375" style="225"/>
    <col min="3341" max="3341" width="1.625" style="225" bestFit="1" customWidth="1"/>
    <col min="3342" max="3342" width="9.375" style="225"/>
    <col min="3343" max="3343" width="8.875" style="225" customWidth="1"/>
    <col min="3344" max="3344" width="13.125" style="225" customWidth="1"/>
    <col min="3345" max="3345" width="9.375" style="225"/>
    <col min="3346" max="3346" width="9.875" style="225" customWidth="1"/>
    <col min="3347" max="3347" width="11.75" style="225" bestFit="1" customWidth="1"/>
    <col min="3348" max="3577" width="9.375" style="225"/>
    <col min="3578" max="3578" width="5" style="225" customWidth="1"/>
    <col min="3579" max="3579" width="17.875" style="225" bestFit="1" customWidth="1"/>
    <col min="3580" max="3580" width="9.875" style="225" customWidth="1"/>
    <col min="3581" max="3581" width="8.875" style="225" customWidth="1"/>
    <col min="3582" max="3582" width="7.375" style="225" bestFit="1" customWidth="1"/>
    <col min="3583" max="3583" width="10.125" style="225" bestFit="1" customWidth="1"/>
    <col min="3584" max="3584" width="9.375" style="225"/>
    <col min="3585" max="3585" width="10.125" style="225" bestFit="1" customWidth="1"/>
    <col min="3586" max="3586" width="10.75" style="225" customWidth="1"/>
    <col min="3587" max="3589" width="9.375" style="225"/>
    <col min="3590" max="3591" width="10.75" style="225" customWidth="1"/>
    <col min="3592" max="3596" width="9.375" style="225"/>
    <col min="3597" max="3597" width="1.625" style="225" bestFit="1" customWidth="1"/>
    <col min="3598" max="3598" width="9.375" style="225"/>
    <col min="3599" max="3599" width="8.875" style="225" customWidth="1"/>
    <col min="3600" max="3600" width="13.125" style="225" customWidth="1"/>
    <col min="3601" max="3601" width="9.375" style="225"/>
    <col min="3602" max="3602" width="9.875" style="225" customWidth="1"/>
    <col min="3603" max="3603" width="11.75" style="225" bestFit="1" customWidth="1"/>
    <col min="3604" max="3833" width="9.375" style="225"/>
    <col min="3834" max="3834" width="5" style="225" customWidth="1"/>
    <col min="3835" max="3835" width="17.875" style="225" bestFit="1" customWidth="1"/>
    <col min="3836" max="3836" width="9.875" style="225" customWidth="1"/>
    <col min="3837" max="3837" width="8.875" style="225" customWidth="1"/>
    <col min="3838" max="3838" width="7.375" style="225" bestFit="1" customWidth="1"/>
    <col min="3839" max="3839" width="10.125" style="225" bestFit="1" customWidth="1"/>
    <col min="3840" max="3840" width="9.375" style="225"/>
    <col min="3841" max="3841" width="10.125" style="225" bestFit="1" customWidth="1"/>
    <col min="3842" max="3842" width="10.75" style="225" customWidth="1"/>
    <col min="3843" max="3845" width="9.375" style="225"/>
    <col min="3846" max="3847" width="10.75" style="225" customWidth="1"/>
    <col min="3848" max="3852" width="9.375" style="225"/>
    <col min="3853" max="3853" width="1.625" style="225" bestFit="1" customWidth="1"/>
    <col min="3854" max="3854" width="9.375" style="225"/>
    <col min="3855" max="3855" width="8.875" style="225" customWidth="1"/>
    <col min="3856" max="3856" width="13.125" style="225" customWidth="1"/>
    <col min="3857" max="3857" width="9.375" style="225"/>
    <col min="3858" max="3858" width="9.875" style="225" customWidth="1"/>
    <col min="3859" max="3859" width="11.75" style="225" bestFit="1" customWidth="1"/>
    <col min="3860" max="4089" width="9.375" style="225"/>
    <col min="4090" max="4090" width="5" style="225" customWidth="1"/>
    <col min="4091" max="4091" width="17.875" style="225" bestFit="1" customWidth="1"/>
    <col min="4092" max="4092" width="9.875" style="225" customWidth="1"/>
    <col min="4093" max="4093" width="8.875" style="225" customWidth="1"/>
    <col min="4094" max="4094" width="7.375" style="225" bestFit="1" customWidth="1"/>
    <col min="4095" max="4095" width="10.125" style="225" bestFit="1" customWidth="1"/>
    <col min="4096" max="4096" width="9.375" style="225"/>
    <col min="4097" max="4097" width="10.125" style="225" bestFit="1" customWidth="1"/>
    <col min="4098" max="4098" width="10.75" style="225" customWidth="1"/>
    <col min="4099" max="4101" width="9.375" style="225"/>
    <col min="4102" max="4103" width="10.75" style="225" customWidth="1"/>
    <col min="4104" max="4108" width="9.375" style="225"/>
    <col min="4109" max="4109" width="1.625" style="225" bestFit="1" customWidth="1"/>
    <col min="4110" max="4110" width="9.375" style="225"/>
    <col min="4111" max="4111" width="8.875" style="225" customWidth="1"/>
    <col min="4112" max="4112" width="13.125" style="225" customWidth="1"/>
    <col min="4113" max="4113" width="9.375" style="225"/>
    <col min="4114" max="4114" width="9.875" style="225" customWidth="1"/>
    <col min="4115" max="4115" width="11.75" style="225" bestFit="1" customWidth="1"/>
    <col min="4116" max="4345" width="9.375" style="225"/>
    <col min="4346" max="4346" width="5" style="225" customWidth="1"/>
    <col min="4347" max="4347" width="17.875" style="225" bestFit="1" customWidth="1"/>
    <col min="4348" max="4348" width="9.875" style="225" customWidth="1"/>
    <col min="4349" max="4349" width="8.875" style="225" customWidth="1"/>
    <col min="4350" max="4350" width="7.375" style="225" bestFit="1" customWidth="1"/>
    <col min="4351" max="4351" width="10.125" style="225" bestFit="1" customWidth="1"/>
    <col min="4352" max="4352" width="9.375" style="225"/>
    <col min="4353" max="4353" width="10.125" style="225" bestFit="1" customWidth="1"/>
    <col min="4354" max="4354" width="10.75" style="225" customWidth="1"/>
    <col min="4355" max="4357" width="9.375" style="225"/>
    <col min="4358" max="4359" width="10.75" style="225" customWidth="1"/>
    <col min="4360" max="4364" width="9.375" style="225"/>
    <col min="4365" max="4365" width="1.625" style="225" bestFit="1" customWidth="1"/>
    <col min="4366" max="4366" width="9.375" style="225"/>
    <col min="4367" max="4367" width="8.875" style="225" customWidth="1"/>
    <col min="4368" max="4368" width="13.125" style="225" customWidth="1"/>
    <col min="4369" max="4369" width="9.375" style="225"/>
    <col min="4370" max="4370" width="9.875" style="225" customWidth="1"/>
    <col min="4371" max="4371" width="11.75" style="225" bestFit="1" customWidth="1"/>
    <col min="4372" max="4601" width="9.375" style="225"/>
    <col min="4602" max="4602" width="5" style="225" customWidth="1"/>
    <col min="4603" max="4603" width="17.875" style="225" bestFit="1" customWidth="1"/>
    <col min="4604" max="4604" width="9.875" style="225" customWidth="1"/>
    <col min="4605" max="4605" width="8.875" style="225" customWidth="1"/>
    <col min="4606" max="4606" width="7.375" style="225" bestFit="1" customWidth="1"/>
    <col min="4607" max="4607" width="10.125" style="225" bestFit="1" customWidth="1"/>
    <col min="4608" max="4608" width="9.375" style="225"/>
    <col min="4609" max="4609" width="10.125" style="225" bestFit="1" customWidth="1"/>
    <col min="4610" max="4610" width="10.75" style="225" customWidth="1"/>
    <col min="4611" max="4613" width="9.375" style="225"/>
    <col min="4614" max="4615" width="10.75" style="225" customWidth="1"/>
    <col min="4616" max="4620" width="9.375" style="225"/>
    <col min="4621" max="4621" width="1.625" style="225" bestFit="1" customWidth="1"/>
    <col min="4622" max="4622" width="9.375" style="225"/>
    <col min="4623" max="4623" width="8.875" style="225" customWidth="1"/>
    <col min="4624" max="4624" width="13.125" style="225" customWidth="1"/>
    <col min="4625" max="4625" width="9.375" style="225"/>
    <col min="4626" max="4626" width="9.875" style="225" customWidth="1"/>
    <col min="4627" max="4627" width="11.75" style="225" bestFit="1" customWidth="1"/>
    <col min="4628" max="4857" width="9.375" style="225"/>
    <col min="4858" max="4858" width="5" style="225" customWidth="1"/>
    <col min="4859" max="4859" width="17.875" style="225" bestFit="1" customWidth="1"/>
    <col min="4860" max="4860" width="9.875" style="225" customWidth="1"/>
    <col min="4861" max="4861" width="8.875" style="225" customWidth="1"/>
    <col min="4862" max="4862" width="7.375" style="225" bestFit="1" customWidth="1"/>
    <col min="4863" max="4863" width="10.125" style="225" bestFit="1" customWidth="1"/>
    <col min="4864" max="4864" width="9.375" style="225"/>
    <col min="4865" max="4865" width="10.125" style="225" bestFit="1" customWidth="1"/>
    <col min="4866" max="4866" width="10.75" style="225" customWidth="1"/>
    <col min="4867" max="4869" width="9.375" style="225"/>
    <col min="4870" max="4871" width="10.75" style="225" customWidth="1"/>
    <col min="4872" max="4876" width="9.375" style="225"/>
    <col min="4877" max="4877" width="1.625" style="225" bestFit="1" customWidth="1"/>
    <col min="4878" max="4878" width="9.375" style="225"/>
    <col min="4879" max="4879" width="8.875" style="225" customWidth="1"/>
    <col min="4880" max="4880" width="13.125" style="225" customWidth="1"/>
    <col min="4881" max="4881" width="9.375" style="225"/>
    <col min="4882" max="4882" width="9.875" style="225" customWidth="1"/>
    <col min="4883" max="4883" width="11.75" style="225" bestFit="1" customWidth="1"/>
    <col min="4884" max="5113" width="9.375" style="225"/>
    <col min="5114" max="5114" width="5" style="225" customWidth="1"/>
    <col min="5115" max="5115" width="17.875" style="225" bestFit="1" customWidth="1"/>
    <col min="5116" max="5116" width="9.875" style="225" customWidth="1"/>
    <col min="5117" max="5117" width="8.875" style="225" customWidth="1"/>
    <col min="5118" max="5118" width="7.375" style="225" bestFit="1" customWidth="1"/>
    <col min="5119" max="5119" width="10.125" style="225" bestFit="1" customWidth="1"/>
    <col min="5120" max="5120" width="9.375" style="225"/>
    <col min="5121" max="5121" width="10.125" style="225" bestFit="1" customWidth="1"/>
    <col min="5122" max="5122" width="10.75" style="225" customWidth="1"/>
    <col min="5123" max="5125" width="9.375" style="225"/>
    <col min="5126" max="5127" width="10.75" style="225" customWidth="1"/>
    <col min="5128" max="5132" width="9.375" style="225"/>
    <col min="5133" max="5133" width="1.625" style="225" bestFit="1" customWidth="1"/>
    <col min="5134" max="5134" width="9.375" style="225"/>
    <col min="5135" max="5135" width="8.875" style="225" customWidth="1"/>
    <col min="5136" max="5136" width="13.125" style="225" customWidth="1"/>
    <col min="5137" max="5137" width="9.375" style="225"/>
    <col min="5138" max="5138" width="9.875" style="225" customWidth="1"/>
    <col min="5139" max="5139" width="11.75" style="225" bestFit="1" customWidth="1"/>
    <col min="5140" max="5369" width="9.375" style="225"/>
    <col min="5370" max="5370" width="5" style="225" customWidth="1"/>
    <col min="5371" max="5371" width="17.875" style="225" bestFit="1" customWidth="1"/>
    <col min="5372" max="5372" width="9.875" style="225" customWidth="1"/>
    <col min="5373" max="5373" width="8.875" style="225" customWidth="1"/>
    <col min="5374" max="5374" width="7.375" style="225" bestFit="1" customWidth="1"/>
    <col min="5375" max="5375" width="10.125" style="225" bestFit="1" customWidth="1"/>
    <col min="5376" max="5376" width="9.375" style="225"/>
    <col min="5377" max="5377" width="10.125" style="225" bestFit="1" customWidth="1"/>
    <col min="5378" max="5378" width="10.75" style="225" customWidth="1"/>
    <col min="5379" max="5381" width="9.375" style="225"/>
    <col min="5382" max="5383" width="10.75" style="225" customWidth="1"/>
    <col min="5384" max="5388" width="9.375" style="225"/>
    <col min="5389" max="5389" width="1.625" style="225" bestFit="1" customWidth="1"/>
    <col min="5390" max="5390" width="9.375" style="225"/>
    <col min="5391" max="5391" width="8.875" style="225" customWidth="1"/>
    <col min="5392" max="5392" width="13.125" style="225" customWidth="1"/>
    <col min="5393" max="5393" width="9.375" style="225"/>
    <col min="5394" max="5394" width="9.875" style="225" customWidth="1"/>
    <col min="5395" max="5395" width="11.75" style="225" bestFit="1" customWidth="1"/>
    <col min="5396" max="5625" width="9.375" style="225"/>
    <col min="5626" max="5626" width="5" style="225" customWidth="1"/>
    <col min="5627" max="5627" width="17.875" style="225" bestFit="1" customWidth="1"/>
    <col min="5628" max="5628" width="9.875" style="225" customWidth="1"/>
    <col min="5629" max="5629" width="8.875" style="225" customWidth="1"/>
    <col min="5630" max="5630" width="7.375" style="225" bestFit="1" customWidth="1"/>
    <col min="5631" max="5631" width="10.125" style="225" bestFit="1" customWidth="1"/>
    <col min="5632" max="5632" width="9.375" style="225"/>
    <col min="5633" max="5633" width="10.125" style="225" bestFit="1" customWidth="1"/>
    <col min="5634" max="5634" width="10.75" style="225" customWidth="1"/>
    <col min="5635" max="5637" width="9.375" style="225"/>
    <col min="5638" max="5639" width="10.75" style="225" customWidth="1"/>
    <col min="5640" max="5644" width="9.375" style="225"/>
    <col min="5645" max="5645" width="1.625" style="225" bestFit="1" customWidth="1"/>
    <col min="5646" max="5646" width="9.375" style="225"/>
    <col min="5647" max="5647" width="8.875" style="225" customWidth="1"/>
    <col min="5648" max="5648" width="13.125" style="225" customWidth="1"/>
    <col min="5649" max="5649" width="9.375" style="225"/>
    <col min="5650" max="5650" width="9.875" style="225" customWidth="1"/>
    <col min="5651" max="5651" width="11.75" style="225" bestFit="1" customWidth="1"/>
    <col min="5652" max="5881" width="9.375" style="225"/>
    <col min="5882" max="5882" width="5" style="225" customWidth="1"/>
    <col min="5883" max="5883" width="17.875" style="225" bestFit="1" customWidth="1"/>
    <col min="5884" max="5884" width="9.875" style="225" customWidth="1"/>
    <col min="5885" max="5885" width="8.875" style="225" customWidth="1"/>
    <col min="5886" max="5886" width="7.375" style="225" bestFit="1" customWidth="1"/>
    <col min="5887" max="5887" width="10.125" style="225" bestFit="1" customWidth="1"/>
    <col min="5888" max="5888" width="9.375" style="225"/>
    <col min="5889" max="5889" width="10.125" style="225" bestFit="1" customWidth="1"/>
    <col min="5890" max="5890" width="10.75" style="225" customWidth="1"/>
    <col min="5891" max="5893" width="9.375" style="225"/>
    <col min="5894" max="5895" width="10.75" style="225" customWidth="1"/>
    <col min="5896" max="5900" width="9.375" style="225"/>
    <col min="5901" max="5901" width="1.625" style="225" bestFit="1" customWidth="1"/>
    <col min="5902" max="5902" width="9.375" style="225"/>
    <col min="5903" max="5903" width="8.875" style="225" customWidth="1"/>
    <col min="5904" max="5904" width="13.125" style="225" customWidth="1"/>
    <col min="5905" max="5905" width="9.375" style="225"/>
    <col min="5906" max="5906" width="9.875" style="225" customWidth="1"/>
    <col min="5907" max="5907" width="11.75" style="225" bestFit="1" customWidth="1"/>
    <col min="5908" max="6137" width="9.375" style="225"/>
    <col min="6138" max="6138" width="5" style="225" customWidth="1"/>
    <col min="6139" max="6139" width="17.875" style="225" bestFit="1" customWidth="1"/>
    <col min="6140" max="6140" width="9.875" style="225" customWidth="1"/>
    <col min="6141" max="6141" width="8.875" style="225" customWidth="1"/>
    <col min="6142" max="6142" width="7.375" style="225" bestFit="1" customWidth="1"/>
    <col min="6143" max="6143" width="10.125" style="225" bestFit="1" customWidth="1"/>
    <col min="6144" max="6144" width="9.375" style="225"/>
    <col min="6145" max="6145" width="10.125" style="225" bestFit="1" customWidth="1"/>
    <col min="6146" max="6146" width="10.75" style="225" customWidth="1"/>
    <col min="6147" max="6149" width="9.375" style="225"/>
    <col min="6150" max="6151" width="10.75" style="225" customWidth="1"/>
    <col min="6152" max="6156" width="9.375" style="225"/>
    <col min="6157" max="6157" width="1.625" style="225" bestFit="1" customWidth="1"/>
    <col min="6158" max="6158" width="9.375" style="225"/>
    <col min="6159" max="6159" width="8.875" style="225" customWidth="1"/>
    <col min="6160" max="6160" width="13.125" style="225" customWidth="1"/>
    <col min="6161" max="6161" width="9.375" style="225"/>
    <col min="6162" max="6162" width="9.875" style="225" customWidth="1"/>
    <col min="6163" max="6163" width="11.75" style="225" bestFit="1" customWidth="1"/>
    <col min="6164" max="6393" width="9.375" style="225"/>
    <col min="6394" max="6394" width="5" style="225" customWidth="1"/>
    <col min="6395" max="6395" width="17.875" style="225" bestFit="1" customWidth="1"/>
    <col min="6396" max="6396" width="9.875" style="225" customWidth="1"/>
    <col min="6397" max="6397" width="8.875" style="225" customWidth="1"/>
    <col min="6398" max="6398" width="7.375" style="225" bestFit="1" customWidth="1"/>
    <col min="6399" max="6399" width="10.125" style="225" bestFit="1" customWidth="1"/>
    <col min="6400" max="6400" width="9.375" style="225"/>
    <col min="6401" max="6401" width="10.125" style="225" bestFit="1" customWidth="1"/>
    <col min="6402" max="6402" width="10.75" style="225" customWidth="1"/>
    <col min="6403" max="6405" width="9.375" style="225"/>
    <col min="6406" max="6407" width="10.75" style="225" customWidth="1"/>
    <col min="6408" max="6412" width="9.375" style="225"/>
    <col min="6413" max="6413" width="1.625" style="225" bestFit="1" customWidth="1"/>
    <col min="6414" max="6414" width="9.375" style="225"/>
    <col min="6415" max="6415" width="8.875" style="225" customWidth="1"/>
    <col min="6416" max="6416" width="13.125" style="225" customWidth="1"/>
    <col min="6417" max="6417" width="9.375" style="225"/>
    <col min="6418" max="6418" width="9.875" style="225" customWidth="1"/>
    <col min="6419" max="6419" width="11.75" style="225" bestFit="1" customWidth="1"/>
    <col min="6420" max="6649" width="9.375" style="225"/>
    <col min="6650" max="6650" width="5" style="225" customWidth="1"/>
    <col min="6651" max="6651" width="17.875" style="225" bestFit="1" customWidth="1"/>
    <col min="6652" max="6652" width="9.875" style="225" customWidth="1"/>
    <col min="6653" max="6653" width="8.875" style="225" customWidth="1"/>
    <col min="6654" max="6654" width="7.375" style="225" bestFit="1" customWidth="1"/>
    <col min="6655" max="6655" width="10.125" style="225" bestFit="1" customWidth="1"/>
    <col min="6656" max="6656" width="9.375" style="225"/>
    <col min="6657" max="6657" width="10.125" style="225" bestFit="1" customWidth="1"/>
    <col min="6658" max="6658" width="10.75" style="225" customWidth="1"/>
    <col min="6659" max="6661" width="9.375" style="225"/>
    <col min="6662" max="6663" width="10.75" style="225" customWidth="1"/>
    <col min="6664" max="6668" width="9.375" style="225"/>
    <col min="6669" max="6669" width="1.625" style="225" bestFit="1" customWidth="1"/>
    <col min="6670" max="6670" width="9.375" style="225"/>
    <col min="6671" max="6671" width="8.875" style="225" customWidth="1"/>
    <col min="6672" max="6672" width="13.125" style="225" customWidth="1"/>
    <col min="6673" max="6673" width="9.375" style="225"/>
    <col min="6674" max="6674" width="9.875" style="225" customWidth="1"/>
    <col min="6675" max="6675" width="11.75" style="225" bestFit="1" customWidth="1"/>
    <col min="6676" max="6905" width="9.375" style="225"/>
    <col min="6906" max="6906" width="5" style="225" customWidth="1"/>
    <col min="6907" max="6907" width="17.875" style="225" bestFit="1" customWidth="1"/>
    <col min="6908" max="6908" width="9.875" style="225" customWidth="1"/>
    <col min="6909" max="6909" width="8.875" style="225" customWidth="1"/>
    <col min="6910" max="6910" width="7.375" style="225" bestFit="1" customWidth="1"/>
    <col min="6911" max="6911" width="10.125" style="225" bestFit="1" customWidth="1"/>
    <col min="6912" max="6912" width="9.375" style="225"/>
    <col min="6913" max="6913" width="10.125" style="225" bestFit="1" customWidth="1"/>
    <col min="6914" max="6914" width="10.75" style="225" customWidth="1"/>
    <col min="6915" max="6917" width="9.375" style="225"/>
    <col min="6918" max="6919" width="10.75" style="225" customWidth="1"/>
    <col min="6920" max="6924" width="9.375" style="225"/>
    <col min="6925" max="6925" width="1.625" style="225" bestFit="1" customWidth="1"/>
    <col min="6926" max="6926" width="9.375" style="225"/>
    <col min="6927" max="6927" width="8.875" style="225" customWidth="1"/>
    <col min="6928" max="6928" width="13.125" style="225" customWidth="1"/>
    <col min="6929" max="6929" width="9.375" style="225"/>
    <col min="6930" max="6930" width="9.875" style="225" customWidth="1"/>
    <col min="6931" max="6931" width="11.75" style="225" bestFit="1" customWidth="1"/>
    <col min="6932" max="7161" width="9.375" style="225"/>
    <col min="7162" max="7162" width="5" style="225" customWidth="1"/>
    <col min="7163" max="7163" width="17.875" style="225" bestFit="1" customWidth="1"/>
    <col min="7164" max="7164" width="9.875" style="225" customWidth="1"/>
    <col min="7165" max="7165" width="8.875" style="225" customWidth="1"/>
    <col min="7166" max="7166" width="7.375" style="225" bestFit="1" customWidth="1"/>
    <col min="7167" max="7167" width="10.125" style="225" bestFit="1" customWidth="1"/>
    <col min="7168" max="7168" width="9.375" style="225"/>
    <col min="7169" max="7169" width="10.125" style="225" bestFit="1" customWidth="1"/>
    <col min="7170" max="7170" width="10.75" style="225" customWidth="1"/>
    <col min="7171" max="7173" width="9.375" style="225"/>
    <col min="7174" max="7175" width="10.75" style="225" customWidth="1"/>
    <col min="7176" max="7180" width="9.375" style="225"/>
    <col min="7181" max="7181" width="1.625" style="225" bestFit="1" customWidth="1"/>
    <col min="7182" max="7182" width="9.375" style="225"/>
    <col min="7183" max="7183" width="8.875" style="225" customWidth="1"/>
    <col min="7184" max="7184" width="13.125" style="225" customWidth="1"/>
    <col min="7185" max="7185" width="9.375" style="225"/>
    <col min="7186" max="7186" width="9.875" style="225" customWidth="1"/>
    <col min="7187" max="7187" width="11.75" style="225" bestFit="1" customWidth="1"/>
    <col min="7188" max="7417" width="9.375" style="225"/>
    <col min="7418" max="7418" width="5" style="225" customWidth="1"/>
    <col min="7419" max="7419" width="17.875" style="225" bestFit="1" customWidth="1"/>
    <col min="7420" max="7420" width="9.875" style="225" customWidth="1"/>
    <col min="7421" max="7421" width="8.875" style="225" customWidth="1"/>
    <col min="7422" max="7422" width="7.375" style="225" bestFit="1" customWidth="1"/>
    <col min="7423" max="7423" width="10.125" style="225" bestFit="1" customWidth="1"/>
    <col min="7424" max="7424" width="9.375" style="225"/>
    <col min="7425" max="7425" width="10.125" style="225" bestFit="1" customWidth="1"/>
    <col min="7426" max="7426" width="10.75" style="225" customWidth="1"/>
    <col min="7427" max="7429" width="9.375" style="225"/>
    <col min="7430" max="7431" width="10.75" style="225" customWidth="1"/>
    <col min="7432" max="7436" width="9.375" style="225"/>
    <col min="7437" max="7437" width="1.625" style="225" bestFit="1" customWidth="1"/>
    <col min="7438" max="7438" width="9.375" style="225"/>
    <col min="7439" max="7439" width="8.875" style="225" customWidth="1"/>
    <col min="7440" max="7440" width="13.125" style="225" customWidth="1"/>
    <col min="7441" max="7441" width="9.375" style="225"/>
    <col min="7442" max="7442" width="9.875" style="225" customWidth="1"/>
    <col min="7443" max="7443" width="11.75" style="225" bestFit="1" customWidth="1"/>
    <col min="7444" max="7673" width="9.375" style="225"/>
    <col min="7674" max="7674" width="5" style="225" customWidth="1"/>
    <col min="7675" max="7675" width="17.875" style="225" bestFit="1" customWidth="1"/>
    <col min="7676" max="7676" width="9.875" style="225" customWidth="1"/>
    <col min="7677" max="7677" width="8.875" style="225" customWidth="1"/>
    <col min="7678" max="7678" width="7.375" style="225" bestFit="1" customWidth="1"/>
    <col min="7679" max="7679" width="10.125" style="225" bestFit="1" customWidth="1"/>
    <col min="7680" max="7680" width="9.375" style="225"/>
    <col min="7681" max="7681" width="10.125" style="225" bestFit="1" customWidth="1"/>
    <col min="7682" max="7682" width="10.75" style="225" customWidth="1"/>
    <col min="7683" max="7685" width="9.375" style="225"/>
    <col min="7686" max="7687" width="10.75" style="225" customWidth="1"/>
    <col min="7688" max="7692" width="9.375" style="225"/>
    <col min="7693" max="7693" width="1.625" style="225" bestFit="1" customWidth="1"/>
    <col min="7694" max="7694" width="9.375" style="225"/>
    <col min="7695" max="7695" width="8.875" style="225" customWidth="1"/>
    <col min="7696" max="7696" width="13.125" style="225" customWidth="1"/>
    <col min="7697" max="7697" width="9.375" style="225"/>
    <col min="7698" max="7698" width="9.875" style="225" customWidth="1"/>
    <col min="7699" max="7699" width="11.75" style="225" bestFit="1" customWidth="1"/>
    <col min="7700" max="7929" width="9.375" style="225"/>
    <col min="7930" max="7930" width="5" style="225" customWidth="1"/>
    <col min="7931" max="7931" width="17.875" style="225" bestFit="1" customWidth="1"/>
    <col min="7932" max="7932" width="9.875" style="225" customWidth="1"/>
    <col min="7933" max="7933" width="8.875" style="225" customWidth="1"/>
    <col min="7934" max="7934" width="7.375" style="225" bestFit="1" customWidth="1"/>
    <col min="7935" max="7935" width="10.125" style="225" bestFit="1" customWidth="1"/>
    <col min="7936" max="7936" width="9.375" style="225"/>
    <col min="7937" max="7937" width="10.125" style="225" bestFit="1" customWidth="1"/>
    <col min="7938" max="7938" width="10.75" style="225" customWidth="1"/>
    <col min="7939" max="7941" width="9.375" style="225"/>
    <col min="7942" max="7943" width="10.75" style="225" customWidth="1"/>
    <col min="7944" max="7948" width="9.375" style="225"/>
    <col min="7949" max="7949" width="1.625" style="225" bestFit="1" customWidth="1"/>
    <col min="7950" max="7950" width="9.375" style="225"/>
    <col min="7951" max="7951" width="8.875" style="225" customWidth="1"/>
    <col min="7952" max="7952" width="13.125" style="225" customWidth="1"/>
    <col min="7953" max="7953" width="9.375" style="225"/>
    <col min="7954" max="7954" width="9.875" style="225" customWidth="1"/>
    <col min="7955" max="7955" width="11.75" style="225" bestFit="1" customWidth="1"/>
    <col min="7956" max="8185" width="9.375" style="225"/>
    <col min="8186" max="8186" width="5" style="225" customWidth="1"/>
    <col min="8187" max="8187" width="17.875" style="225" bestFit="1" customWidth="1"/>
    <col min="8188" max="8188" width="9.875" style="225" customWidth="1"/>
    <col min="8189" max="8189" width="8.875" style="225" customWidth="1"/>
    <col min="8190" max="8190" width="7.375" style="225" bestFit="1" customWidth="1"/>
    <col min="8191" max="8191" width="10.125" style="225" bestFit="1" customWidth="1"/>
    <col min="8192" max="8192" width="9.375" style="225"/>
    <col min="8193" max="8193" width="10.125" style="225" bestFit="1" customWidth="1"/>
    <col min="8194" max="8194" width="10.75" style="225" customWidth="1"/>
    <col min="8195" max="8197" width="9.375" style="225"/>
    <col min="8198" max="8199" width="10.75" style="225" customWidth="1"/>
    <col min="8200" max="8204" width="9.375" style="225"/>
    <col min="8205" max="8205" width="1.625" style="225" bestFit="1" customWidth="1"/>
    <col min="8206" max="8206" width="9.375" style="225"/>
    <col min="8207" max="8207" width="8.875" style="225" customWidth="1"/>
    <col min="8208" max="8208" width="13.125" style="225" customWidth="1"/>
    <col min="8209" max="8209" width="9.375" style="225"/>
    <col min="8210" max="8210" width="9.875" style="225" customWidth="1"/>
    <col min="8211" max="8211" width="11.75" style="225" bestFit="1" customWidth="1"/>
    <col min="8212" max="8441" width="9.375" style="225"/>
    <col min="8442" max="8442" width="5" style="225" customWidth="1"/>
    <col min="8443" max="8443" width="17.875" style="225" bestFit="1" customWidth="1"/>
    <col min="8444" max="8444" width="9.875" style="225" customWidth="1"/>
    <col min="8445" max="8445" width="8.875" style="225" customWidth="1"/>
    <col min="8446" max="8446" width="7.375" style="225" bestFit="1" customWidth="1"/>
    <col min="8447" max="8447" width="10.125" style="225" bestFit="1" customWidth="1"/>
    <col min="8448" max="8448" width="9.375" style="225"/>
    <col min="8449" max="8449" width="10.125" style="225" bestFit="1" customWidth="1"/>
    <col min="8450" max="8450" width="10.75" style="225" customWidth="1"/>
    <col min="8451" max="8453" width="9.375" style="225"/>
    <col min="8454" max="8455" width="10.75" style="225" customWidth="1"/>
    <col min="8456" max="8460" width="9.375" style="225"/>
    <col min="8461" max="8461" width="1.625" style="225" bestFit="1" customWidth="1"/>
    <col min="8462" max="8462" width="9.375" style="225"/>
    <col min="8463" max="8463" width="8.875" style="225" customWidth="1"/>
    <col min="8464" max="8464" width="13.125" style="225" customWidth="1"/>
    <col min="8465" max="8465" width="9.375" style="225"/>
    <col min="8466" max="8466" width="9.875" style="225" customWidth="1"/>
    <col min="8467" max="8467" width="11.75" style="225" bestFit="1" customWidth="1"/>
    <col min="8468" max="8697" width="9.375" style="225"/>
    <col min="8698" max="8698" width="5" style="225" customWidth="1"/>
    <col min="8699" max="8699" width="17.875" style="225" bestFit="1" customWidth="1"/>
    <col min="8700" max="8700" width="9.875" style="225" customWidth="1"/>
    <col min="8701" max="8701" width="8.875" style="225" customWidth="1"/>
    <col min="8702" max="8702" width="7.375" style="225" bestFit="1" customWidth="1"/>
    <col min="8703" max="8703" width="10.125" style="225" bestFit="1" customWidth="1"/>
    <col min="8704" max="8704" width="9.375" style="225"/>
    <col min="8705" max="8705" width="10.125" style="225" bestFit="1" customWidth="1"/>
    <col min="8706" max="8706" width="10.75" style="225" customWidth="1"/>
    <col min="8707" max="8709" width="9.375" style="225"/>
    <col min="8710" max="8711" width="10.75" style="225" customWidth="1"/>
    <col min="8712" max="8716" width="9.375" style="225"/>
    <col min="8717" max="8717" width="1.625" style="225" bestFit="1" customWidth="1"/>
    <col min="8718" max="8718" width="9.375" style="225"/>
    <col min="8719" max="8719" width="8.875" style="225" customWidth="1"/>
    <col min="8720" max="8720" width="13.125" style="225" customWidth="1"/>
    <col min="8721" max="8721" width="9.375" style="225"/>
    <col min="8722" max="8722" width="9.875" style="225" customWidth="1"/>
    <col min="8723" max="8723" width="11.75" style="225" bestFit="1" customWidth="1"/>
    <col min="8724" max="8953" width="9.375" style="225"/>
    <col min="8954" max="8954" width="5" style="225" customWidth="1"/>
    <col min="8955" max="8955" width="17.875" style="225" bestFit="1" customWidth="1"/>
    <col min="8956" max="8956" width="9.875" style="225" customWidth="1"/>
    <col min="8957" max="8957" width="8.875" style="225" customWidth="1"/>
    <col min="8958" max="8958" width="7.375" style="225" bestFit="1" customWidth="1"/>
    <col min="8959" max="8959" width="10.125" style="225" bestFit="1" customWidth="1"/>
    <col min="8960" max="8960" width="9.375" style="225"/>
    <col min="8961" max="8961" width="10.125" style="225" bestFit="1" customWidth="1"/>
    <col min="8962" max="8962" width="10.75" style="225" customWidth="1"/>
    <col min="8963" max="8965" width="9.375" style="225"/>
    <col min="8966" max="8967" width="10.75" style="225" customWidth="1"/>
    <col min="8968" max="8972" width="9.375" style="225"/>
    <col min="8973" max="8973" width="1.625" style="225" bestFit="1" customWidth="1"/>
    <col min="8974" max="8974" width="9.375" style="225"/>
    <col min="8975" max="8975" width="8.875" style="225" customWidth="1"/>
    <col min="8976" max="8976" width="13.125" style="225" customWidth="1"/>
    <col min="8977" max="8977" width="9.375" style="225"/>
    <col min="8978" max="8978" width="9.875" style="225" customWidth="1"/>
    <col min="8979" max="8979" width="11.75" style="225" bestFit="1" customWidth="1"/>
    <col min="8980" max="9209" width="9.375" style="225"/>
    <col min="9210" max="9210" width="5" style="225" customWidth="1"/>
    <col min="9211" max="9211" width="17.875" style="225" bestFit="1" customWidth="1"/>
    <col min="9212" max="9212" width="9.875" style="225" customWidth="1"/>
    <col min="9213" max="9213" width="8.875" style="225" customWidth="1"/>
    <col min="9214" max="9214" width="7.375" style="225" bestFit="1" customWidth="1"/>
    <col min="9215" max="9215" width="10.125" style="225" bestFit="1" customWidth="1"/>
    <col min="9216" max="9216" width="9.375" style="225"/>
    <col min="9217" max="9217" width="10.125" style="225" bestFit="1" customWidth="1"/>
    <col min="9218" max="9218" width="10.75" style="225" customWidth="1"/>
    <col min="9219" max="9221" width="9.375" style="225"/>
    <col min="9222" max="9223" width="10.75" style="225" customWidth="1"/>
    <col min="9224" max="9228" width="9.375" style="225"/>
    <col min="9229" max="9229" width="1.625" style="225" bestFit="1" customWidth="1"/>
    <col min="9230" max="9230" width="9.375" style="225"/>
    <col min="9231" max="9231" width="8.875" style="225" customWidth="1"/>
    <col min="9232" max="9232" width="13.125" style="225" customWidth="1"/>
    <col min="9233" max="9233" width="9.375" style="225"/>
    <col min="9234" max="9234" width="9.875" style="225" customWidth="1"/>
    <col min="9235" max="9235" width="11.75" style="225" bestFit="1" customWidth="1"/>
    <col min="9236" max="9465" width="9.375" style="225"/>
    <col min="9466" max="9466" width="5" style="225" customWidth="1"/>
    <col min="9467" max="9467" width="17.875" style="225" bestFit="1" customWidth="1"/>
    <col min="9468" max="9468" width="9.875" style="225" customWidth="1"/>
    <col min="9469" max="9469" width="8.875" style="225" customWidth="1"/>
    <col min="9470" max="9470" width="7.375" style="225" bestFit="1" customWidth="1"/>
    <col min="9471" max="9471" width="10.125" style="225" bestFit="1" customWidth="1"/>
    <col min="9472" max="9472" width="9.375" style="225"/>
    <col min="9473" max="9473" width="10.125" style="225" bestFit="1" customWidth="1"/>
    <col min="9474" max="9474" width="10.75" style="225" customWidth="1"/>
    <col min="9475" max="9477" width="9.375" style="225"/>
    <col min="9478" max="9479" width="10.75" style="225" customWidth="1"/>
    <col min="9480" max="9484" width="9.375" style="225"/>
    <col min="9485" max="9485" width="1.625" style="225" bestFit="1" customWidth="1"/>
    <col min="9486" max="9486" width="9.375" style="225"/>
    <col min="9487" max="9487" width="8.875" style="225" customWidth="1"/>
    <col min="9488" max="9488" width="13.125" style="225" customWidth="1"/>
    <col min="9489" max="9489" width="9.375" style="225"/>
    <col min="9490" max="9490" width="9.875" style="225" customWidth="1"/>
    <col min="9491" max="9491" width="11.75" style="225" bestFit="1" customWidth="1"/>
    <col min="9492" max="9721" width="9.375" style="225"/>
    <col min="9722" max="9722" width="5" style="225" customWidth="1"/>
    <col min="9723" max="9723" width="17.875" style="225" bestFit="1" customWidth="1"/>
    <col min="9724" max="9724" width="9.875" style="225" customWidth="1"/>
    <col min="9725" max="9725" width="8.875" style="225" customWidth="1"/>
    <col min="9726" max="9726" width="7.375" style="225" bestFit="1" customWidth="1"/>
    <col min="9727" max="9727" width="10.125" style="225" bestFit="1" customWidth="1"/>
    <col min="9728" max="9728" width="9.375" style="225"/>
    <col min="9729" max="9729" width="10.125" style="225" bestFit="1" customWidth="1"/>
    <col min="9730" max="9730" width="10.75" style="225" customWidth="1"/>
    <col min="9731" max="9733" width="9.375" style="225"/>
    <col min="9734" max="9735" width="10.75" style="225" customWidth="1"/>
    <col min="9736" max="9740" width="9.375" style="225"/>
    <col min="9741" max="9741" width="1.625" style="225" bestFit="1" customWidth="1"/>
    <col min="9742" max="9742" width="9.375" style="225"/>
    <col min="9743" max="9743" width="8.875" style="225" customWidth="1"/>
    <col min="9744" max="9744" width="13.125" style="225" customWidth="1"/>
    <col min="9745" max="9745" width="9.375" style="225"/>
    <col min="9746" max="9746" width="9.875" style="225" customWidth="1"/>
    <col min="9747" max="9747" width="11.75" style="225" bestFit="1" customWidth="1"/>
    <col min="9748" max="9977" width="9.375" style="225"/>
    <col min="9978" max="9978" width="5" style="225" customWidth="1"/>
    <col min="9979" max="9979" width="17.875" style="225" bestFit="1" customWidth="1"/>
    <col min="9980" max="9980" width="9.875" style="225" customWidth="1"/>
    <col min="9981" max="9981" width="8.875" style="225" customWidth="1"/>
    <col min="9982" max="9982" width="7.375" style="225" bestFit="1" customWidth="1"/>
    <col min="9983" max="9983" width="10.125" style="225" bestFit="1" customWidth="1"/>
    <col min="9984" max="9984" width="9.375" style="225"/>
    <col min="9985" max="9985" width="10.125" style="225" bestFit="1" customWidth="1"/>
    <col min="9986" max="9986" width="10.75" style="225" customWidth="1"/>
    <col min="9987" max="9989" width="9.375" style="225"/>
    <col min="9990" max="9991" width="10.75" style="225" customWidth="1"/>
    <col min="9992" max="9996" width="9.375" style="225"/>
    <col min="9997" max="9997" width="1.625" style="225" bestFit="1" customWidth="1"/>
    <col min="9998" max="9998" width="9.375" style="225"/>
    <col min="9999" max="9999" width="8.875" style="225" customWidth="1"/>
    <col min="10000" max="10000" width="13.125" style="225" customWidth="1"/>
    <col min="10001" max="10001" width="9.375" style="225"/>
    <col min="10002" max="10002" width="9.875" style="225" customWidth="1"/>
    <col min="10003" max="10003" width="11.75" style="225" bestFit="1" customWidth="1"/>
    <col min="10004" max="10233" width="9.375" style="225"/>
    <col min="10234" max="10234" width="5" style="225" customWidth="1"/>
    <col min="10235" max="10235" width="17.875" style="225" bestFit="1" customWidth="1"/>
    <col min="10236" max="10236" width="9.875" style="225" customWidth="1"/>
    <col min="10237" max="10237" width="8.875" style="225" customWidth="1"/>
    <col min="10238" max="10238" width="7.375" style="225" bestFit="1" customWidth="1"/>
    <col min="10239" max="10239" width="10.125" style="225" bestFit="1" customWidth="1"/>
    <col min="10240" max="10240" width="9.375" style="225"/>
    <col min="10241" max="10241" width="10.125" style="225" bestFit="1" customWidth="1"/>
    <col min="10242" max="10242" width="10.75" style="225" customWidth="1"/>
    <col min="10243" max="10245" width="9.375" style="225"/>
    <col min="10246" max="10247" width="10.75" style="225" customWidth="1"/>
    <col min="10248" max="10252" width="9.375" style="225"/>
    <col min="10253" max="10253" width="1.625" style="225" bestFit="1" customWidth="1"/>
    <col min="10254" max="10254" width="9.375" style="225"/>
    <col min="10255" max="10255" width="8.875" style="225" customWidth="1"/>
    <col min="10256" max="10256" width="13.125" style="225" customWidth="1"/>
    <col min="10257" max="10257" width="9.375" style="225"/>
    <col min="10258" max="10258" width="9.875" style="225" customWidth="1"/>
    <col min="10259" max="10259" width="11.75" style="225" bestFit="1" customWidth="1"/>
    <col min="10260" max="10489" width="9.375" style="225"/>
    <col min="10490" max="10490" width="5" style="225" customWidth="1"/>
    <col min="10491" max="10491" width="17.875" style="225" bestFit="1" customWidth="1"/>
    <col min="10492" max="10492" width="9.875" style="225" customWidth="1"/>
    <col min="10493" max="10493" width="8.875" style="225" customWidth="1"/>
    <col min="10494" max="10494" width="7.375" style="225" bestFit="1" customWidth="1"/>
    <col min="10495" max="10495" width="10.125" style="225" bestFit="1" customWidth="1"/>
    <col min="10496" max="10496" width="9.375" style="225"/>
    <col min="10497" max="10497" width="10.125" style="225" bestFit="1" customWidth="1"/>
    <col min="10498" max="10498" width="10.75" style="225" customWidth="1"/>
    <col min="10499" max="10501" width="9.375" style="225"/>
    <col min="10502" max="10503" width="10.75" style="225" customWidth="1"/>
    <col min="10504" max="10508" width="9.375" style="225"/>
    <col min="10509" max="10509" width="1.625" style="225" bestFit="1" customWidth="1"/>
    <col min="10510" max="10510" width="9.375" style="225"/>
    <col min="10511" max="10511" width="8.875" style="225" customWidth="1"/>
    <col min="10512" max="10512" width="13.125" style="225" customWidth="1"/>
    <col min="10513" max="10513" width="9.375" style="225"/>
    <col min="10514" max="10514" width="9.875" style="225" customWidth="1"/>
    <col min="10515" max="10515" width="11.75" style="225" bestFit="1" customWidth="1"/>
    <col min="10516" max="10745" width="9.375" style="225"/>
    <col min="10746" max="10746" width="5" style="225" customWidth="1"/>
    <col min="10747" max="10747" width="17.875" style="225" bestFit="1" customWidth="1"/>
    <col min="10748" max="10748" width="9.875" style="225" customWidth="1"/>
    <col min="10749" max="10749" width="8.875" style="225" customWidth="1"/>
    <col min="10750" max="10750" width="7.375" style="225" bestFit="1" customWidth="1"/>
    <col min="10751" max="10751" width="10.125" style="225" bestFit="1" customWidth="1"/>
    <col min="10752" max="10752" width="9.375" style="225"/>
    <col min="10753" max="10753" width="10.125" style="225" bestFit="1" customWidth="1"/>
    <col min="10754" max="10754" width="10.75" style="225" customWidth="1"/>
    <col min="10755" max="10757" width="9.375" style="225"/>
    <col min="10758" max="10759" width="10.75" style="225" customWidth="1"/>
    <col min="10760" max="10764" width="9.375" style="225"/>
    <col min="10765" max="10765" width="1.625" style="225" bestFit="1" customWidth="1"/>
    <col min="10766" max="10766" width="9.375" style="225"/>
    <col min="10767" max="10767" width="8.875" style="225" customWidth="1"/>
    <col min="10768" max="10768" width="13.125" style="225" customWidth="1"/>
    <col min="10769" max="10769" width="9.375" style="225"/>
    <col min="10770" max="10770" width="9.875" style="225" customWidth="1"/>
    <col min="10771" max="10771" width="11.75" style="225" bestFit="1" customWidth="1"/>
    <col min="10772" max="11001" width="9.375" style="225"/>
    <col min="11002" max="11002" width="5" style="225" customWidth="1"/>
    <col min="11003" max="11003" width="17.875" style="225" bestFit="1" customWidth="1"/>
    <col min="11004" max="11004" width="9.875" style="225" customWidth="1"/>
    <col min="11005" max="11005" width="8.875" style="225" customWidth="1"/>
    <col min="11006" max="11006" width="7.375" style="225" bestFit="1" customWidth="1"/>
    <col min="11007" max="11007" width="10.125" style="225" bestFit="1" customWidth="1"/>
    <col min="11008" max="11008" width="9.375" style="225"/>
    <col min="11009" max="11009" width="10.125" style="225" bestFit="1" customWidth="1"/>
    <col min="11010" max="11010" width="10.75" style="225" customWidth="1"/>
    <col min="11011" max="11013" width="9.375" style="225"/>
    <col min="11014" max="11015" width="10.75" style="225" customWidth="1"/>
    <col min="11016" max="11020" width="9.375" style="225"/>
    <col min="11021" max="11021" width="1.625" style="225" bestFit="1" customWidth="1"/>
    <col min="11022" max="11022" width="9.375" style="225"/>
    <col min="11023" max="11023" width="8.875" style="225" customWidth="1"/>
    <col min="11024" max="11024" width="13.125" style="225" customWidth="1"/>
    <col min="11025" max="11025" width="9.375" style="225"/>
    <col min="11026" max="11026" width="9.875" style="225" customWidth="1"/>
    <col min="11027" max="11027" width="11.75" style="225" bestFit="1" customWidth="1"/>
    <col min="11028" max="11257" width="9.375" style="225"/>
    <col min="11258" max="11258" width="5" style="225" customWidth="1"/>
    <col min="11259" max="11259" width="17.875" style="225" bestFit="1" customWidth="1"/>
    <col min="11260" max="11260" width="9.875" style="225" customWidth="1"/>
    <col min="11261" max="11261" width="8.875" style="225" customWidth="1"/>
    <col min="11262" max="11262" width="7.375" style="225" bestFit="1" customWidth="1"/>
    <col min="11263" max="11263" width="10.125" style="225" bestFit="1" customWidth="1"/>
    <col min="11264" max="11264" width="9.375" style="225"/>
    <col min="11265" max="11265" width="10.125" style="225" bestFit="1" customWidth="1"/>
    <col min="11266" max="11266" width="10.75" style="225" customWidth="1"/>
    <col min="11267" max="11269" width="9.375" style="225"/>
    <col min="11270" max="11271" width="10.75" style="225" customWidth="1"/>
    <col min="11272" max="11276" width="9.375" style="225"/>
    <col min="11277" max="11277" width="1.625" style="225" bestFit="1" customWidth="1"/>
    <col min="11278" max="11278" width="9.375" style="225"/>
    <col min="11279" max="11279" width="8.875" style="225" customWidth="1"/>
    <col min="11280" max="11280" width="13.125" style="225" customWidth="1"/>
    <col min="11281" max="11281" width="9.375" style="225"/>
    <col min="11282" max="11282" width="9.875" style="225" customWidth="1"/>
    <col min="11283" max="11283" width="11.75" style="225" bestFit="1" customWidth="1"/>
    <col min="11284" max="11513" width="9.375" style="225"/>
    <col min="11514" max="11514" width="5" style="225" customWidth="1"/>
    <col min="11515" max="11515" width="17.875" style="225" bestFit="1" customWidth="1"/>
    <col min="11516" max="11516" width="9.875" style="225" customWidth="1"/>
    <col min="11517" max="11517" width="8.875" style="225" customWidth="1"/>
    <col min="11518" max="11518" width="7.375" style="225" bestFit="1" customWidth="1"/>
    <col min="11519" max="11519" width="10.125" style="225" bestFit="1" customWidth="1"/>
    <col min="11520" max="11520" width="9.375" style="225"/>
    <col min="11521" max="11521" width="10.125" style="225" bestFit="1" customWidth="1"/>
    <col min="11522" max="11522" width="10.75" style="225" customWidth="1"/>
    <col min="11523" max="11525" width="9.375" style="225"/>
    <col min="11526" max="11527" width="10.75" style="225" customWidth="1"/>
    <col min="11528" max="11532" width="9.375" style="225"/>
    <col min="11533" max="11533" width="1.625" style="225" bestFit="1" customWidth="1"/>
    <col min="11534" max="11534" width="9.375" style="225"/>
    <col min="11535" max="11535" width="8.875" style="225" customWidth="1"/>
    <col min="11536" max="11536" width="13.125" style="225" customWidth="1"/>
    <col min="11537" max="11537" width="9.375" style="225"/>
    <col min="11538" max="11538" width="9.875" style="225" customWidth="1"/>
    <col min="11539" max="11539" width="11.75" style="225" bestFit="1" customWidth="1"/>
    <col min="11540" max="11769" width="9.375" style="225"/>
    <col min="11770" max="11770" width="5" style="225" customWidth="1"/>
    <col min="11771" max="11771" width="17.875" style="225" bestFit="1" customWidth="1"/>
    <col min="11772" max="11772" width="9.875" style="225" customWidth="1"/>
    <col min="11773" max="11773" width="8.875" style="225" customWidth="1"/>
    <col min="11774" max="11774" width="7.375" style="225" bestFit="1" customWidth="1"/>
    <col min="11775" max="11775" width="10.125" style="225" bestFit="1" customWidth="1"/>
    <col min="11776" max="11776" width="9.375" style="225"/>
    <col min="11777" max="11777" width="10.125" style="225" bestFit="1" customWidth="1"/>
    <col min="11778" max="11778" width="10.75" style="225" customWidth="1"/>
    <col min="11779" max="11781" width="9.375" style="225"/>
    <col min="11782" max="11783" width="10.75" style="225" customWidth="1"/>
    <col min="11784" max="11788" width="9.375" style="225"/>
    <col min="11789" max="11789" width="1.625" style="225" bestFit="1" customWidth="1"/>
    <col min="11790" max="11790" width="9.375" style="225"/>
    <col min="11791" max="11791" width="8.875" style="225" customWidth="1"/>
    <col min="11792" max="11792" width="13.125" style="225" customWidth="1"/>
    <col min="11793" max="11793" width="9.375" style="225"/>
    <col min="11794" max="11794" width="9.875" style="225" customWidth="1"/>
    <col min="11795" max="11795" width="11.75" style="225" bestFit="1" customWidth="1"/>
    <col min="11796" max="12025" width="9.375" style="225"/>
    <col min="12026" max="12026" width="5" style="225" customWidth="1"/>
    <col min="12027" max="12027" width="17.875" style="225" bestFit="1" customWidth="1"/>
    <col min="12028" max="12028" width="9.875" style="225" customWidth="1"/>
    <col min="12029" max="12029" width="8.875" style="225" customWidth="1"/>
    <col min="12030" max="12030" width="7.375" style="225" bestFit="1" customWidth="1"/>
    <col min="12031" max="12031" width="10.125" style="225" bestFit="1" customWidth="1"/>
    <col min="12032" max="12032" width="9.375" style="225"/>
    <col min="12033" max="12033" width="10.125" style="225" bestFit="1" customWidth="1"/>
    <col min="12034" max="12034" width="10.75" style="225" customWidth="1"/>
    <col min="12035" max="12037" width="9.375" style="225"/>
    <col min="12038" max="12039" width="10.75" style="225" customWidth="1"/>
    <col min="12040" max="12044" width="9.375" style="225"/>
    <col min="12045" max="12045" width="1.625" style="225" bestFit="1" customWidth="1"/>
    <col min="12046" max="12046" width="9.375" style="225"/>
    <col min="12047" max="12047" width="8.875" style="225" customWidth="1"/>
    <col min="12048" max="12048" width="13.125" style="225" customWidth="1"/>
    <col min="12049" max="12049" width="9.375" style="225"/>
    <col min="12050" max="12050" width="9.875" style="225" customWidth="1"/>
    <col min="12051" max="12051" width="11.75" style="225" bestFit="1" customWidth="1"/>
    <col min="12052" max="12281" width="9.375" style="225"/>
    <col min="12282" max="12282" width="5" style="225" customWidth="1"/>
    <col min="12283" max="12283" width="17.875" style="225" bestFit="1" customWidth="1"/>
    <col min="12284" max="12284" width="9.875" style="225" customWidth="1"/>
    <col min="12285" max="12285" width="8.875" style="225" customWidth="1"/>
    <col min="12286" max="12286" width="7.375" style="225" bestFit="1" customWidth="1"/>
    <col min="12287" max="12287" width="10.125" style="225" bestFit="1" customWidth="1"/>
    <col min="12288" max="12288" width="9.375" style="225"/>
    <col min="12289" max="12289" width="10.125" style="225" bestFit="1" customWidth="1"/>
    <col min="12290" max="12290" width="10.75" style="225" customWidth="1"/>
    <col min="12291" max="12293" width="9.375" style="225"/>
    <col min="12294" max="12295" width="10.75" style="225" customWidth="1"/>
    <col min="12296" max="12300" width="9.375" style="225"/>
    <col min="12301" max="12301" width="1.625" style="225" bestFit="1" customWidth="1"/>
    <col min="12302" max="12302" width="9.375" style="225"/>
    <col min="12303" max="12303" width="8.875" style="225" customWidth="1"/>
    <col min="12304" max="12304" width="13.125" style="225" customWidth="1"/>
    <col min="12305" max="12305" width="9.375" style="225"/>
    <col min="12306" max="12306" width="9.875" style="225" customWidth="1"/>
    <col min="12307" max="12307" width="11.75" style="225" bestFit="1" customWidth="1"/>
    <col min="12308" max="12537" width="9.375" style="225"/>
    <col min="12538" max="12538" width="5" style="225" customWidth="1"/>
    <col min="12539" max="12539" width="17.875" style="225" bestFit="1" customWidth="1"/>
    <col min="12540" max="12540" width="9.875" style="225" customWidth="1"/>
    <col min="12541" max="12541" width="8.875" style="225" customWidth="1"/>
    <col min="12542" max="12542" width="7.375" style="225" bestFit="1" customWidth="1"/>
    <col min="12543" max="12543" width="10.125" style="225" bestFit="1" customWidth="1"/>
    <col min="12544" max="12544" width="9.375" style="225"/>
    <col min="12545" max="12545" width="10.125" style="225" bestFit="1" customWidth="1"/>
    <col min="12546" max="12546" width="10.75" style="225" customWidth="1"/>
    <col min="12547" max="12549" width="9.375" style="225"/>
    <col min="12550" max="12551" width="10.75" style="225" customWidth="1"/>
    <col min="12552" max="12556" width="9.375" style="225"/>
    <col min="12557" max="12557" width="1.625" style="225" bestFit="1" customWidth="1"/>
    <col min="12558" max="12558" width="9.375" style="225"/>
    <col min="12559" max="12559" width="8.875" style="225" customWidth="1"/>
    <col min="12560" max="12560" width="13.125" style="225" customWidth="1"/>
    <col min="12561" max="12561" width="9.375" style="225"/>
    <col min="12562" max="12562" width="9.875" style="225" customWidth="1"/>
    <col min="12563" max="12563" width="11.75" style="225" bestFit="1" customWidth="1"/>
    <col min="12564" max="12793" width="9.375" style="225"/>
    <col min="12794" max="12794" width="5" style="225" customWidth="1"/>
    <col min="12795" max="12795" width="17.875" style="225" bestFit="1" customWidth="1"/>
    <col min="12796" max="12796" width="9.875" style="225" customWidth="1"/>
    <col min="12797" max="12797" width="8.875" style="225" customWidth="1"/>
    <col min="12798" max="12798" width="7.375" style="225" bestFit="1" customWidth="1"/>
    <col min="12799" max="12799" width="10.125" style="225" bestFit="1" customWidth="1"/>
    <col min="12800" max="12800" width="9.375" style="225"/>
    <col min="12801" max="12801" width="10.125" style="225" bestFit="1" customWidth="1"/>
    <col min="12802" max="12802" width="10.75" style="225" customWidth="1"/>
    <col min="12803" max="12805" width="9.375" style="225"/>
    <col min="12806" max="12807" width="10.75" style="225" customWidth="1"/>
    <col min="12808" max="12812" width="9.375" style="225"/>
    <col min="12813" max="12813" width="1.625" style="225" bestFit="1" customWidth="1"/>
    <col min="12814" max="12814" width="9.375" style="225"/>
    <col min="12815" max="12815" width="8.875" style="225" customWidth="1"/>
    <col min="12816" max="12816" width="13.125" style="225" customWidth="1"/>
    <col min="12817" max="12817" width="9.375" style="225"/>
    <col min="12818" max="12818" width="9.875" style="225" customWidth="1"/>
    <col min="12819" max="12819" width="11.75" style="225" bestFit="1" customWidth="1"/>
    <col min="12820" max="13049" width="9.375" style="225"/>
    <col min="13050" max="13050" width="5" style="225" customWidth="1"/>
    <col min="13051" max="13051" width="17.875" style="225" bestFit="1" customWidth="1"/>
    <col min="13052" max="13052" width="9.875" style="225" customWidth="1"/>
    <col min="13053" max="13053" width="8.875" style="225" customWidth="1"/>
    <col min="13054" max="13054" width="7.375" style="225" bestFit="1" customWidth="1"/>
    <col min="13055" max="13055" width="10.125" style="225" bestFit="1" customWidth="1"/>
    <col min="13056" max="13056" width="9.375" style="225"/>
    <col min="13057" max="13057" width="10.125" style="225" bestFit="1" customWidth="1"/>
    <col min="13058" max="13058" width="10.75" style="225" customWidth="1"/>
    <col min="13059" max="13061" width="9.375" style="225"/>
    <col min="13062" max="13063" width="10.75" style="225" customWidth="1"/>
    <col min="13064" max="13068" width="9.375" style="225"/>
    <col min="13069" max="13069" width="1.625" style="225" bestFit="1" customWidth="1"/>
    <col min="13070" max="13070" width="9.375" style="225"/>
    <col min="13071" max="13071" width="8.875" style="225" customWidth="1"/>
    <col min="13072" max="13072" width="13.125" style="225" customWidth="1"/>
    <col min="13073" max="13073" width="9.375" style="225"/>
    <col min="13074" max="13074" width="9.875" style="225" customWidth="1"/>
    <col min="13075" max="13075" width="11.75" style="225" bestFit="1" customWidth="1"/>
    <col min="13076" max="13305" width="9.375" style="225"/>
    <col min="13306" max="13306" width="5" style="225" customWidth="1"/>
    <col min="13307" max="13307" width="17.875" style="225" bestFit="1" customWidth="1"/>
    <col min="13308" max="13308" width="9.875" style="225" customWidth="1"/>
    <col min="13309" max="13309" width="8.875" style="225" customWidth="1"/>
    <col min="13310" max="13310" width="7.375" style="225" bestFit="1" customWidth="1"/>
    <col min="13311" max="13311" width="10.125" style="225" bestFit="1" customWidth="1"/>
    <col min="13312" max="13312" width="9.375" style="225"/>
    <col min="13313" max="13313" width="10.125" style="225" bestFit="1" customWidth="1"/>
    <col min="13314" max="13314" width="10.75" style="225" customWidth="1"/>
    <col min="13315" max="13317" width="9.375" style="225"/>
    <col min="13318" max="13319" width="10.75" style="225" customWidth="1"/>
    <col min="13320" max="13324" width="9.375" style="225"/>
    <col min="13325" max="13325" width="1.625" style="225" bestFit="1" customWidth="1"/>
    <col min="13326" max="13326" width="9.375" style="225"/>
    <col min="13327" max="13327" width="8.875" style="225" customWidth="1"/>
    <col min="13328" max="13328" width="13.125" style="225" customWidth="1"/>
    <col min="13329" max="13329" width="9.375" style="225"/>
    <col min="13330" max="13330" width="9.875" style="225" customWidth="1"/>
    <col min="13331" max="13331" width="11.75" style="225" bestFit="1" customWidth="1"/>
    <col min="13332" max="13561" width="9.375" style="225"/>
    <col min="13562" max="13562" width="5" style="225" customWidth="1"/>
    <col min="13563" max="13563" width="17.875" style="225" bestFit="1" customWidth="1"/>
    <col min="13564" max="13564" width="9.875" style="225" customWidth="1"/>
    <col min="13565" max="13565" width="8.875" style="225" customWidth="1"/>
    <col min="13566" max="13566" width="7.375" style="225" bestFit="1" customWidth="1"/>
    <col min="13567" max="13567" width="10.125" style="225" bestFit="1" customWidth="1"/>
    <col min="13568" max="13568" width="9.375" style="225"/>
    <col min="13569" max="13569" width="10.125" style="225" bestFit="1" customWidth="1"/>
    <col min="13570" max="13570" width="10.75" style="225" customWidth="1"/>
    <col min="13571" max="13573" width="9.375" style="225"/>
    <col min="13574" max="13575" width="10.75" style="225" customWidth="1"/>
    <col min="13576" max="13580" width="9.375" style="225"/>
    <col min="13581" max="13581" width="1.625" style="225" bestFit="1" customWidth="1"/>
    <col min="13582" max="13582" width="9.375" style="225"/>
    <col min="13583" max="13583" width="8.875" style="225" customWidth="1"/>
    <col min="13584" max="13584" width="13.125" style="225" customWidth="1"/>
    <col min="13585" max="13585" width="9.375" style="225"/>
    <col min="13586" max="13586" width="9.875" style="225" customWidth="1"/>
    <col min="13587" max="13587" width="11.75" style="225" bestFit="1" customWidth="1"/>
    <col min="13588" max="13817" width="9.375" style="225"/>
    <col min="13818" max="13818" width="5" style="225" customWidth="1"/>
    <col min="13819" max="13819" width="17.875" style="225" bestFit="1" customWidth="1"/>
    <col min="13820" max="13820" width="9.875" style="225" customWidth="1"/>
    <col min="13821" max="13821" width="8.875" style="225" customWidth="1"/>
    <col min="13822" max="13822" width="7.375" style="225" bestFit="1" customWidth="1"/>
    <col min="13823" max="13823" width="10.125" style="225" bestFit="1" customWidth="1"/>
    <col min="13824" max="13824" width="9.375" style="225"/>
    <col min="13825" max="13825" width="10.125" style="225" bestFit="1" customWidth="1"/>
    <col min="13826" max="13826" width="10.75" style="225" customWidth="1"/>
    <col min="13827" max="13829" width="9.375" style="225"/>
    <col min="13830" max="13831" width="10.75" style="225" customWidth="1"/>
    <col min="13832" max="13836" width="9.375" style="225"/>
    <col min="13837" max="13837" width="1.625" style="225" bestFit="1" customWidth="1"/>
    <col min="13838" max="13838" width="9.375" style="225"/>
    <col min="13839" max="13839" width="8.875" style="225" customWidth="1"/>
    <col min="13840" max="13840" width="13.125" style="225" customWidth="1"/>
    <col min="13841" max="13841" width="9.375" style="225"/>
    <col min="13842" max="13842" width="9.875" style="225" customWidth="1"/>
    <col min="13843" max="13843" width="11.75" style="225" bestFit="1" customWidth="1"/>
    <col min="13844" max="14073" width="9.375" style="225"/>
    <col min="14074" max="14074" width="5" style="225" customWidth="1"/>
    <col min="14075" max="14075" width="17.875" style="225" bestFit="1" customWidth="1"/>
    <col min="14076" max="14076" width="9.875" style="225" customWidth="1"/>
    <col min="14077" max="14077" width="8.875" style="225" customWidth="1"/>
    <col min="14078" max="14078" width="7.375" style="225" bestFit="1" customWidth="1"/>
    <col min="14079" max="14079" width="10.125" style="225" bestFit="1" customWidth="1"/>
    <col min="14080" max="14080" width="9.375" style="225"/>
    <col min="14081" max="14081" width="10.125" style="225" bestFit="1" customWidth="1"/>
    <col min="14082" max="14082" width="10.75" style="225" customWidth="1"/>
    <col min="14083" max="14085" width="9.375" style="225"/>
    <col min="14086" max="14087" width="10.75" style="225" customWidth="1"/>
    <col min="14088" max="14092" width="9.375" style="225"/>
    <col min="14093" max="14093" width="1.625" style="225" bestFit="1" customWidth="1"/>
    <col min="14094" max="14094" width="9.375" style="225"/>
    <col min="14095" max="14095" width="8.875" style="225" customWidth="1"/>
    <col min="14096" max="14096" width="13.125" style="225" customWidth="1"/>
    <col min="14097" max="14097" width="9.375" style="225"/>
    <col min="14098" max="14098" width="9.875" style="225" customWidth="1"/>
    <col min="14099" max="14099" width="11.75" style="225" bestFit="1" customWidth="1"/>
    <col min="14100" max="14329" width="9.375" style="225"/>
    <col min="14330" max="14330" width="5" style="225" customWidth="1"/>
    <col min="14331" max="14331" width="17.875" style="225" bestFit="1" customWidth="1"/>
    <col min="14332" max="14332" width="9.875" style="225" customWidth="1"/>
    <col min="14333" max="14333" width="8.875" style="225" customWidth="1"/>
    <col min="14334" max="14334" width="7.375" style="225" bestFit="1" customWidth="1"/>
    <col min="14335" max="14335" width="10.125" style="225" bestFit="1" customWidth="1"/>
    <col min="14336" max="14336" width="9.375" style="225"/>
    <col min="14337" max="14337" width="10.125" style="225" bestFit="1" customWidth="1"/>
    <col min="14338" max="14338" width="10.75" style="225" customWidth="1"/>
    <col min="14339" max="14341" width="9.375" style="225"/>
    <col min="14342" max="14343" width="10.75" style="225" customWidth="1"/>
    <col min="14344" max="14348" width="9.375" style="225"/>
    <col min="14349" max="14349" width="1.625" style="225" bestFit="1" customWidth="1"/>
    <col min="14350" max="14350" width="9.375" style="225"/>
    <col min="14351" max="14351" width="8.875" style="225" customWidth="1"/>
    <col min="14352" max="14352" width="13.125" style="225" customWidth="1"/>
    <col min="14353" max="14353" width="9.375" style="225"/>
    <col min="14354" max="14354" width="9.875" style="225" customWidth="1"/>
    <col min="14355" max="14355" width="11.75" style="225" bestFit="1" customWidth="1"/>
    <col min="14356" max="14585" width="9.375" style="225"/>
    <col min="14586" max="14586" width="5" style="225" customWidth="1"/>
    <col min="14587" max="14587" width="17.875" style="225" bestFit="1" customWidth="1"/>
    <col min="14588" max="14588" width="9.875" style="225" customWidth="1"/>
    <col min="14589" max="14589" width="8.875" style="225" customWidth="1"/>
    <col min="14590" max="14590" width="7.375" style="225" bestFit="1" customWidth="1"/>
    <col min="14591" max="14591" width="10.125" style="225" bestFit="1" customWidth="1"/>
    <col min="14592" max="14592" width="9.375" style="225"/>
    <col min="14593" max="14593" width="10.125" style="225" bestFit="1" customWidth="1"/>
    <col min="14594" max="14594" width="10.75" style="225" customWidth="1"/>
    <col min="14595" max="14597" width="9.375" style="225"/>
    <col min="14598" max="14599" width="10.75" style="225" customWidth="1"/>
    <col min="14600" max="14604" width="9.375" style="225"/>
    <col min="14605" max="14605" width="1.625" style="225" bestFit="1" customWidth="1"/>
    <col min="14606" max="14606" width="9.375" style="225"/>
    <col min="14607" max="14607" width="8.875" style="225" customWidth="1"/>
    <col min="14608" max="14608" width="13.125" style="225" customWidth="1"/>
    <col min="14609" max="14609" width="9.375" style="225"/>
    <col min="14610" max="14610" width="9.875" style="225" customWidth="1"/>
    <col min="14611" max="14611" width="11.75" style="225" bestFit="1" customWidth="1"/>
    <col min="14612" max="14841" width="9.375" style="225"/>
    <col min="14842" max="14842" width="5" style="225" customWidth="1"/>
    <col min="14843" max="14843" width="17.875" style="225" bestFit="1" customWidth="1"/>
    <col min="14844" max="14844" width="9.875" style="225" customWidth="1"/>
    <col min="14845" max="14845" width="8.875" style="225" customWidth="1"/>
    <col min="14846" max="14846" width="7.375" style="225" bestFit="1" customWidth="1"/>
    <col min="14847" max="14847" width="10.125" style="225" bestFit="1" customWidth="1"/>
    <col min="14848" max="14848" width="9.375" style="225"/>
    <col min="14849" max="14849" width="10.125" style="225" bestFit="1" customWidth="1"/>
    <col min="14850" max="14850" width="10.75" style="225" customWidth="1"/>
    <col min="14851" max="14853" width="9.375" style="225"/>
    <col min="14854" max="14855" width="10.75" style="225" customWidth="1"/>
    <col min="14856" max="14860" width="9.375" style="225"/>
    <col min="14861" max="14861" width="1.625" style="225" bestFit="1" customWidth="1"/>
    <col min="14862" max="14862" width="9.375" style="225"/>
    <col min="14863" max="14863" width="8.875" style="225" customWidth="1"/>
    <col min="14864" max="14864" width="13.125" style="225" customWidth="1"/>
    <col min="14865" max="14865" width="9.375" style="225"/>
    <col min="14866" max="14866" width="9.875" style="225" customWidth="1"/>
    <col min="14867" max="14867" width="11.75" style="225" bestFit="1" customWidth="1"/>
    <col min="14868" max="15097" width="9.375" style="225"/>
    <col min="15098" max="15098" width="5" style="225" customWidth="1"/>
    <col min="15099" max="15099" width="17.875" style="225" bestFit="1" customWidth="1"/>
    <col min="15100" max="15100" width="9.875" style="225" customWidth="1"/>
    <col min="15101" max="15101" width="8.875" style="225" customWidth="1"/>
    <col min="15102" max="15102" width="7.375" style="225" bestFit="1" customWidth="1"/>
    <col min="15103" max="15103" width="10.125" style="225" bestFit="1" customWidth="1"/>
    <col min="15104" max="15104" width="9.375" style="225"/>
    <col min="15105" max="15105" width="10.125" style="225" bestFit="1" customWidth="1"/>
    <col min="15106" max="15106" width="10.75" style="225" customWidth="1"/>
    <col min="15107" max="15109" width="9.375" style="225"/>
    <col min="15110" max="15111" width="10.75" style="225" customWidth="1"/>
    <col min="15112" max="15116" width="9.375" style="225"/>
    <col min="15117" max="15117" width="1.625" style="225" bestFit="1" customWidth="1"/>
    <col min="15118" max="15118" width="9.375" style="225"/>
    <col min="15119" max="15119" width="8.875" style="225" customWidth="1"/>
    <col min="15120" max="15120" width="13.125" style="225" customWidth="1"/>
    <col min="15121" max="15121" width="9.375" style="225"/>
    <col min="15122" max="15122" width="9.875" style="225" customWidth="1"/>
    <col min="15123" max="15123" width="11.75" style="225" bestFit="1" customWidth="1"/>
    <col min="15124" max="15353" width="9.375" style="225"/>
    <col min="15354" max="15354" width="5" style="225" customWidth="1"/>
    <col min="15355" max="15355" width="17.875" style="225" bestFit="1" customWidth="1"/>
    <col min="15356" max="15356" width="9.875" style="225" customWidth="1"/>
    <col min="15357" max="15357" width="8.875" style="225" customWidth="1"/>
    <col min="15358" max="15358" width="7.375" style="225" bestFit="1" customWidth="1"/>
    <col min="15359" max="15359" width="10.125" style="225" bestFit="1" customWidth="1"/>
    <col min="15360" max="15360" width="9.375" style="225"/>
    <col min="15361" max="15361" width="10.125" style="225" bestFit="1" customWidth="1"/>
    <col min="15362" max="15362" width="10.75" style="225" customWidth="1"/>
    <col min="15363" max="15365" width="9.375" style="225"/>
    <col min="15366" max="15367" width="10.75" style="225" customWidth="1"/>
    <col min="15368" max="15372" width="9.375" style="225"/>
    <col min="15373" max="15373" width="1.625" style="225" bestFit="1" customWidth="1"/>
    <col min="15374" max="15374" width="9.375" style="225"/>
    <col min="15375" max="15375" width="8.875" style="225" customWidth="1"/>
    <col min="15376" max="15376" width="13.125" style="225" customWidth="1"/>
    <col min="15377" max="15377" width="9.375" style="225"/>
    <col min="15378" max="15378" width="9.875" style="225" customWidth="1"/>
    <col min="15379" max="15379" width="11.75" style="225" bestFit="1" customWidth="1"/>
    <col min="15380" max="15609" width="9.375" style="225"/>
    <col min="15610" max="15610" width="5" style="225" customWidth="1"/>
    <col min="15611" max="15611" width="17.875" style="225" bestFit="1" customWidth="1"/>
    <col min="15612" max="15612" width="9.875" style="225" customWidth="1"/>
    <col min="15613" max="15613" width="8.875" style="225" customWidth="1"/>
    <col min="15614" max="15614" width="7.375" style="225" bestFit="1" customWidth="1"/>
    <col min="15615" max="15615" width="10.125" style="225" bestFit="1" customWidth="1"/>
    <col min="15616" max="15616" width="9.375" style="225"/>
    <col min="15617" max="15617" width="10.125" style="225" bestFit="1" customWidth="1"/>
    <col min="15618" max="15618" width="10.75" style="225" customWidth="1"/>
    <col min="15619" max="15621" width="9.375" style="225"/>
    <col min="15622" max="15623" width="10.75" style="225" customWidth="1"/>
    <col min="15624" max="15628" width="9.375" style="225"/>
    <col min="15629" max="15629" width="1.625" style="225" bestFit="1" customWidth="1"/>
    <col min="15630" max="15630" width="9.375" style="225"/>
    <col min="15631" max="15631" width="8.875" style="225" customWidth="1"/>
    <col min="15632" max="15632" width="13.125" style="225" customWidth="1"/>
    <col min="15633" max="15633" width="9.375" style="225"/>
    <col min="15634" max="15634" width="9.875" style="225" customWidth="1"/>
    <col min="15635" max="15635" width="11.75" style="225" bestFit="1" customWidth="1"/>
    <col min="15636" max="15865" width="9.375" style="225"/>
    <col min="15866" max="15866" width="5" style="225" customWidth="1"/>
    <col min="15867" max="15867" width="17.875" style="225" bestFit="1" customWidth="1"/>
    <col min="15868" max="15868" width="9.875" style="225" customWidth="1"/>
    <col min="15869" max="15869" width="8.875" style="225" customWidth="1"/>
    <col min="15870" max="15870" width="7.375" style="225" bestFit="1" customWidth="1"/>
    <col min="15871" max="15871" width="10.125" style="225" bestFit="1" customWidth="1"/>
    <col min="15872" max="15872" width="9.375" style="225"/>
    <col min="15873" max="15873" width="10.125" style="225" bestFit="1" customWidth="1"/>
    <col min="15874" max="15874" width="10.75" style="225" customWidth="1"/>
    <col min="15875" max="15877" width="9.375" style="225"/>
    <col min="15878" max="15879" width="10.75" style="225" customWidth="1"/>
    <col min="15880" max="15884" width="9.375" style="225"/>
    <col min="15885" max="15885" width="1.625" style="225" bestFit="1" customWidth="1"/>
    <col min="15886" max="15886" width="9.375" style="225"/>
    <col min="15887" max="15887" width="8.875" style="225" customWidth="1"/>
    <col min="15888" max="15888" width="13.125" style="225" customWidth="1"/>
    <col min="15889" max="15889" width="9.375" style="225"/>
    <col min="15890" max="15890" width="9.875" style="225" customWidth="1"/>
    <col min="15891" max="15891" width="11.75" style="225" bestFit="1" customWidth="1"/>
    <col min="15892" max="16121" width="9.375" style="225"/>
    <col min="16122" max="16122" width="5" style="225" customWidth="1"/>
    <col min="16123" max="16123" width="17.875" style="225" bestFit="1" customWidth="1"/>
    <col min="16124" max="16124" width="9.875" style="225" customWidth="1"/>
    <col min="16125" max="16125" width="8.875" style="225" customWidth="1"/>
    <col min="16126" max="16126" width="7.375" style="225" bestFit="1" customWidth="1"/>
    <col min="16127" max="16127" width="10.125" style="225" bestFit="1" customWidth="1"/>
    <col min="16128" max="16128" width="9.375" style="225"/>
    <col min="16129" max="16129" width="10.125" style="225" bestFit="1" customWidth="1"/>
    <col min="16130" max="16130" width="10.75" style="225" customWidth="1"/>
    <col min="16131" max="16133" width="9.375" style="225"/>
    <col min="16134" max="16135" width="10.75" style="225" customWidth="1"/>
    <col min="16136" max="16140" width="9.375" style="225"/>
    <col min="16141" max="16141" width="1.625" style="225" bestFit="1" customWidth="1"/>
    <col min="16142" max="16142" width="9.375" style="225"/>
    <col min="16143" max="16143" width="8.875" style="225" customWidth="1"/>
    <col min="16144" max="16144" width="13.125" style="225" customWidth="1"/>
    <col min="16145" max="16145" width="9.375" style="225"/>
    <col min="16146" max="16146" width="9.875" style="225" customWidth="1"/>
    <col min="16147" max="16147" width="11.75" style="225" bestFit="1" customWidth="1"/>
    <col min="16148" max="16384" width="9.375" style="225"/>
  </cols>
  <sheetData>
    <row r="1" spans="1:22" s="45" customFormat="1" ht="21" x14ac:dyDescent="0.2">
      <c r="A1" s="214" t="s">
        <v>507</v>
      </c>
      <c r="B1" s="44"/>
      <c r="C1" s="44"/>
      <c r="D1" s="220"/>
      <c r="E1" s="220"/>
      <c r="F1" s="220"/>
      <c r="G1" s="220"/>
      <c r="H1" s="221"/>
      <c r="I1" s="221"/>
      <c r="J1" s="221"/>
      <c r="K1" s="221"/>
      <c r="L1" s="221"/>
      <c r="M1" s="221"/>
      <c r="O1" s="221"/>
      <c r="P1" s="222"/>
      <c r="Q1" s="61"/>
      <c r="R1" s="222"/>
      <c r="S1" s="222"/>
      <c r="T1" s="61"/>
      <c r="U1" s="61"/>
      <c r="V1" s="61"/>
    </row>
    <row r="2" spans="1:22" s="55" customFormat="1" ht="21" x14ac:dyDescent="0.35">
      <c r="A2" s="27">
        <f>Paramètres!B5</f>
        <v>2017</v>
      </c>
      <c r="P2" s="224"/>
      <c r="Q2" s="223"/>
      <c r="R2" s="224"/>
      <c r="S2" s="224"/>
      <c r="T2" s="223"/>
      <c r="U2" s="223"/>
      <c r="V2" s="223"/>
    </row>
    <row r="4" spans="1:22" s="237" customFormat="1" ht="135" x14ac:dyDescent="0.2">
      <c r="A4" s="600" t="s">
        <v>50</v>
      </c>
      <c r="B4" s="600" t="s">
        <v>101</v>
      </c>
      <c r="C4" s="600" t="s">
        <v>501</v>
      </c>
      <c r="D4" s="600" t="s">
        <v>310</v>
      </c>
      <c r="E4" s="600" t="s">
        <v>497</v>
      </c>
      <c r="F4" s="600" t="s">
        <v>502</v>
      </c>
      <c r="G4" s="600" t="s">
        <v>465</v>
      </c>
      <c r="H4" s="602" t="s">
        <v>347</v>
      </c>
      <c r="I4" s="240" t="s">
        <v>508</v>
      </c>
      <c r="J4" s="600" t="s">
        <v>659</v>
      </c>
      <c r="K4" s="600" t="s">
        <v>503</v>
      </c>
      <c r="L4" s="600" t="s">
        <v>504</v>
      </c>
      <c r="M4" s="600" t="s">
        <v>511</v>
      </c>
      <c r="N4" s="240" t="s">
        <v>505</v>
      </c>
      <c r="O4" s="600" t="s">
        <v>506</v>
      </c>
      <c r="P4" s="235"/>
      <c r="Q4" s="234"/>
      <c r="R4" s="235"/>
      <c r="S4" s="236"/>
      <c r="T4" s="234"/>
      <c r="U4" s="234"/>
      <c r="V4" s="234"/>
    </row>
    <row r="5" spans="1:22" s="237" customFormat="1" x14ac:dyDescent="0.2">
      <c r="A5" s="601"/>
      <c r="B5" s="601"/>
      <c r="C5" s="601"/>
      <c r="D5" s="601"/>
      <c r="E5" s="601"/>
      <c r="F5" s="601"/>
      <c r="G5" s="601"/>
      <c r="H5" s="603"/>
      <c r="I5" s="257">
        <f>Paramètres!B66</f>
        <v>2</v>
      </c>
      <c r="J5" s="601"/>
      <c r="K5" s="601"/>
      <c r="L5" s="601"/>
      <c r="M5" s="601"/>
      <c r="N5" s="306">
        <f>+N315/M315</f>
        <v>1.2415561499460892</v>
      </c>
      <c r="O5" s="601"/>
      <c r="P5" s="236"/>
      <c r="Q5" s="234"/>
      <c r="R5" s="236"/>
      <c r="S5" s="236"/>
      <c r="T5" s="234"/>
      <c r="U5" s="234"/>
      <c r="V5" s="234"/>
    </row>
    <row r="6" spans="1:22" x14ac:dyDescent="0.25">
      <c r="A6" s="339">
        <f>'A) Base RI'!A7</f>
        <v>5401</v>
      </c>
      <c r="B6" s="238" t="str">
        <f>'A) Base RI'!B7</f>
        <v>Aigle</v>
      </c>
      <c r="C6" s="254">
        <v>1</v>
      </c>
      <c r="D6" s="228">
        <f>'B) D RI'!AR7</f>
        <v>10153</v>
      </c>
      <c r="E6" s="229">
        <f>'B) D RI'!S7</f>
        <v>67.5</v>
      </c>
      <c r="F6" s="10">
        <f>'B) D RI'!R7</f>
        <v>18954508.606666666</v>
      </c>
      <c r="G6" s="10">
        <f>'B) D RI'!U7</f>
        <v>280807.53491358022</v>
      </c>
      <c r="H6" s="43">
        <f>'B) D RI'!T7</f>
        <v>17250792.09</v>
      </c>
      <c r="I6" s="56">
        <f>+H6/E6*$I$5</f>
        <v>511134.58044444444</v>
      </c>
      <c r="J6" s="92">
        <f t="shared" ref="J6:J37" si="0">+$I$315/$D$315*D6</f>
        <v>874357.8233151054</v>
      </c>
      <c r="K6" s="56">
        <f t="shared" ref="K6:K69" si="1">IF(C6=1,0,IF(J6&gt;I6,I6,J6))</f>
        <v>0</v>
      </c>
      <c r="L6" s="56">
        <f>+J6-K6</f>
        <v>874357.8233151054</v>
      </c>
      <c r="M6" s="56">
        <f>'D) Ecrêtage'!M5</f>
        <v>280807.53491358022</v>
      </c>
      <c r="N6" s="56">
        <f t="shared" ref="N6:N37" si="2">+$N$5*M6</f>
        <v>348638.32192315668</v>
      </c>
      <c r="O6" s="106">
        <f>+N6+K6</f>
        <v>348638.32192315668</v>
      </c>
      <c r="P6" s="230"/>
      <c r="Q6" s="231"/>
      <c r="T6" s="232"/>
    </row>
    <row r="7" spans="1:22" x14ac:dyDescent="0.25">
      <c r="A7" s="340">
        <f>'A) Base RI'!A8</f>
        <v>5402</v>
      </c>
      <c r="B7" s="239" t="str">
        <f>'A) Base RI'!B8</f>
        <v>Bex</v>
      </c>
      <c r="C7" s="255">
        <v>1</v>
      </c>
      <c r="D7" s="228">
        <f>'B) D RI'!AR8</f>
        <v>7719</v>
      </c>
      <c r="E7" s="229">
        <f>'B) D RI'!S8</f>
        <v>71</v>
      </c>
      <c r="F7" s="10">
        <f>'B) D RI'!R8</f>
        <v>12701092.440000001</v>
      </c>
      <c r="G7" s="10">
        <f>'B) D RI'!U8</f>
        <v>178888.62591549297</v>
      </c>
      <c r="H7" s="43">
        <f>'B) D RI'!T8</f>
        <v>11414435.390000001</v>
      </c>
      <c r="I7" s="10">
        <f t="shared" ref="I7:I70" si="3">+H7/E7*$I$5</f>
        <v>321533.39126760565</v>
      </c>
      <c r="J7" s="33">
        <f t="shared" si="0"/>
        <v>664746.18715348153</v>
      </c>
      <c r="K7" s="10">
        <f t="shared" si="1"/>
        <v>0</v>
      </c>
      <c r="L7" s="10">
        <f t="shared" ref="L7:L70" si="4">+J7-K7</f>
        <v>664746.18715348153</v>
      </c>
      <c r="M7" s="10">
        <f>'D) Ecrêtage'!M6</f>
        <v>178888.62591549297</v>
      </c>
      <c r="N7" s="10">
        <f t="shared" si="2"/>
        <v>222100.27366078566</v>
      </c>
      <c r="O7" s="59">
        <f t="shared" ref="O7:O69" si="5">+N7+K7</f>
        <v>222100.27366078566</v>
      </c>
      <c r="P7" s="230"/>
      <c r="Q7" s="231"/>
      <c r="T7" s="232"/>
    </row>
    <row r="8" spans="1:22" x14ac:dyDescent="0.25">
      <c r="A8" s="340">
        <f>'A) Base RI'!A9</f>
        <v>5403</v>
      </c>
      <c r="B8" s="239" t="str">
        <f>'A) Base RI'!B9</f>
        <v>Chessel</v>
      </c>
      <c r="C8" s="255">
        <v>0</v>
      </c>
      <c r="D8" s="228">
        <f>'B) D RI'!AR9</f>
        <v>403</v>
      </c>
      <c r="E8" s="229">
        <f>'B) D RI'!S9</f>
        <v>74</v>
      </c>
      <c r="F8" s="10">
        <f>'B) D RI'!R9</f>
        <v>725007.03</v>
      </c>
      <c r="G8" s="10">
        <f>'B) D RI'!U9</f>
        <v>9797.3922972972978</v>
      </c>
      <c r="H8" s="43">
        <f>'B) D RI'!T9</f>
        <v>667743.78</v>
      </c>
      <c r="I8" s="10">
        <f t="shared" si="3"/>
        <v>18047.129189189189</v>
      </c>
      <c r="J8" s="33">
        <f t="shared" si="0"/>
        <v>34705.624228896631</v>
      </c>
      <c r="K8" s="10">
        <f t="shared" si="1"/>
        <v>18047.129189189189</v>
      </c>
      <c r="L8" s="10">
        <f t="shared" si="4"/>
        <v>16658.495039707443</v>
      </c>
      <c r="M8" s="10">
        <f>'D) Ecrêtage'!M7</f>
        <v>9797.3922972972978</v>
      </c>
      <c r="N8" s="10">
        <f t="shared" si="2"/>
        <v>12164.012660143902</v>
      </c>
      <c r="O8" s="59">
        <f t="shared" si="5"/>
        <v>30211.141849333093</v>
      </c>
      <c r="P8" s="230"/>
      <c r="Q8" s="231"/>
      <c r="T8" s="232"/>
    </row>
    <row r="9" spans="1:22" x14ac:dyDescent="0.25">
      <c r="A9" s="340">
        <f>'A) Base RI'!A10</f>
        <v>5404</v>
      </c>
      <c r="B9" s="239" t="str">
        <f>'A) Base RI'!B10</f>
        <v>Corbeyrier</v>
      </c>
      <c r="C9" s="255">
        <v>0</v>
      </c>
      <c r="D9" s="228">
        <f>'B) D RI'!AR10</f>
        <v>437</v>
      </c>
      <c r="E9" s="229">
        <f>'B) D RI'!S10</f>
        <v>70</v>
      </c>
      <c r="F9" s="10">
        <f>'B) D RI'!R10</f>
        <v>767574.84666666668</v>
      </c>
      <c r="G9" s="10">
        <f>'B) D RI'!U10</f>
        <v>10965.354952380952</v>
      </c>
      <c r="H9" s="43">
        <f>'B) D RI'!T10</f>
        <v>691588.53</v>
      </c>
      <c r="I9" s="10">
        <f t="shared" si="3"/>
        <v>19759.672285714285</v>
      </c>
      <c r="J9" s="33">
        <f t="shared" si="0"/>
        <v>37633.6421539152</v>
      </c>
      <c r="K9" s="10">
        <f t="shared" si="1"/>
        <v>19759.672285714285</v>
      </c>
      <c r="L9" s="10">
        <f t="shared" si="4"/>
        <v>17873.969868200915</v>
      </c>
      <c r="M9" s="10">
        <f>'D) Ecrêtage'!M8</f>
        <v>10965.354952380952</v>
      </c>
      <c r="N9" s="10">
        <f t="shared" si="2"/>
        <v>13614.103877470377</v>
      </c>
      <c r="O9" s="59">
        <f t="shared" si="5"/>
        <v>33373.776163184666</v>
      </c>
      <c r="P9" s="230"/>
      <c r="Q9" s="231"/>
      <c r="T9" s="232"/>
    </row>
    <row r="10" spans="1:22" x14ac:dyDescent="0.25">
      <c r="A10" s="340">
        <f>'A) Base RI'!A11</f>
        <v>5405</v>
      </c>
      <c r="B10" s="239" t="str">
        <f>'A) Base RI'!B11</f>
        <v>Gryon</v>
      </c>
      <c r="C10" s="255">
        <v>0</v>
      </c>
      <c r="D10" s="228">
        <f>'B) D RI'!AR11</f>
        <v>1364</v>
      </c>
      <c r="E10" s="229">
        <f>'B) D RI'!S11</f>
        <v>75</v>
      </c>
      <c r="F10" s="10">
        <f>'B) D RI'!R11</f>
        <v>5246237.9633333329</v>
      </c>
      <c r="G10" s="10">
        <f>'B) D RI'!U11</f>
        <v>69949.839511111102</v>
      </c>
      <c r="H10" s="43">
        <f>'B) D RI'!T11</f>
        <v>4472266.63</v>
      </c>
      <c r="I10" s="10">
        <f t="shared" si="3"/>
        <v>119260.44346666666</v>
      </c>
      <c r="J10" s="33">
        <f t="shared" si="0"/>
        <v>117465.18969780397</v>
      </c>
      <c r="K10" s="10">
        <f t="shared" si="1"/>
        <v>117465.18969780397</v>
      </c>
      <c r="L10" s="10">
        <f t="shared" si="4"/>
        <v>0</v>
      </c>
      <c r="M10" s="10">
        <f>'D) Ecrêtage'!M9</f>
        <v>69949.839511111102</v>
      </c>
      <c r="N10" s="10">
        <f t="shared" si="2"/>
        <v>86846.65343276193</v>
      </c>
      <c r="O10" s="59">
        <f t="shared" si="5"/>
        <v>204311.84313056589</v>
      </c>
      <c r="P10" s="230"/>
      <c r="Q10" s="231"/>
      <c r="T10" s="232"/>
    </row>
    <row r="11" spans="1:22" x14ac:dyDescent="0.25">
      <c r="A11" s="340">
        <f>'A) Base RI'!A12</f>
        <v>5406</v>
      </c>
      <c r="B11" s="239" t="str">
        <f>'A) Base RI'!B12</f>
        <v>Lavey-Morcles</v>
      </c>
      <c r="C11" s="255">
        <v>0</v>
      </c>
      <c r="D11" s="228">
        <f>'B) D RI'!AR12</f>
        <v>926</v>
      </c>
      <c r="E11" s="229">
        <f>'B) D RI'!S12</f>
        <v>71</v>
      </c>
      <c r="F11" s="10">
        <f>'B) D RI'!R12</f>
        <v>1576555.6923076925</v>
      </c>
      <c r="G11" s="10">
        <f>'B) D RI'!U12</f>
        <v>22205.009750812569</v>
      </c>
      <c r="H11" s="43">
        <f>'B) D RI'!T12</f>
        <v>1423414.9000000001</v>
      </c>
      <c r="I11" s="10">
        <f t="shared" si="3"/>
        <v>40096.194366197189</v>
      </c>
      <c r="J11" s="33">
        <f t="shared" si="0"/>
        <v>79745.429369623511</v>
      </c>
      <c r="K11" s="10">
        <f t="shared" si="1"/>
        <v>40096.194366197189</v>
      </c>
      <c r="L11" s="10">
        <f t="shared" si="4"/>
        <v>39649.235003426322</v>
      </c>
      <c r="M11" s="10">
        <f>'D) Ecrêtage'!M10</f>
        <v>22205.009750812569</v>
      </c>
      <c r="N11" s="10">
        <f t="shared" si="2"/>
        <v>27568.766415734222</v>
      </c>
      <c r="O11" s="59">
        <f t="shared" si="5"/>
        <v>67664.960781931411</v>
      </c>
      <c r="P11" s="230"/>
      <c r="Q11" s="231"/>
      <c r="T11" s="232"/>
    </row>
    <row r="12" spans="1:22" x14ac:dyDescent="0.25">
      <c r="A12" s="340">
        <f>'A) Base RI'!A13</f>
        <v>5407</v>
      </c>
      <c r="B12" s="239" t="str">
        <f>'A) Base RI'!B13</f>
        <v>Leysin</v>
      </c>
      <c r="C12" s="255">
        <v>0</v>
      </c>
      <c r="D12" s="228">
        <f>'B) D RI'!AR13</f>
        <v>4023</v>
      </c>
      <c r="E12" s="229">
        <f>'B) D RI'!S13</f>
        <v>78</v>
      </c>
      <c r="F12" s="10">
        <f>'B) D RI'!R13</f>
        <v>6963038.5199999996</v>
      </c>
      <c r="G12" s="10">
        <f>'B) D RI'!U13</f>
        <v>89269.724615384606</v>
      </c>
      <c r="H12" s="43">
        <f>'B) D RI'!T13</f>
        <v>6119042.3200000003</v>
      </c>
      <c r="I12" s="10">
        <f t="shared" si="3"/>
        <v>156898.52102564104</v>
      </c>
      <c r="J12" s="33">
        <f t="shared" si="0"/>
        <v>346453.41506910953</v>
      </c>
      <c r="K12" s="10">
        <f t="shared" si="1"/>
        <v>156898.52102564104</v>
      </c>
      <c r="L12" s="10">
        <f t="shared" si="4"/>
        <v>189554.89404346849</v>
      </c>
      <c r="M12" s="10">
        <f>'D) Ecrêtage'!M11</f>
        <v>89269.724615384606</v>
      </c>
      <c r="N12" s="10">
        <f t="shared" si="2"/>
        <v>110833.37560022454</v>
      </c>
      <c r="O12" s="59">
        <f t="shared" si="5"/>
        <v>267731.8966258656</v>
      </c>
      <c r="P12" s="230"/>
      <c r="Q12" s="231"/>
      <c r="T12" s="232"/>
    </row>
    <row r="13" spans="1:22" x14ac:dyDescent="0.25">
      <c r="A13" s="340">
        <f>'A) Base RI'!A14</f>
        <v>5408</v>
      </c>
      <c r="B13" s="239" t="str">
        <f>'A) Base RI'!B14</f>
        <v>Noville</v>
      </c>
      <c r="C13" s="255">
        <v>0</v>
      </c>
      <c r="D13" s="228">
        <f>'B) D RI'!AR14</f>
        <v>1055</v>
      </c>
      <c r="E13" s="229">
        <f>'B) D RI'!S14</f>
        <v>78.5</v>
      </c>
      <c r="F13" s="10">
        <f>'B) D RI'!R14</f>
        <v>2698161.7066666665</v>
      </c>
      <c r="G13" s="10">
        <f>'B) D RI'!U14</f>
        <v>34371.486709129509</v>
      </c>
      <c r="H13" s="43">
        <f>'B) D RI'!T14</f>
        <v>2506660.59</v>
      </c>
      <c r="I13" s="10">
        <f t="shared" si="3"/>
        <v>63863.96407643312</v>
      </c>
      <c r="J13" s="33">
        <f t="shared" si="0"/>
        <v>90854.673849841056</v>
      </c>
      <c r="K13" s="10">
        <f t="shared" si="1"/>
        <v>63863.96407643312</v>
      </c>
      <c r="L13" s="10">
        <f t="shared" si="4"/>
        <v>26990.709773407936</v>
      </c>
      <c r="M13" s="10">
        <f>'D) Ecrêtage'!M12</f>
        <v>34371.486709129509</v>
      </c>
      <c r="N13" s="10">
        <f t="shared" si="2"/>
        <v>42674.130706510012</v>
      </c>
      <c r="O13" s="59">
        <f t="shared" si="5"/>
        <v>106538.09478294314</v>
      </c>
      <c r="P13" s="230"/>
      <c r="Q13" s="231"/>
      <c r="T13" s="232"/>
    </row>
    <row r="14" spans="1:22" x14ac:dyDescent="0.25">
      <c r="A14" s="340">
        <f>'A) Base RI'!A15</f>
        <v>5409</v>
      </c>
      <c r="B14" s="239" t="str">
        <f>'A) Base RI'!B15</f>
        <v>Ollon</v>
      </c>
      <c r="C14" s="255">
        <v>1</v>
      </c>
      <c r="D14" s="228">
        <f>'B) D RI'!AR15</f>
        <v>7494</v>
      </c>
      <c r="E14" s="229">
        <f>'B) D RI'!S15</f>
        <v>68</v>
      </c>
      <c r="F14" s="10">
        <f>'B) D RI'!R15</f>
        <v>25296791.046153851</v>
      </c>
      <c r="G14" s="10">
        <f>'B) D RI'!U15</f>
        <v>372011.63303167425</v>
      </c>
      <c r="H14" s="43">
        <f>'B) D RI'!T15</f>
        <v>22301574.350000001</v>
      </c>
      <c r="I14" s="10">
        <f t="shared" si="3"/>
        <v>655928.65735294123</v>
      </c>
      <c r="J14" s="33">
        <f t="shared" si="0"/>
        <v>645369.5979437998</v>
      </c>
      <c r="K14" s="10">
        <f t="shared" si="1"/>
        <v>0</v>
      </c>
      <c r="L14" s="10">
        <f t="shared" si="4"/>
        <v>645369.5979437998</v>
      </c>
      <c r="M14" s="10">
        <f>'D) Ecrêtage'!M13</f>
        <v>372011.63303167425</v>
      </c>
      <c r="N14" s="10">
        <f t="shared" si="2"/>
        <v>461873.33084196289</v>
      </c>
      <c r="O14" s="59">
        <f t="shared" si="5"/>
        <v>461873.33084196289</v>
      </c>
      <c r="P14" s="230"/>
      <c r="Q14" s="231"/>
      <c r="T14" s="232"/>
    </row>
    <row r="15" spans="1:22" x14ac:dyDescent="0.25">
      <c r="A15" s="340">
        <f>'A) Base RI'!A16</f>
        <v>5410</v>
      </c>
      <c r="B15" s="239" t="str">
        <f>'A) Base RI'!B16</f>
        <v>Ormont-Dessous</v>
      </c>
      <c r="C15" s="255">
        <v>0</v>
      </c>
      <c r="D15" s="228">
        <f>'B) D RI'!AR16</f>
        <v>1117</v>
      </c>
      <c r="E15" s="229">
        <f>'B) D RI'!S16</f>
        <v>78.5</v>
      </c>
      <c r="F15" s="10">
        <f>'B) D RI'!R16</f>
        <v>3007797.0733333337</v>
      </c>
      <c r="G15" s="10">
        <f>'B) D RI'!U16</f>
        <v>38315.886284501066</v>
      </c>
      <c r="H15" s="43">
        <f>'B) D RI'!T16</f>
        <v>2636383.7400000002</v>
      </c>
      <c r="I15" s="10">
        <f t="shared" si="3"/>
        <v>67169.012484076433</v>
      </c>
      <c r="J15" s="33">
        <f t="shared" si="0"/>
        <v>96194.00065428669</v>
      </c>
      <c r="K15" s="10">
        <f t="shared" si="1"/>
        <v>67169.012484076433</v>
      </c>
      <c r="L15" s="10">
        <f t="shared" si="4"/>
        <v>29024.988170210258</v>
      </c>
      <c r="M15" s="10">
        <f>'D) Ecrêtage'!M14</f>
        <v>38315.886284501066</v>
      </c>
      <c r="N15" s="10">
        <f t="shared" si="2"/>
        <v>47571.324257157306</v>
      </c>
      <c r="O15" s="59">
        <f t="shared" si="5"/>
        <v>114740.33674123374</v>
      </c>
      <c r="P15" s="230"/>
      <c r="Q15" s="231"/>
      <c r="T15" s="232"/>
    </row>
    <row r="16" spans="1:22" s="226" customFormat="1" x14ac:dyDescent="0.25">
      <c r="A16" s="340">
        <f>'A) Base RI'!A17</f>
        <v>5411</v>
      </c>
      <c r="B16" s="239" t="str">
        <f>'A) Base RI'!B17</f>
        <v>Ormont-Dessus</v>
      </c>
      <c r="C16" s="255">
        <v>0</v>
      </c>
      <c r="D16" s="228">
        <f>'B) D RI'!AR17</f>
        <v>1467</v>
      </c>
      <c r="E16" s="229">
        <f>'B) D RI'!S17</f>
        <v>76</v>
      </c>
      <c r="F16" s="10">
        <f>'B) D RI'!R17</f>
        <v>6074178.6766666668</v>
      </c>
      <c r="G16" s="10">
        <f>'B) D RI'!U17</f>
        <v>79923.40364035088</v>
      </c>
      <c r="H16" s="43">
        <f>'B) D RI'!T17</f>
        <v>5276755.46</v>
      </c>
      <c r="I16" s="10">
        <f t="shared" si="3"/>
        <v>138861.98578947369</v>
      </c>
      <c r="J16" s="33">
        <f t="shared" si="0"/>
        <v>126335.36164712494</v>
      </c>
      <c r="K16" s="10">
        <f t="shared" si="1"/>
        <v>126335.36164712494</v>
      </c>
      <c r="L16" s="10">
        <f t="shared" si="4"/>
        <v>0</v>
      </c>
      <c r="M16" s="10">
        <f>'D) Ecrêtage'!M15</f>
        <v>79923.40364035088</v>
      </c>
      <c r="N16" s="10">
        <f t="shared" si="2"/>
        <v>99229.393314301284</v>
      </c>
      <c r="O16" s="59">
        <f t="shared" si="5"/>
        <v>225564.75496142622</v>
      </c>
      <c r="P16" s="230"/>
      <c r="Q16" s="231"/>
      <c r="R16" s="227"/>
      <c r="S16" s="227"/>
      <c r="T16" s="232"/>
    </row>
    <row r="17" spans="1:20" s="226" customFormat="1" x14ac:dyDescent="0.25">
      <c r="A17" s="340">
        <f>'A) Base RI'!A18</f>
        <v>5412</v>
      </c>
      <c r="B17" s="239" t="str">
        <f>'A) Base RI'!B18</f>
        <v>Rennaz</v>
      </c>
      <c r="C17" s="255">
        <v>0</v>
      </c>
      <c r="D17" s="228">
        <f>'B) D RI'!AR18</f>
        <v>839</v>
      </c>
      <c r="E17" s="229">
        <f>'B) D RI'!S18</f>
        <v>67.5</v>
      </c>
      <c r="F17" s="10">
        <f>'B) D RI'!R18</f>
        <v>2126154.3099999996</v>
      </c>
      <c r="G17" s="10">
        <f>'B) D RI'!U18</f>
        <v>31498.582370370365</v>
      </c>
      <c r="H17" s="43">
        <f>'B) D RI'!T18</f>
        <v>1906439.8599999996</v>
      </c>
      <c r="I17" s="10">
        <f t="shared" si="3"/>
        <v>56487.106962962949</v>
      </c>
      <c r="J17" s="33">
        <f t="shared" si="0"/>
        <v>72253.148208546583</v>
      </c>
      <c r="K17" s="10">
        <f t="shared" si="1"/>
        <v>56487.106962962949</v>
      </c>
      <c r="L17" s="10">
        <f t="shared" si="4"/>
        <v>15766.041245583634</v>
      </c>
      <c r="M17" s="10">
        <f>'D) Ecrêtage'!M16</f>
        <v>31498.582370370365</v>
      </c>
      <c r="N17" s="10">
        <f t="shared" si="2"/>
        <v>39107.258656516788</v>
      </c>
      <c r="O17" s="59">
        <f t="shared" si="5"/>
        <v>95594.365619479737</v>
      </c>
      <c r="P17" s="230"/>
      <c r="Q17" s="231"/>
      <c r="R17" s="227"/>
      <c r="S17" s="227"/>
      <c r="T17" s="232"/>
    </row>
    <row r="18" spans="1:20" s="226" customFormat="1" x14ac:dyDescent="0.25">
      <c r="A18" s="340">
        <f>'A) Base RI'!A19</f>
        <v>5413</v>
      </c>
      <c r="B18" s="239" t="str">
        <f>'A) Base RI'!B19</f>
        <v>Roche</v>
      </c>
      <c r="C18" s="255">
        <v>0</v>
      </c>
      <c r="D18" s="228">
        <f>'B) D RI'!AR19</f>
        <v>1650</v>
      </c>
      <c r="E18" s="229">
        <f>'B) D RI'!S19</f>
        <v>68</v>
      </c>
      <c r="F18" s="10">
        <f>'B) D RI'!R19</f>
        <v>2564412.6000000006</v>
      </c>
      <c r="G18" s="10">
        <f>'B) D RI'!U19</f>
        <v>37711.950000000012</v>
      </c>
      <c r="H18" s="43">
        <f>'B) D RI'!T19</f>
        <v>2311236.8500000006</v>
      </c>
      <c r="I18" s="10">
        <f t="shared" si="3"/>
        <v>67977.554411764722</v>
      </c>
      <c r="J18" s="33">
        <f t="shared" si="0"/>
        <v>142094.98753766611</v>
      </c>
      <c r="K18" s="10">
        <f t="shared" si="1"/>
        <v>67977.554411764722</v>
      </c>
      <c r="L18" s="10">
        <f t="shared" si="4"/>
        <v>74117.433125901385</v>
      </c>
      <c r="M18" s="10">
        <f>'D) Ecrêtage'!M17</f>
        <v>37711.950000000012</v>
      </c>
      <c r="N18" s="10">
        <f t="shared" si="2"/>
        <v>46821.503448959433</v>
      </c>
      <c r="O18" s="59">
        <f t="shared" si="5"/>
        <v>114799.05786072416</v>
      </c>
      <c r="P18" s="230"/>
      <c r="Q18" s="231"/>
      <c r="R18" s="227"/>
      <c r="S18" s="227"/>
      <c r="T18" s="232"/>
    </row>
    <row r="19" spans="1:20" s="226" customFormat="1" x14ac:dyDescent="0.25">
      <c r="A19" s="340">
        <f>'A) Base RI'!A20</f>
        <v>5414</v>
      </c>
      <c r="B19" s="239" t="str">
        <f>'A) Base RI'!B20</f>
        <v>Villeneuve</v>
      </c>
      <c r="C19" s="255">
        <v>0</v>
      </c>
      <c r="D19" s="228">
        <f>'B) D RI'!AR20</f>
        <v>5672</v>
      </c>
      <c r="E19" s="229">
        <f>'B) D RI'!S20</f>
        <v>69</v>
      </c>
      <c r="F19" s="10">
        <f>'B) D RI'!R20</f>
        <v>11640717.870000001</v>
      </c>
      <c r="G19" s="10">
        <f>'B) D RI'!U20</f>
        <v>168706.05608695652</v>
      </c>
      <c r="H19" s="43">
        <f>'B) D RI'!T20</f>
        <v>10470620.620000001</v>
      </c>
      <c r="I19" s="10">
        <f t="shared" si="3"/>
        <v>303496.24985507247</v>
      </c>
      <c r="J19" s="33">
        <f t="shared" si="0"/>
        <v>488462.28443251038</v>
      </c>
      <c r="K19" s="10">
        <f t="shared" si="1"/>
        <v>303496.24985507247</v>
      </c>
      <c r="L19" s="10">
        <f t="shared" si="4"/>
        <v>184966.03457743791</v>
      </c>
      <c r="M19" s="10">
        <f>'D) Ecrêtage'!M18</f>
        <v>168706.05608695652</v>
      </c>
      <c r="N19" s="10">
        <f t="shared" si="2"/>
        <v>209458.04146791072</v>
      </c>
      <c r="O19" s="59">
        <f t="shared" si="5"/>
        <v>512954.29132298322</v>
      </c>
      <c r="P19" s="230"/>
      <c r="Q19" s="231"/>
      <c r="R19" s="227"/>
      <c r="S19" s="227"/>
      <c r="T19" s="232"/>
    </row>
    <row r="20" spans="1:20" s="226" customFormat="1" x14ac:dyDescent="0.25">
      <c r="A20" s="340">
        <f>'A) Base RI'!A21</f>
        <v>5415</v>
      </c>
      <c r="B20" s="239" t="str">
        <f>'A) Base RI'!B21</f>
        <v>Yvorne</v>
      </c>
      <c r="C20" s="255">
        <v>0</v>
      </c>
      <c r="D20" s="228">
        <f>'B) D RI'!AR21</f>
        <v>1057</v>
      </c>
      <c r="E20" s="229">
        <f>'B) D RI'!S21</f>
        <v>71.5</v>
      </c>
      <c r="F20" s="10">
        <f>'B) D RI'!R21</f>
        <v>2503462.9233333338</v>
      </c>
      <c r="G20" s="10">
        <f>'B) D RI'!U21</f>
        <v>35013.467459207466</v>
      </c>
      <c r="H20" s="43">
        <f>'B) D RI'!T21</f>
        <v>2279753.0400000005</v>
      </c>
      <c r="I20" s="10">
        <f t="shared" si="3"/>
        <v>63769.315804195816</v>
      </c>
      <c r="J20" s="33">
        <f t="shared" si="0"/>
        <v>91026.910198371552</v>
      </c>
      <c r="K20" s="10">
        <f t="shared" si="1"/>
        <v>63769.315804195816</v>
      </c>
      <c r="L20" s="10">
        <f t="shared" si="4"/>
        <v>27257.594394175736</v>
      </c>
      <c r="M20" s="10">
        <f>'D) Ecrêtage'!M19</f>
        <v>35013.467459207466</v>
      </c>
      <c r="N20" s="10">
        <f t="shared" si="2"/>
        <v>43471.185854916301</v>
      </c>
      <c r="O20" s="59">
        <f t="shared" si="5"/>
        <v>107240.50165911211</v>
      </c>
      <c r="P20" s="230"/>
      <c r="Q20" s="231"/>
      <c r="R20" s="227"/>
      <c r="S20" s="227"/>
      <c r="T20" s="232"/>
    </row>
    <row r="21" spans="1:20" s="226" customFormat="1" x14ac:dyDescent="0.25">
      <c r="A21" s="340">
        <f>'A) Base RI'!A22</f>
        <v>5421</v>
      </c>
      <c r="B21" s="239" t="str">
        <f>'A) Base RI'!B22</f>
        <v>Apples</v>
      </c>
      <c r="C21" s="255">
        <v>0</v>
      </c>
      <c r="D21" s="228">
        <f>'B) D RI'!AR22</f>
        <v>1437</v>
      </c>
      <c r="E21" s="229">
        <f>'B) D RI'!S22</f>
        <v>76</v>
      </c>
      <c r="F21" s="10">
        <f>'B) D RI'!R22</f>
        <v>4508967.9100000011</v>
      </c>
      <c r="G21" s="10">
        <f>'B) D RI'!U22</f>
        <v>59328.525131578965</v>
      </c>
      <c r="H21" s="43">
        <f>'B) D RI'!T22</f>
        <v>4219907.3600000003</v>
      </c>
      <c r="I21" s="10">
        <f t="shared" si="3"/>
        <v>111050.19368421054</v>
      </c>
      <c r="J21" s="33">
        <f t="shared" si="0"/>
        <v>123751.81641916739</v>
      </c>
      <c r="K21" s="10">
        <f t="shared" si="1"/>
        <v>111050.19368421054</v>
      </c>
      <c r="L21" s="10">
        <f t="shared" si="4"/>
        <v>12701.622734956851</v>
      </c>
      <c r="M21" s="10">
        <f>'D) Ecrêtage'!M20</f>
        <v>59328.525131578965</v>
      </c>
      <c r="N21" s="10">
        <f t="shared" si="2"/>
        <v>73659.695244342976</v>
      </c>
      <c r="O21" s="59">
        <f t="shared" si="5"/>
        <v>184709.8889285535</v>
      </c>
      <c r="P21" s="230"/>
      <c r="Q21" s="231"/>
      <c r="R21" s="227"/>
      <c r="S21" s="227"/>
      <c r="T21" s="232"/>
    </row>
    <row r="22" spans="1:20" s="226" customFormat="1" x14ac:dyDescent="0.25">
      <c r="A22" s="340">
        <f>'A) Base RI'!A23</f>
        <v>5422</v>
      </c>
      <c r="B22" s="239" t="str">
        <f>'A) Base RI'!B23</f>
        <v>Aubonne</v>
      </c>
      <c r="C22" s="255">
        <v>0</v>
      </c>
      <c r="D22" s="228">
        <f>'B) D RI'!AR23</f>
        <v>3269</v>
      </c>
      <c r="E22" s="229">
        <f>'B) D RI'!S23</f>
        <v>68</v>
      </c>
      <c r="F22" s="10">
        <f>'B) D RI'!R23</f>
        <v>18026727.749999996</v>
      </c>
      <c r="G22" s="10">
        <f>'B) D RI'!U23</f>
        <v>265098.93749999994</v>
      </c>
      <c r="H22" s="43">
        <f>'B) D RI'!T23</f>
        <v>16987131.509999998</v>
      </c>
      <c r="I22" s="10">
        <f t="shared" si="3"/>
        <v>499621.51499999996</v>
      </c>
      <c r="J22" s="33">
        <f t="shared" si="0"/>
        <v>281520.31167310936</v>
      </c>
      <c r="K22" s="10">
        <f t="shared" si="1"/>
        <v>281520.31167310936</v>
      </c>
      <c r="L22" s="10">
        <f t="shared" si="4"/>
        <v>0</v>
      </c>
      <c r="M22" s="10">
        <f>'D) Ecrêtage'!M21</f>
        <v>243071.90261791559</v>
      </c>
      <c r="N22" s="10">
        <f t="shared" si="2"/>
        <v>301787.41557437001</v>
      </c>
      <c r="O22" s="59">
        <f t="shared" si="5"/>
        <v>583307.72724747937</v>
      </c>
      <c r="P22" s="230"/>
      <c r="Q22" s="231"/>
      <c r="R22" s="227"/>
      <c r="S22" s="227"/>
      <c r="T22" s="232"/>
    </row>
    <row r="23" spans="1:20" s="226" customFormat="1" x14ac:dyDescent="0.25">
      <c r="A23" s="340">
        <f>'A) Base RI'!A24</f>
        <v>5423</v>
      </c>
      <c r="B23" s="239" t="str">
        <f>'A) Base RI'!B24</f>
        <v>Ballens</v>
      </c>
      <c r="C23" s="255">
        <v>0</v>
      </c>
      <c r="D23" s="228">
        <f>'B) D RI'!AR24</f>
        <v>527</v>
      </c>
      <c r="E23" s="229">
        <f>'B) D RI'!S24</f>
        <v>69</v>
      </c>
      <c r="F23" s="10">
        <f>'B) D RI'!R24</f>
        <v>1152539.1900000002</v>
      </c>
      <c r="G23" s="10">
        <f>'B) D RI'!U24</f>
        <v>16703.466521739134</v>
      </c>
      <c r="H23" s="43">
        <f>'B) D RI'!T24</f>
        <v>1074162.9400000002</v>
      </c>
      <c r="I23" s="10">
        <f t="shared" si="3"/>
        <v>31135.157681159424</v>
      </c>
      <c r="J23" s="33">
        <f t="shared" si="0"/>
        <v>45384.2778377879</v>
      </c>
      <c r="K23" s="10">
        <f t="shared" si="1"/>
        <v>31135.157681159424</v>
      </c>
      <c r="L23" s="10">
        <f t="shared" si="4"/>
        <v>14249.120156628476</v>
      </c>
      <c r="M23" s="10">
        <f>'D) Ecrêtage'!M22</f>
        <v>16703.466521739134</v>
      </c>
      <c r="N23" s="10">
        <f t="shared" si="2"/>
        <v>20738.291585483832</v>
      </c>
      <c r="O23" s="59">
        <f t="shared" si="5"/>
        <v>51873.449266643256</v>
      </c>
      <c r="P23" s="230"/>
      <c r="Q23" s="231"/>
      <c r="R23" s="227"/>
      <c r="S23" s="227"/>
      <c r="T23" s="232"/>
    </row>
    <row r="24" spans="1:20" s="226" customFormat="1" x14ac:dyDescent="0.25">
      <c r="A24" s="340">
        <f>'A) Base RI'!A25</f>
        <v>5424</v>
      </c>
      <c r="B24" s="239" t="str">
        <f>'A) Base RI'!B25</f>
        <v>Berolle</v>
      </c>
      <c r="C24" s="255">
        <v>0</v>
      </c>
      <c r="D24" s="228">
        <f>'B) D RI'!AR25</f>
        <v>301</v>
      </c>
      <c r="E24" s="229">
        <f>'B) D RI'!S25</f>
        <v>77</v>
      </c>
      <c r="F24" s="10">
        <f>'B) D RI'!R25</f>
        <v>873406.4700000002</v>
      </c>
      <c r="G24" s="10">
        <f>'B) D RI'!U25</f>
        <v>11342.941168831172</v>
      </c>
      <c r="H24" s="43">
        <f>'B) D RI'!T25</f>
        <v>823622.57000000018</v>
      </c>
      <c r="I24" s="10">
        <f t="shared" si="3"/>
        <v>21392.794025974032</v>
      </c>
      <c r="J24" s="33">
        <f t="shared" si="0"/>
        <v>25921.570453840905</v>
      </c>
      <c r="K24" s="10">
        <f t="shared" si="1"/>
        <v>21392.794025974032</v>
      </c>
      <c r="L24" s="10">
        <f t="shared" si="4"/>
        <v>4528.7764278668728</v>
      </c>
      <c r="M24" s="10">
        <f>'D) Ecrêtage'!M23</f>
        <v>11342.941168831172</v>
      </c>
      <c r="N24" s="10">
        <f t="shared" si="2"/>
        <v>14082.898366639023</v>
      </c>
      <c r="O24" s="59">
        <f t="shared" si="5"/>
        <v>35475.692392613055</v>
      </c>
      <c r="P24" s="230"/>
      <c r="Q24" s="231"/>
      <c r="R24" s="227"/>
      <c r="S24" s="227"/>
      <c r="T24" s="232"/>
    </row>
    <row r="25" spans="1:20" s="226" customFormat="1" x14ac:dyDescent="0.25">
      <c r="A25" s="340">
        <f>'A) Base RI'!A26</f>
        <v>5425</v>
      </c>
      <c r="B25" s="239" t="str">
        <f>'A) Base RI'!B26</f>
        <v>Bière</v>
      </c>
      <c r="C25" s="255">
        <v>0</v>
      </c>
      <c r="D25" s="228">
        <f>'B) D RI'!AR26</f>
        <v>1577</v>
      </c>
      <c r="E25" s="229">
        <f>'B) D RI'!S26</f>
        <v>68</v>
      </c>
      <c r="F25" s="10">
        <f>'B) D RI'!R26</f>
        <v>2818693.9837931031</v>
      </c>
      <c r="G25" s="10">
        <f>'B) D RI'!U26</f>
        <v>41451.382114604457</v>
      </c>
      <c r="H25" s="43">
        <f>'B) D RI'!T26</f>
        <v>2612624.27</v>
      </c>
      <c r="I25" s="10">
        <f t="shared" si="3"/>
        <v>76841.890294117649</v>
      </c>
      <c r="J25" s="33">
        <f t="shared" si="0"/>
        <v>135808.36081630268</v>
      </c>
      <c r="K25" s="10">
        <f t="shared" si="1"/>
        <v>76841.890294117649</v>
      </c>
      <c r="L25" s="10">
        <f t="shared" si="4"/>
        <v>58966.470522185031</v>
      </c>
      <c r="M25" s="10">
        <f>'D) Ecrêtage'!M24</f>
        <v>41451.382114604457</v>
      </c>
      <c r="N25" s="10">
        <f t="shared" si="2"/>
        <v>51464.218388152491</v>
      </c>
      <c r="O25" s="59">
        <f t="shared" si="5"/>
        <v>128306.10868227013</v>
      </c>
      <c r="P25" s="230"/>
      <c r="Q25" s="231"/>
      <c r="R25" s="227"/>
      <c r="S25" s="227"/>
      <c r="T25" s="232"/>
    </row>
    <row r="26" spans="1:20" s="226" customFormat="1" x14ac:dyDescent="0.25">
      <c r="A26" s="340">
        <f>'A) Base RI'!A27</f>
        <v>5426</v>
      </c>
      <c r="B26" s="239" t="str">
        <f>'A) Base RI'!B27</f>
        <v>Bougy-Villars</v>
      </c>
      <c r="C26" s="255">
        <v>0</v>
      </c>
      <c r="D26" s="228">
        <f>'B) D RI'!AR27</f>
        <v>483</v>
      </c>
      <c r="E26" s="229">
        <f>'B) D RI'!S27</f>
        <v>66</v>
      </c>
      <c r="F26" s="10">
        <f>'B) D RI'!R27</f>
        <v>3163631.2766666664</v>
      </c>
      <c r="G26" s="10">
        <f>'B) D RI'!U27</f>
        <v>47933.807222222218</v>
      </c>
      <c r="H26" s="43">
        <f>'B) D RI'!T27</f>
        <v>2924188.81</v>
      </c>
      <c r="I26" s="10">
        <f t="shared" si="3"/>
        <v>88611.78212121212</v>
      </c>
      <c r="J26" s="33">
        <f t="shared" si="0"/>
        <v>41595.078170116802</v>
      </c>
      <c r="K26" s="10">
        <f t="shared" si="1"/>
        <v>41595.078170116802</v>
      </c>
      <c r="L26" s="10">
        <f t="shared" si="4"/>
        <v>0</v>
      </c>
      <c r="M26" s="10">
        <f>'D) Ecrêtage'!M25</f>
        <v>41849.005745343922</v>
      </c>
      <c r="N26" s="10">
        <f t="shared" si="2"/>
        <v>51957.890452260966</v>
      </c>
      <c r="O26" s="59">
        <f t="shared" si="5"/>
        <v>93552.968622377768</v>
      </c>
      <c r="P26" s="230"/>
      <c r="Q26" s="231"/>
      <c r="R26" s="227"/>
      <c r="S26" s="227"/>
      <c r="T26" s="232"/>
    </row>
    <row r="27" spans="1:20" s="226" customFormat="1" x14ac:dyDescent="0.25">
      <c r="A27" s="340">
        <f>'A) Base RI'!A28</f>
        <v>5427</v>
      </c>
      <c r="B27" s="239" t="str">
        <f>'A) Base RI'!B28</f>
        <v>Féchy</v>
      </c>
      <c r="C27" s="255">
        <v>0</v>
      </c>
      <c r="D27" s="228">
        <f>'B) D RI'!AR28</f>
        <v>895</v>
      </c>
      <c r="E27" s="229">
        <f>'B) D RI'!S28</f>
        <v>64</v>
      </c>
      <c r="F27" s="10">
        <f>'B) D RI'!R28</f>
        <v>5104664.8123076921</v>
      </c>
      <c r="G27" s="10">
        <f>'B) D RI'!U28</f>
        <v>79760.38769230769</v>
      </c>
      <c r="H27" s="43">
        <f>'B) D RI'!T28</f>
        <v>4766206.42</v>
      </c>
      <c r="I27" s="10">
        <f t="shared" si="3"/>
        <v>148943.950625</v>
      </c>
      <c r="J27" s="33">
        <f t="shared" si="0"/>
        <v>77075.765967400701</v>
      </c>
      <c r="K27" s="10">
        <f t="shared" si="1"/>
        <v>77075.765967400701</v>
      </c>
      <c r="L27" s="10">
        <f t="shared" si="4"/>
        <v>0</v>
      </c>
      <c r="M27" s="10">
        <f>'D) Ecrêtage'!M26</f>
        <v>71582.758278952533</v>
      </c>
      <c r="N27" s="10">
        <f t="shared" si="2"/>
        <v>88874.01377133785</v>
      </c>
      <c r="O27" s="59">
        <f t="shared" si="5"/>
        <v>165949.77973873855</v>
      </c>
      <c r="P27" s="230"/>
      <c r="Q27" s="231"/>
      <c r="R27" s="227"/>
      <c r="S27" s="227"/>
      <c r="T27" s="232"/>
    </row>
    <row r="28" spans="1:20" s="226" customFormat="1" x14ac:dyDescent="0.25">
      <c r="A28" s="340">
        <f>'A) Base RI'!A29</f>
        <v>5428</v>
      </c>
      <c r="B28" s="239" t="str">
        <f>'A) Base RI'!B29</f>
        <v>Gimel</v>
      </c>
      <c r="C28" s="255">
        <v>0</v>
      </c>
      <c r="D28" s="228">
        <f>'B) D RI'!AR29</f>
        <v>2016</v>
      </c>
      <c r="E28" s="229">
        <f>'B) D RI'!S29</f>
        <v>71.5</v>
      </c>
      <c r="F28" s="10">
        <f>'B) D RI'!R29</f>
        <v>4482666.9800000004</v>
      </c>
      <c r="G28" s="10">
        <f>'B) D RI'!U29</f>
        <v>62694.643076923086</v>
      </c>
      <c r="H28" s="43">
        <f>'B) D RI'!T29</f>
        <v>4150117.0800000005</v>
      </c>
      <c r="I28" s="10">
        <f t="shared" si="3"/>
        <v>116087.19104895106</v>
      </c>
      <c r="J28" s="33">
        <f t="shared" si="0"/>
        <v>173614.23931874838</v>
      </c>
      <c r="K28" s="10">
        <f t="shared" si="1"/>
        <v>116087.19104895106</v>
      </c>
      <c r="L28" s="10">
        <f t="shared" si="4"/>
        <v>57527.04826979732</v>
      </c>
      <c r="M28" s="10">
        <f>'D) Ecrêtage'!M27</f>
        <v>62694.643076923086</v>
      </c>
      <c r="N28" s="10">
        <f t="shared" si="2"/>
        <v>77838.919680828869</v>
      </c>
      <c r="O28" s="59">
        <f t="shared" si="5"/>
        <v>193926.11072977993</v>
      </c>
      <c r="P28" s="230"/>
      <c r="Q28" s="231"/>
      <c r="R28" s="227"/>
      <c r="S28" s="227"/>
      <c r="T28" s="232"/>
    </row>
    <row r="29" spans="1:20" s="226" customFormat="1" x14ac:dyDescent="0.25">
      <c r="A29" s="340">
        <f>'A) Base RI'!A30</f>
        <v>5429</v>
      </c>
      <c r="B29" s="239" t="str">
        <f>'A) Base RI'!B30</f>
        <v>Longirod</v>
      </c>
      <c r="C29" s="255">
        <v>0</v>
      </c>
      <c r="D29" s="228">
        <f>'B) D RI'!AR30</f>
        <v>469</v>
      </c>
      <c r="E29" s="229">
        <f>'B) D RI'!S30</f>
        <v>81</v>
      </c>
      <c r="F29" s="10">
        <f>'B) D RI'!R30</f>
        <v>1206500.1199999999</v>
      </c>
      <c r="G29" s="10">
        <f>'B) D RI'!U30</f>
        <v>14895.063209876542</v>
      </c>
      <c r="H29" s="43">
        <f>'B) D RI'!T30</f>
        <v>1112759.02</v>
      </c>
      <c r="I29" s="10">
        <f t="shared" si="3"/>
        <v>27475.531358024691</v>
      </c>
      <c r="J29" s="33">
        <f t="shared" si="0"/>
        <v>40389.423730403272</v>
      </c>
      <c r="K29" s="10">
        <f t="shared" si="1"/>
        <v>27475.531358024691</v>
      </c>
      <c r="L29" s="10">
        <f t="shared" si="4"/>
        <v>12913.892372378581</v>
      </c>
      <c r="M29" s="10">
        <f>'D) Ecrêtage'!M28</f>
        <v>14895.063209876542</v>
      </c>
      <c r="N29" s="10">
        <f t="shared" si="2"/>
        <v>18493.057332057957</v>
      </c>
      <c r="O29" s="59">
        <f t="shared" si="5"/>
        <v>45968.588690082644</v>
      </c>
      <c r="P29" s="230"/>
      <c r="Q29" s="231"/>
      <c r="R29" s="227"/>
      <c r="S29" s="227"/>
      <c r="T29" s="232"/>
    </row>
    <row r="30" spans="1:20" s="226" customFormat="1" x14ac:dyDescent="0.25">
      <c r="A30" s="340">
        <f>'A) Base RI'!A31</f>
        <v>5430</v>
      </c>
      <c r="B30" s="239" t="str">
        <f>'A) Base RI'!B31</f>
        <v>Marchissy</v>
      </c>
      <c r="C30" s="255">
        <v>0</v>
      </c>
      <c r="D30" s="228">
        <f>'B) D RI'!AR31</f>
        <v>455</v>
      </c>
      <c r="E30" s="229">
        <f>'B) D RI'!S31</f>
        <v>79</v>
      </c>
      <c r="F30" s="10">
        <f>'B) D RI'!R31</f>
        <v>1076306.2</v>
      </c>
      <c r="G30" s="10">
        <f>'B) D RI'!U31</f>
        <v>13624.129113924049</v>
      </c>
      <c r="H30" s="43">
        <f>'B) D RI'!T31</f>
        <v>995233.64999999991</v>
      </c>
      <c r="I30" s="10">
        <f t="shared" si="3"/>
        <v>25195.788607594935</v>
      </c>
      <c r="J30" s="33">
        <f t="shared" si="0"/>
        <v>39183.769290689743</v>
      </c>
      <c r="K30" s="10">
        <f t="shared" si="1"/>
        <v>25195.788607594935</v>
      </c>
      <c r="L30" s="10">
        <f t="shared" si="4"/>
        <v>13987.980683094807</v>
      </c>
      <c r="M30" s="10">
        <f>'D) Ecrêtage'!M29</f>
        <v>13624.129113924049</v>
      </c>
      <c r="N30" s="10">
        <f t="shared" si="2"/>
        <v>16915.121289051967</v>
      </c>
      <c r="O30" s="59">
        <f t="shared" si="5"/>
        <v>42110.909896646903</v>
      </c>
      <c r="P30" s="230"/>
      <c r="Q30" s="231"/>
      <c r="R30" s="227"/>
      <c r="S30" s="227"/>
      <c r="T30" s="232"/>
    </row>
    <row r="31" spans="1:20" s="226" customFormat="1" x14ac:dyDescent="0.25">
      <c r="A31" s="340">
        <f>'A) Base RI'!A32</f>
        <v>5431</v>
      </c>
      <c r="B31" s="239" t="str">
        <f>'A) Base RI'!B32</f>
        <v>Mollens</v>
      </c>
      <c r="C31" s="255">
        <v>0</v>
      </c>
      <c r="D31" s="228">
        <f>'B) D RI'!AR32</f>
        <v>301</v>
      </c>
      <c r="E31" s="229">
        <f>'B) D RI'!S32</f>
        <v>74</v>
      </c>
      <c r="F31" s="10">
        <f>'B) D RI'!R32</f>
        <v>664221.35000000009</v>
      </c>
      <c r="G31" s="10">
        <f>'B) D RI'!U32</f>
        <v>8975.9641891891897</v>
      </c>
      <c r="H31" s="43">
        <f>'B) D RI'!T32</f>
        <v>615787.70000000007</v>
      </c>
      <c r="I31" s="10">
        <f t="shared" si="3"/>
        <v>16642.910810810812</v>
      </c>
      <c r="J31" s="33">
        <f t="shared" si="0"/>
        <v>25921.570453840905</v>
      </c>
      <c r="K31" s="10">
        <f t="shared" si="1"/>
        <v>16642.910810810812</v>
      </c>
      <c r="L31" s="10">
        <f t="shared" si="4"/>
        <v>9278.6596430300924</v>
      </c>
      <c r="M31" s="10">
        <f>'D) Ecrêtage'!M30</f>
        <v>8975.9641891891897</v>
      </c>
      <c r="N31" s="10">
        <f t="shared" si="2"/>
        <v>11144.1635407837</v>
      </c>
      <c r="O31" s="59">
        <f t="shared" si="5"/>
        <v>27787.074351594514</v>
      </c>
      <c r="P31" s="230"/>
      <c r="Q31" s="231"/>
      <c r="R31" s="227"/>
      <c r="S31" s="227"/>
      <c r="T31" s="232"/>
    </row>
    <row r="32" spans="1:20" s="226" customFormat="1" x14ac:dyDescent="0.25">
      <c r="A32" s="340">
        <f>'A) Base RI'!A33</f>
        <v>5432</v>
      </c>
      <c r="B32" s="239" t="str">
        <f>'A) Base RI'!B33</f>
        <v>Montherod</v>
      </c>
      <c r="C32" s="255">
        <v>0</v>
      </c>
      <c r="D32" s="228">
        <f>'B) D RI'!AR33</f>
        <v>534</v>
      </c>
      <c r="E32" s="229">
        <f>'B) D RI'!S33</f>
        <v>78</v>
      </c>
      <c r="F32" s="10">
        <f>'B) D RI'!R33</f>
        <v>1405541.4</v>
      </c>
      <c r="G32" s="10">
        <f>'B) D RI'!U33</f>
        <v>18019.761538461538</v>
      </c>
      <c r="H32" s="43">
        <f>'B) D RI'!T33</f>
        <v>1307703.2</v>
      </c>
      <c r="I32" s="10">
        <f t="shared" si="3"/>
        <v>33530.851282051284</v>
      </c>
      <c r="J32" s="33">
        <f t="shared" si="0"/>
        <v>45987.105057644665</v>
      </c>
      <c r="K32" s="10">
        <f t="shared" si="1"/>
        <v>33530.851282051284</v>
      </c>
      <c r="L32" s="10">
        <f t="shared" si="4"/>
        <v>12456.253775593381</v>
      </c>
      <c r="M32" s="10">
        <f>'D) Ecrêtage'!M31</f>
        <v>18019.761538461538</v>
      </c>
      <c r="N32" s="10">
        <f t="shared" si="2"/>
        <v>22372.545758638924</v>
      </c>
      <c r="O32" s="59">
        <f t="shared" si="5"/>
        <v>55903.397040690208</v>
      </c>
      <c r="P32" s="230"/>
      <c r="Q32" s="231"/>
      <c r="R32" s="227"/>
      <c r="S32" s="227"/>
      <c r="T32" s="232"/>
    </row>
    <row r="33" spans="1:20" s="226" customFormat="1" x14ac:dyDescent="0.25">
      <c r="A33" s="340">
        <f>'A) Base RI'!A34</f>
        <v>5434</v>
      </c>
      <c r="B33" s="239" t="str">
        <f>'A) Base RI'!B34</f>
        <v>Saint-George</v>
      </c>
      <c r="C33" s="255">
        <v>0</v>
      </c>
      <c r="D33" s="228">
        <f>'B) D RI'!AR34</f>
        <v>1031</v>
      </c>
      <c r="E33" s="229">
        <f>'B) D RI'!S34</f>
        <v>71</v>
      </c>
      <c r="F33" s="10">
        <f>'B) D RI'!R34</f>
        <v>2644301.4500000002</v>
      </c>
      <c r="G33" s="10">
        <f>'B) D RI'!U34</f>
        <v>37243.682394366202</v>
      </c>
      <c r="H33" s="43">
        <f>'B) D RI'!T34</f>
        <v>2430269.9500000002</v>
      </c>
      <c r="I33" s="10">
        <f t="shared" si="3"/>
        <v>68458.308450704237</v>
      </c>
      <c r="J33" s="33">
        <f t="shared" si="0"/>
        <v>88787.837667475003</v>
      </c>
      <c r="K33" s="10">
        <f t="shared" si="1"/>
        <v>68458.308450704237</v>
      </c>
      <c r="L33" s="10">
        <f t="shared" si="4"/>
        <v>20329.529216770767</v>
      </c>
      <c r="M33" s="10">
        <f>'D) Ecrêtage'!M32</f>
        <v>37243.682394366202</v>
      </c>
      <c r="N33" s="10">
        <f t="shared" si="2"/>
        <v>46240.122923364244</v>
      </c>
      <c r="O33" s="59">
        <f t="shared" si="5"/>
        <v>114698.43137406849</v>
      </c>
      <c r="P33" s="230"/>
      <c r="Q33" s="231"/>
      <c r="R33" s="227"/>
      <c r="S33" s="227"/>
      <c r="T33" s="232"/>
    </row>
    <row r="34" spans="1:20" s="226" customFormat="1" x14ac:dyDescent="0.25">
      <c r="A34" s="340">
        <f>'A) Base RI'!A35</f>
        <v>5435</v>
      </c>
      <c r="B34" s="239" t="str">
        <f>'A) Base RI'!B35</f>
        <v>Saint-Livres</v>
      </c>
      <c r="C34" s="255">
        <v>0</v>
      </c>
      <c r="D34" s="228">
        <f>'B) D RI'!AR35</f>
        <v>683</v>
      </c>
      <c r="E34" s="229">
        <f>'B) D RI'!S35</f>
        <v>69</v>
      </c>
      <c r="F34" s="10">
        <f>'B) D RI'!R35</f>
        <v>1779117.2699999998</v>
      </c>
      <c r="G34" s="10">
        <f>'B) D RI'!U35</f>
        <v>25784.308260869562</v>
      </c>
      <c r="H34" s="43">
        <f>'B) D RI'!T35</f>
        <v>1658245.2699999998</v>
      </c>
      <c r="I34" s="10">
        <f t="shared" si="3"/>
        <v>48065.080289855068</v>
      </c>
      <c r="J34" s="33">
        <f t="shared" si="0"/>
        <v>58818.713023167242</v>
      </c>
      <c r="K34" s="10">
        <f t="shared" si="1"/>
        <v>48065.080289855068</v>
      </c>
      <c r="L34" s="10">
        <f t="shared" si="4"/>
        <v>10753.632733312174</v>
      </c>
      <c r="M34" s="10">
        <f>'D) Ecrêtage'!M33</f>
        <v>25784.308260869562</v>
      </c>
      <c r="N34" s="10">
        <f t="shared" si="2"/>
        <v>32012.666493388359</v>
      </c>
      <c r="O34" s="59">
        <f t="shared" si="5"/>
        <v>80077.746783243434</v>
      </c>
      <c r="P34" s="230"/>
      <c r="Q34" s="231"/>
      <c r="R34" s="227"/>
      <c r="S34" s="227"/>
      <c r="T34" s="232"/>
    </row>
    <row r="35" spans="1:20" s="226" customFormat="1" x14ac:dyDescent="0.25">
      <c r="A35" s="340">
        <f>'A) Base RI'!A36</f>
        <v>5436</v>
      </c>
      <c r="B35" s="239" t="str">
        <f>'A) Base RI'!B36</f>
        <v>Saint-Oyens</v>
      </c>
      <c r="C35" s="255">
        <v>0</v>
      </c>
      <c r="D35" s="228">
        <f>'B) D RI'!AR36</f>
        <v>366</v>
      </c>
      <c r="E35" s="229">
        <f>'B) D RI'!S36</f>
        <v>81</v>
      </c>
      <c r="F35" s="10">
        <f>'B) D RI'!R36</f>
        <v>917745.89500000014</v>
      </c>
      <c r="G35" s="10">
        <f>'B) D RI'!U36</f>
        <v>11330.196234567902</v>
      </c>
      <c r="H35" s="43">
        <f>'B) D RI'!T36</f>
        <v>856721.77000000014</v>
      </c>
      <c r="I35" s="10">
        <f t="shared" si="3"/>
        <v>21153.623950617286</v>
      </c>
      <c r="J35" s="33">
        <f t="shared" si="0"/>
        <v>31519.251781082297</v>
      </c>
      <c r="K35" s="10">
        <f t="shared" si="1"/>
        <v>21153.623950617286</v>
      </c>
      <c r="L35" s="10">
        <f t="shared" si="4"/>
        <v>10365.627830465011</v>
      </c>
      <c r="M35" s="10">
        <f>'D) Ecrêtage'!M34</f>
        <v>11330.196234567902</v>
      </c>
      <c r="N35" s="10">
        <f t="shared" si="2"/>
        <v>14067.074815123802</v>
      </c>
      <c r="O35" s="59">
        <f t="shared" si="5"/>
        <v>35220.698765741086</v>
      </c>
      <c r="P35" s="230"/>
      <c r="Q35" s="231"/>
      <c r="R35" s="227"/>
      <c r="S35" s="227"/>
      <c r="T35" s="232"/>
    </row>
    <row r="36" spans="1:20" s="226" customFormat="1" x14ac:dyDescent="0.25">
      <c r="A36" s="340">
        <f>'A) Base RI'!A37</f>
        <v>5437</v>
      </c>
      <c r="B36" s="239" t="str">
        <f>'A) Base RI'!B37</f>
        <v>Saubraz</v>
      </c>
      <c r="C36" s="255">
        <v>0</v>
      </c>
      <c r="D36" s="228">
        <f>'B) D RI'!AR37</f>
        <v>420</v>
      </c>
      <c r="E36" s="229">
        <f>'B) D RI'!S37</f>
        <v>80</v>
      </c>
      <c r="F36" s="10">
        <f>'B) D RI'!R37</f>
        <v>795896.17999999993</v>
      </c>
      <c r="G36" s="10">
        <f>'B) D RI'!U37</f>
        <v>9948.7022499999985</v>
      </c>
      <c r="H36" s="43">
        <f>'B) D RI'!T37</f>
        <v>731219.17999999993</v>
      </c>
      <c r="I36" s="10">
        <f t="shared" si="3"/>
        <v>18280.479499999998</v>
      </c>
      <c r="J36" s="33">
        <f t="shared" si="0"/>
        <v>36169.633191405912</v>
      </c>
      <c r="K36" s="10">
        <f t="shared" si="1"/>
        <v>18280.479499999998</v>
      </c>
      <c r="L36" s="10">
        <f t="shared" si="4"/>
        <v>17889.153691405914</v>
      </c>
      <c r="M36" s="10">
        <f>'D) Ecrêtage'!M35</f>
        <v>9948.7022499999985</v>
      </c>
      <c r="N36" s="10">
        <f t="shared" si="2"/>
        <v>12351.872462469993</v>
      </c>
      <c r="O36" s="59">
        <f t="shared" si="5"/>
        <v>30632.351962469991</v>
      </c>
      <c r="P36" s="230"/>
      <c r="Q36" s="231"/>
      <c r="R36" s="227"/>
      <c r="S36" s="227"/>
      <c r="T36" s="232"/>
    </row>
    <row r="37" spans="1:20" s="226" customFormat="1" x14ac:dyDescent="0.25">
      <c r="A37" s="340">
        <f>'A) Base RI'!A38</f>
        <v>5451</v>
      </c>
      <c r="B37" s="239" t="str">
        <f>'A) Base RI'!B38</f>
        <v>Avenches</v>
      </c>
      <c r="C37" s="255">
        <v>0</v>
      </c>
      <c r="D37" s="228">
        <f>'B) D RI'!AR38</f>
        <v>4210</v>
      </c>
      <c r="E37" s="229">
        <f>'B) D RI'!S38</f>
        <v>68</v>
      </c>
      <c r="F37" s="10">
        <f>'B) D RI'!R38</f>
        <v>6635713.4033333333</v>
      </c>
      <c r="G37" s="10">
        <f>'B) D RI'!U38</f>
        <v>97584.0206372549</v>
      </c>
      <c r="H37" s="43">
        <f>'B) D RI'!T38</f>
        <v>5728043.6200000001</v>
      </c>
      <c r="I37" s="10">
        <f t="shared" si="3"/>
        <v>168471.87117647059</v>
      </c>
      <c r="J37" s="33">
        <f t="shared" si="0"/>
        <v>362557.51365671167</v>
      </c>
      <c r="K37" s="10">
        <f t="shared" si="1"/>
        <v>168471.87117647059</v>
      </c>
      <c r="L37" s="10">
        <f t="shared" si="4"/>
        <v>194085.64248024108</v>
      </c>
      <c r="M37" s="10">
        <f>'D) Ecrêtage'!M36</f>
        <v>97584.0206372549</v>
      </c>
      <c r="N37" s="10">
        <f t="shared" si="2"/>
        <v>121156.04095864992</v>
      </c>
      <c r="O37" s="59">
        <f t="shared" si="5"/>
        <v>289627.91213512048</v>
      </c>
      <c r="P37" s="230"/>
      <c r="Q37" s="231"/>
      <c r="R37" s="227"/>
      <c r="S37" s="227"/>
      <c r="T37" s="232"/>
    </row>
    <row r="38" spans="1:20" s="226" customFormat="1" x14ac:dyDescent="0.25">
      <c r="A38" s="340">
        <f>'A) Base RI'!A39</f>
        <v>5456</v>
      </c>
      <c r="B38" s="239" t="str">
        <f>'A) Base RI'!B39</f>
        <v>Cudrefin</v>
      </c>
      <c r="C38" s="255">
        <v>0</v>
      </c>
      <c r="D38" s="228">
        <f>'B) D RI'!AR39</f>
        <v>1589</v>
      </c>
      <c r="E38" s="229">
        <f>'B) D RI'!S39</f>
        <v>59</v>
      </c>
      <c r="F38" s="10">
        <f>'B) D RI'!R39</f>
        <v>3298188.4266666672</v>
      </c>
      <c r="G38" s="10">
        <f>'B) D RI'!U39</f>
        <v>55901.49875706216</v>
      </c>
      <c r="H38" s="43">
        <f>'B) D RI'!T39</f>
        <v>2997308.4100000006</v>
      </c>
      <c r="I38" s="10">
        <f t="shared" si="3"/>
        <v>101603.67491525426</v>
      </c>
      <c r="J38" s="33">
        <f t="shared" ref="J38:J69" si="6">+$I$315/$D$315*D38</f>
        <v>136841.77890748571</v>
      </c>
      <c r="K38" s="10">
        <f t="shared" si="1"/>
        <v>101603.67491525426</v>
      </c>
      <c r="L38" s="10">
        <f t="shared" si="4"/>
        <v>35238.103992231452</v>
      </c>
      <c r="M38" s="10">
        <f>'D) Ecrêtage'!M37</f>
        <v>55901.49875706216</v>
      </c>
      <c r="N38" s="10">
        <f t="shared" ref="N38:N69" si="7">+$N$5*M38</f>
        <v>69404.849573034182</v>
      </c>
      <c r="O38" s="59">
        <f t="shared" si="5"/>
        <v>171008.52448828844</v>
      </c>
      <c r="P38" s="230"/>
      <c r="Q38" s="231"/>
      <c r="R38" s="227"/>
      <c r="S38" s="227"/>
      <c r="T38" s="232"/>
    </row>
    <row r="39" spans="1:20" s="226" customFormat="1" x14ac:dyDescent="0.25">
      <c r="A39" s="340">
        <f>'A) Base RI'!A40</f>
        <v>5458</v>
      </c>
      <c r="B39" s="239" t="str">
        <f>'A) Base RI'!B40</f>
        <v>Faoug</v>
      </c>
      <c r="C39" s="255">
        <v>0</v>
      </c>
      <c r="D39" s="228">
        <f>'B) D RI'!AR40</f>
        <v>893</v>
      </c>
      <c r="E39" s="229">
        <f>'B) D RI'!S40</f>
        <v>64</v>
      </c>
      <c r="F39" s="10">
        <f>'B) D RI'!R40</f>
        <v>2227215.14</v>
      </c>
      <c r="G39" s="10">
        <f>'B) D RI'!U40</f>
        <v>34800.236562500002</v>
      </c>
      <c r="H39" s="43">
        <f>'B) D RI'!T40</f>
        <v>2058442.99</v>
      </c>
      <c r="I39" s="10">
        <f t="shared" si="3"/>
        <v>64326.3434375</v>
      </c>
      <c r="J39" s="33">
        <f t="shared" si="6"/>
        <v>76903.52961887019</v>
      </c>
      <c r="K39" s="10">
        <f t="shared" si="1"/>
        <v>64326.3434375</v>
      </c>
      <c r="L39" s="10">
        <f t="shared" si="4"/>
        <v>12577.186181370191</v>
      </c>
      <c r="M39" s="10">
        <f>'D) Ecrêtage'!M38</f>
        <v>34800.236562500002</v>
      </c>
      <c r="N39" s="10">
        <f t="shared" si="7"/>
        <v>43206.447723750629</v>
      </c>
      <c r="O39" s="59">
        <f t="shared" si="5"/>
        <v>107532.79116125063</v>
      </c>
      <c r="P39" s="230"/>
      <c r="Q39" s="231"/>
      <c r="R39" s="227"/>
      <c r="S39" s="227"/>
      <c r="T39" s="232"/>
    </row>
    <row r="40" spans="1:20" s="226" customFormat="1" x14ac:dyDescent="0.25">
      <c r="A40" s="340">
        <f>'A) Base RI'!A41</f>
        <v>5464</v>
      </c>
      <c r="B40" s="239" t="str">
        <f>'A) Base RI'!B41</f>
        <v>Vully-les-Lacs</v>
      </c>
      <c r="C40" s="255">
        <v>0</v>
      </c>
      <c r="D40" s="228">
        <f>'B) D RI'!AR41</f>
        <v>3080</v>
      </c>
      <c r="E40" s="229">
        <f>'B) D RI'!S41</f>
        <v>67</v>
      </c>
      <c r="F40" s="10">
        <f>'B) D RI'!R41</f>
        <v>6629922.0999999996</v>
      </c>
      <c r="G40" s="10">
        <f>'B) D RI'!U41</f>
        <v>98954.06119402984</v>
      </c>
      <c r="H40" s="43">
        <f>'B) D RI'!T41</f>
        <v>6029737.1999999993</v>
      </c>
      <c r="I40" s="10">
        <f t="shared" si="3"/>
        <v>179992.15522388057</v>
      </c>
      <c r="J40" s="33">
        <f t="shared" si="6"/>
        <v>265243.97673697671</v>
      </c>
      <c r="K40" s="10">
        <f t="shared" si="1"/>
        <v>179992.15522388057</v>
      </c>
      <c r="L40" s="10">
        <f t="shared" si="4"/>
        <v>85251.821513096133</v>
      </c>
      <c r="M40" s="10">
        <f>'D) Ecrêtage'!M39</f>
        <v>98954.06119402984</v>
      </c>
      <c r="N40" s="10">
        <f t="shared" si="7"/>
        <v>122857.0232375894</v>
      </c>
      <c r="O40" s="59">
        <f t="shared" si="5"/>
        <v>302849.17846146994</v>
      </c>
      <c r="P40" s="230"/>
      <c r="Q40" s="231"/>
      <c r="R40" s="227"/>
      <c r="S40" s="227"/>
      <c r="T40" s="232"/>
    </row>
    <row r="41" spans="1:20" s="226" customFormat="1" x14ac:dyDescent="0.25">
      <c r="A41" s="340">
        <f>'A) Base RI'!A42</f>
        <v>5471</v>
      </c>
      <c r="B41" s="239" t="str">
        <f>'A) Base RI'!B42</f>
        <v>Bettens</v>
      </c>
      <c r="C41" s="255">
        <v>0</v>
      </c>
      <c r="D41" s="228">
        <f>'B) D RI'!AR42</f>
        <v>574</v>
      </c>
      <c r="E41" s="229">
        <f>'B) D RI'!S42</f>
        <v>70</v>
      </c>
      <c r="F41" s="10">
        <f>'B) D RI'!R42</f>
        <v>1345078.8299999998</v>
      </c>
      <c r="G41" s="10">
        <f>'B) D RI'!U42</f>
        <v>19215.411857142855</v>
      </c>
      <c r="H41" s="43">
        <f>'B) D RI'!T42</f>
        <v>1232542.3299999998</v>
      </c>
      <c r="I41" s="10">
        <f t="shared" si="3"/>
        <v>35215.495142857137</v>
      </c>
      <c r="J41" s="33">
        <f t="shared" si="6"/>
        <v>49431.83202825475</v>
      </c>
      <c r="K41" s="10">
        <f t="shared" si="1"/>
        <v>35215.495142857137</v>
      </c>
      <c r="L41" s="10">
        <f t="shared" si="4"/>
        <v>14216.336885397614</v>
      </c>
      <c r="M41" s="10">
        <f>'D) Ecrêtage'!M40</f>
        <v>19215.411857142855</v>
      </c>
      <c r="N41" s="10">
        <f t="shared" si="7"/>
        <v>23857.012764982715</v>
      </c>
      <c r="O41" s="59">
        <f t="shared" si="5"/>
        <v>59072.507907839856</v>
      </c>
      <c r="P41" s="230"/>
      <c r="Q41" s="231"/>
      <c r="R41" s="227"/>
      <c r="S41" s="227"/>
      <c r="T41" s="232"/>
    </row>
    <row r="42" spans="1:20" s="226" customFormat="1" x14ac:dyDescent="0.25">
      <c r="A42" s="340">
        <f>'A) Base RI'!A43</f>
        <v>5472</v>
      </c>
      <c r="B42" s="239" t="str">
        <f>'A) Base RI'!B43</f>
        <v>Bournens</v>
      </c>
      <c r="C42" s="255">
        <v>0</v>
      </c>
      <c r="D42" s="228">
        <f>'B) D RI'!AR43</f>
        <v>419</v>
      </c>
      <c r="E42" s="229">
        <f>'B) D RI'!S43</f>
        <v>80</v>
      </c>
      <c r="F42" s="10">
        <f>'B) D RI'!R43</f>
        <v>1210797.5200000003</v>
      </c>
      <c r="G42" s="10">
        <f>'B) D RI'!U43</f>
        <v>15134.969000000003</v>
      </c>
      <c r="H42" s="43">
        <f>'B) D RI'!T43</f>
        <v>1133046.8200000003</v>
      </c>
      <c r="I42" s="10">
        <f t="shared" si="3"/>
        <v>28326.170500000007</v>
      </c>
      <c r="J42" s="33">
        <f t="shared" si="6"/>
        <v>36083.515017140664</v>
      </c>
      <c r="K42" s="10">
        <f t="shared" si="1"/>
        <v>28326.170500000007</v>
      </c>
      <c r="L42" s="10">
        <f t="shared" si="4"/>
        <v>7757.3445171406565</v>
      </c>
      <c r="M42" s="10">
        <f>'D) Ecrêtage'!M41</f>
        <v>15134.969000000003</v>
      </c>
      <c r="N42" s="10">
        <f t="shared" si="7"/>
        <v>18790.913841193415</v>
      </c>
      <c r="O42" s="59">
        <f t="shared" si="5"/>
        <v>47117.084341193418</v>
      </c>
      <c r="P42" s="230"/>
      <c r="Q42" s="231"/>
      <c r="R42" s="227"/>
      <c r="S42" s="227"/>
      <c r="T42" s="232"/>
    </row>
    <row r="43" spans="1:20" s="226" customFormat="1" x14ac:dyDescent="0.25">
      <c r="A43" s="340">
        <f>'A) Base RI'!A44</f>
        <v>5473</v>
      </c>
      <c r="B43" s="239" t="str">
        <f>'A) Base RI'!B44</f>
        <v>Boussens</v>
      </c>
      <c r="C43" s="255">
        <v>0</v>
      </c>
      <c r="D43" s="228">
        <f>'B) D RI'!AR44</f>
        <v>982</v>
      </c>
      <c r="E43" s="229">
        <f>'B) D RI'!S44</f>
        <v>69</v>
      </c>
      <c r="F43" s="10">
        <f>'B) D RI'!R44</f>
        <v>2296235.8700000006</v>
      </c>
      <c r="G43" s="10">
        <f>'B) D RI'!U44</f>
        <v>33278.780724637691</v>
      </c>
      <c r="H43" s="43">
        <f>'B) D RI'!T44</f>
        <v>2128296.5700000003</v>
      </c>
      <c r="I43" s="10">
        <f t="shared" si="3"/>
        <v>61689.755652173924</v>
      </c>
      <c r="J43" s="33">
        <f t="shared" si="6"/>
        <v>84568.047128477643</v>
      </c>
      <c r="K43" s="10">
        <f t="shared" si="1"/>
        <v>61689.755652173924</v>
      </c>
      <c r="L43" s="10">
        <f t="shared" si="4"/>
        <v>22878.291476303719</v>
      </c>
      <c r="M43" s="10">
        <f>'D) Ecrêtage'!M42</f>
        <v>33278.780724637691</v>
      </c>
      <c r="N43" s="10">
        <f t="shared" si="7"/>
        <v>41317.474871381295</v>
      </c>
      <c r="O43" s="59">
        <f t="shared" si="5"/>
        <v>103007.23052355522</v>
      </c>
      <c r="P43" s="230"/>
      <c r="Q43" s="231"/>
      <c r="R43" s="227"/>
      <c r="S43" s="227"/>
      <c r="T43" s="232"/>
    </row>
    <row r="44" spans="1:20" s="226" customFormat="1" x14ac:dyDescent="0.25">
      <c r="A44" s="340">
        <f>'A) Base RI'!A45</f>
        <v>5474</v>
      </c>
      <c r="B44" s="239" t="str">
        <f>'A) Base RI'!B45</f>
        <v>La Chaux (Cossonay)</v>
      </c>
      <c r="C44" s="255">
        <v>0</v>
      </c>
      <c r="D44" s="228">
        <f>'B) D RI'!AR45</f>
        <v>420</v>
      </c>
      <c r="E44" s="229">
        <f>'B) D RI'!S45</f>
        <v>77</v>
      </c>
      <c r="F44" s="10">
        <f>'B) D RI'!R45</f>
        <v>1032824.3933333333</v>
      </c>
      <c r="G44" s="10">
        <f>'B) D RI'!U45</f>
        <v>13413.30380952381</v>
      </c>
      <c r="H44" s="43">
        <f>'B) D RI'!T45</f>
        <v>964000.55999999994</v>
      </c>
      <c r="I44" s="10">
        <f t="shared" si="3"/>
        <v>25038.975584415584</v>
      </c>
      <c r="J44" s="33">
        <f t="shared" si="6"/>
        <v>36169.633191405912</v>
      </c>
      <c r="K44" s="10">
        <f t="shared" si="1"/>
        <v>25038.975584415584</v>
      </c>
      <c r="L44" s="10">
        <f t="shared" si="4"/>
        <v>11130.657606990328</v>
      </c>
      <c r="M44" s="10">
        <f>'D) Ecrêtage'!M43</f>
        <v>13413.30380952381</v>
      </c>
      <c r="N44" s="10">
        <f t="shared" si="7"/>
        <v>16653.369835809593</v>
      </c>
      <c r="O44" s="59">
        <f t="shared" si="5"/>
        <v>41692.345420225174</v>
      </c>
      <c r="P44" s="230"/>
      <c r="Q44" s="231"/>
      <c r="R44" s="227"/>
      <c r="S44" s="227"/>
      <c r="T44" s="232"/>
    </row>
    <row r="45" spans="1:20" s="226" customFormat="1" x14ac:dyDescent="0.25">
      <c r="A45" s="340">
        <f>'A) Base RI'!A46</f>
        <v>5475</v>
      </c>
      <c r="B45" s="239" t="str">
        <f>'A) Base RI'!B46</f>
        <v>Chavannes-le-Veyron</v>
      </c>
      <c r="C45" s="255">
        <v>0</v>
      </c>
      <c r="D45" s="228">
        <f>'B) D RI'!AR46</f>
        <v>141</v>
      </c>
      <c r="E45" s="229">
        <f>'B) D RI'!S46</f>
        <v>77</v>
      </c>
      <c r="F45" s="10">
        <f>'B) D RI'!R46</f>
        <v>291298.03999999998</v>
      </c>
      <c r="G45" s="10">
        <f>'B) D RI'!U46</f>
        <v>3783.0914285714284</v>
      </c>
      <c r="H45" s="43">
        <f>'B) D RI'!T46</f>
        <v>268720.74</v>
      </c>
      <c r="I45" s="10">
        <f t="shared" si="3"/>
        <v>6979.7594805194803</v>
      </c>
      <c r="J45" s="33">
        <f t="shared" si="6"/>
        <v>12142.662571400557</v>
      </c>
      <c r="K45" s="10">
        <f t="shared" si="1"/>
        <v>6979.7594805194803</v>
      </c>
      <c r="L45" s="10">
        <f t="shared" si="4"/>
        <v>5162.9030908810764</v>
      </c>
      <c r="M45" s="10">
        <f>'D) Ecrêtage'!M44</f>
        <v>3783.0914285714284</v>
      </c>
      <c r="N45" s="10">
        <f t="shared" si="7"/>
        <v>4696.9204289511936</v>
      </c>
      <c r="O45" s="59">
        <f t="shared" si="5"/>
        <v>11676.679909470673</v>
      </c>
      <c r="P45" s="230"/>
      <c r="Q45" s="231"/>
      <c r="R45" s="227"/>
      <c r="S45" s="227"/>
      <c r="T45" s="232"/>
    </row>
    <row r="46" spans="1:20" s="226" customFormat="1" x14ac:dyDescent="0.25">
      <c r="A46" s="340">
        <f>'A) Base RI'!A47</f>
        <v>5476</v>
      </c>
      <c r="B46" s="239" t="str">
        <f>'A) Base RI'!B47</f>
        <v>Chevilly</v>
      </c>
      <c r="C46" s="255">
        <v>0</v>
      </c>
      <c r="D46" s="228">
        <f>'B) D RI'!AR47</f>
        <v>298</v>
      </c>
      <c r="E46" s="229">
        <f>'B) D RI'!S47</f>
        <v>74</v>
      </c>
      <c r="F46" s="10">
        <f>'B) D RI'!R47</f>
        <v>746621.75666666683</v>
      </c>
      <c r="G46" s="10">
        <f>'B) D RI'!U47</f>
        <v>10089.483198198201</v>
      </c>
      <c r="H46" s="43">
        <f>'B) D RI'!T47</f>
        <v>689905.49000000011</v>
      </c>
      <c r="I46" s="10">
        <f t="shared" si="3"/>
        <v>18646.094324324327</v>
      </c>
      <c r="J46" s="33">
        <f t="shared" si="6"/>
        <v>25663.21593104515</v>
      </c>
      <c r="K46" s="10">
        <f t="shared" si="1"/>
        <v>18646.094324324327</v>
      </c>
      <c r="L46" s="10">
        <f t="shared" si="4"/>
        <v>7017.1216067208225</v>
      </c>
      <c r="M46" s="10">
        <f>'D) Ecrêtage'!M45</f>
        <v>10089.483198198201</v>
      </c>
      <c r="N46" s="10">
        <f t="shared" si="7"/>
        <v>12526.659914500713</v>
      </c>
      <c r="O46" s="59">
        <f t="shared" si="5"/>
        <v>31172.75423882504</v>
      </c>
      <c r="P46" s="230"/>
      <c r="Q46" s="231"/>
      <c r="R46" s="227"/>
      <c r="S46" s="227"/>
      <c r="T46" s="232"/>
    </row>
    <row r="47" spans="1:20" s="226" customFormat="1" x14ac:dyDescent="0.25">
      <c r="A47" s="340">
        <f>'A) Base RI'!A48</f>
        <v>5477</v>
      </c>
      <c r="B47" s="239" t="str">
        <f>'A) Base RI'!B48</f>
        <v>Cossonay</v>
      </c>
      <c r="C47" s="255">
        <v>0</v>
      </c>
      <c r="D47" s="228">
        <f>'B) D RI'!AR48</f>
        <v>3808</v>
      </c>
      <c r="E47" s="229">
        <f>'B) D RI'!S48</f>
        <v>71</v>
      </c>
      <c r="F47" s="10">
        <f>'B) D RI'!R48</f>
        <v>8946939.1300000008</v>
      </c>
      <c r="G47" s="10">
        <f>'B) D RI'!U48</f>
        <v>126013.2271830986</v>
      </c>
      <c r="H47" s="43">
        <f>'B) D RI'!T48</f>
        <v>8345950.5300000003</v>
      </c>
      <c r="I47" s="10">
        <f t="shared" si="3"/>
        <v>235097.19802816902</v>
      </c>
      <c r="J47" s="33">
        <f t="shared" si="6"/>
        <v>327938.0076020803</v>
      </c>
      <c r="K47" s="10">
        <f t="shared" si="1"/>
        <v>235097.19802816902</v>
      </c>
      <c r="L47" s="10">
        <f t="shared" si="4"/>
        <v>92840.809573911276</v>
      </c>
      <c r="M47" s="10">
        <f>'D) Ecrêtage'!M46</f>
        <v>126013.2271830986</v>
      </c>
      <c r="N47" s="10">
        <f t="shared" si="7"/>
        <v>156452.49718372978</v>
      </c>
      <c r="O47" s="59">
        <f t="shared" si="5"/>
        <v>391549.69521189877</v>
      </c>
      <c r="P47" s="230"/>
      <c r="Q47" s="231"/>
      <c r="R47" s="227"/>
      <c r="S47" s="227"/>
      <c r="T47" s="232"/>
    </row>
    <row r="48" spans="1:20" s="226" customFormat="1" x14ac:dyDescent="0.25">
      <c r="A48" s="340">
        <f>'A) Base RI'!A49</f>
        <v>5478</v>
      </c>
      <c r="B48" s="239" t="str">
        <f>'A) Base RI'!B49</f>
        <v>Cottens</v>
      </c>
      <c r="C48" s="255">
        <v>0</v>
      </c>
      <c r="D48" s="228">
        <f>'B) D RI'!AR49</f>
        <v>477</v>
      </c>
      <c r="E48" s="229">
        <f>'B) D RI'!S49</f>
        <v>74</v>
      </c>
      <c r="F48" s="10">
        <f>'B) D RI'!R49</f>
        <v>1260246.8600000001</v>
      </c>
      <c r="G48" s="10">
        <f>'B) D RI'!U49</f>
        <v>17030.362972972973</v>
      </c>
      <c r="H48" s="43">
        <f>'B) D RI'!T49</f>
        <v>1181923.6100000001</v>
      </c>
      <c r="I48" s="10">
        <f t="shared" si="3"/>
        <v>31943.881351351352</v>
      </c>
      <c r="J48" s="33">
        <f t="shared" si="6"/>
        <v>41078.369124525292</v>
      </c>
      <c r="K48" s="10">
        <f t="shared" si="1"/>
        <v>31943.881351351352</v>
      </c>
      <c r="L48" s="10">
        <f t="shared" si="4"/>
        <v>9134.4877731739398</v>
      </c>
      <c r="M48" s="10">
        <f>'D) Ecrêtage'!M47</f>
        <v>17030.362972972973</v>
      </c>
      <c r="N48" s="10">
        <f t="shared" si="7"/>
        <v>21144.151884908759</v>
      </c>
      <c r="O48" s="59">
        <f t="shared" si="5"/>
        <v>53088.033236260111</v>
      </c>
      <c r="P48" s="230"/>
      <c r="Q48" s="231"/>
      <c r="R48" s="227"/>
      <c r="S48" s="227"/>
      <c r="T48" s="232"/>
    </row>
    <row r="49" spans="1:20" s="226" customFormat="1" x14ac:dyDescent="0.25">
      <c r="A49" s="340">
        <f>'A) Base RI'!A50</f>
        <v>5479</v>
      </c>
      <c r="B49" s="239" t="str">
        <f>'A) Base RI'!B50</f>
        <v>Cuarnens</v>
      </c>
      <c r="C49" s="255">
        <v>0</v>
      </c>
      <c r="D49" s="228">
        <f>'B) D RI'!AR50</f>
        <v>479</v>
      </c>
      <c r="E49" s="229">
        <f>'B) D RI'!S50</f>
        <v>77</v>
      </c>
      <c r="F49" s="10">
        <f>'B) D RI'!R50</f>
        <v>1511386.26</v>
      </c>
      <c r="G49" s="10">
        <f>'B) D RI'!U50</f>
        <v>19628.392987012987</v>
      </c>
      <c r="H49" s="43">
        <f>'B) D RI'!T50</f>
        <v>1422041.51</v>
      </c>
      <c r="I49" s="10">
        <f t="shared" si="3"/>
        <v>36936.143116883119</v>
      </c>
      <c r="J49" s="33">
        <f t="shared" si="6"/>
        <v>41250.605473055795</v>
      </c>
      <c r="K49" s="10">
        <f t="shared" si="1"/>
        <v>36936.143116883119</v>
      </c>
      <c r="L49" s="10">
        <f t="shared" si="4"/>
        <v>4314.4623561726767</v>
      </c>
      <c r="M49" s="10">
        <f>'D) Ecrêtage'!M48</f>
        <v>19628.392987012987</v>
      </c>
      <c r="N49" s="10">
        <f t="shared" si="7"/>
        <v>24369.752026584662</v>
      </c>
      <c r="O49" s="59">
        <f t="shared" si="5"/>
        <v>61305.89514346778</v>
      </c>
      <c r="P49" s="230"/>
      <c r="Q49" s="231"/>
      <c r="R49" s="227"/>
      <c r="S49" s="227"/>
      <c r="T49" s="232"/>
    </row>
    <row r="50" spans="1:20" s="226" customFormat="1" x14ac:dyDescent="0.25">
      <c r="A50" s="340">
        <f>'A) Base RI'!A51</f>
        <v>5480</v>
      </c>
      <c r="B50" s="239" t="str">
        <f>'A) Base RI'!B51</f>
        <v>Daillens</v>
      </c>
      <c r="C50" s="255">
        <v>0</v>
      </c>
      <c r="D50" s="228">
        <f>'B) D RI'!AR51</f>
        <v>998</v>
      </c>
      <c r="E50" s="229">
        <f>'B) D RI'!S51</f>
        <v>71</v>
      </c>
      <c r="F50" s="10">
        <f>'B) D RI'!R51</f>
        <v>2968461.38</v>
      </c>
      <c r="G50" s="10">
        <f>'B) D RI'!U51</f>
        <v>41809.315211267603</v>
      </c>
      <c r="H50" s="43">
        <f>'B) D RI'!T51</f>
        <v>2681344.5299999998</v>
      </c>
      <c r="I50" s="10">
        <f t="shared" si="3"/>
        <v>75530.831830985917</v>
      </c>
      <c r="J50" s="33">
        <f t="shared" si="6"/>
        <v>85945.937916721668</v>
      </c>
      <c r="K50" s="10">
        <f t="shared" si="1"/>
        <v>75530.831830985917</v>
      </c>
      <c r="L50" s="10">
        <f t="shared" si="4"/>
        <v>10415.106085735752</v>
      </c>
      <c r="M50" s="10">
        <f>'D) Ecrêtage'!M49</f>
        <v>41809.315211267603</v>
      </c>
      <c r="N50" s="10">
        <f t="shared" si="7"/>
        <v>51908.612425583866</v>
      </c>
      <c r="O50" s="59">
        <f t="shared" si="5"/>
        <v>127439.44425656978</v>
      </c>
      <c r="P50" s="230"/>
      <c r="Q50" s="231"/>
      <c r="R50" s="227"/>
      <c r="S50" s="227"/>
      <c r="T50" s="232"/>
    </row>
    <row r="51" spans="1:20" s="226" customFormat="1" x14ac:dyDescent="0.25">
      <c r="A51" s="340">
        <f>'A) Base RI'!A52</f>
        <v>5481</v>
      </c>
      <c r="B51" s="239" t="str">
        <f>'A) Base RI'!B52</f>
        <v>Dizy</v>
      </c>
      <c r="C51" s="255">
        <v>0</v>
      </c>
      <c r="D51" s="228">
        <f>'B) D RI'!AR52</f>
        <v>229</v>
      </c>
      <c r="E51" s="229">
        <f>'B) D RI'!S52</f>
        <v>79</v>
      </c>
      <c r="F51" s="10">
        <f>'B) D RI'!R52</f>
        <v>669733.11999999988</v>
      </c>
      <c r="G51" s="10">
        <f>'B) D RI'!U52</f>
        <v>8477.634430379745</v>
      </c>
      <c r="H51" s="43">
        <f>'B) D RI'!T52</f>
        <v>632547.5199999999</v>
      </c>
      <c r="I51" s="10">
        <f t="shared" si="3"/>
        <v>16013.861265822783</v>
      </c>
      <c r="J51" s="33">
        <f t="shared" si="6"/>
        <v>19721.061906742751</v>
      </c>
      <c r="K51" s="10">
        <f t="shared" si="1"/>
        <v>16013.861265822783</v>
      </c>
      <c r="L51" s="10">
        <f t="shared" si="4"/>
        <v>3707.2006409199676</v>
      </c>
      <c r="M51" s="10">
        <f>'D) Ecrêtage'!M50</f>
        <v>8477.634430379745</v>
      </c>
      <c r="N51" s="10">
        <f t="shared" si="7"/>
        <v>10525.459164032683</v>
      </c>
      <c r="O51" s="59">
        <f t="shared" si="5"/>
        <v>26539.320429855467</v>
      </c>
      <c r="P51" s="230"/>
      <c r="Q51" s="231"/>
      <c r="R51" s="227"/>
      <c r="S51" s="227"/>
      <c r="T51" s="232"/>
    </row>
    <row r="52" spans="1:20" s="226" customFormat="1" x14ac:dyDescent="0.25">
      <c r="A52" s="340">
        <f>'A) Base RI'!A53</f>
        <v>5482</v>
      </c>
      <c r="B52" s="239" t="str">
        <f>'A) Base RI'!B53</f>
        <v>Eclépens</v>
      </c>
      <c r="C52" s="255">
        <v>0</v>
      </c>
      <c r="D52" s="228">
        <f>'B) D RI'!AR53</f>
        <v>1091</v>
      </c>
      <c r="E52" s="229">
        <f>'B) D RI'!S53</f>
        <v>46</v>
      </c>
      <c r="F52" s="10">
        <f>'B) D RI'!R53</f>
        <v>2316961.11</v>
      </c>
      <c r="G52" s="10">
        <f>'B) D RI'!U53</f>
        <v>50368.719782608692</v>
      </c>
      <c r="H52" s="43">
        <f>'B) D RI'!T53</f>
        <v>1887990.16</v>
      </c>
      <c r="I52" s="10">
        <f t="shared" si="3"/>
        <v>82086.528695652174</v>
      </c>
      <c r="J52" s="33">
        <f t="shared" si="6"/>
        <v>93954.928123390127</v>
      </c>
      <c r="K52" s="10">
        <f t="shared" si="1"/>
        <v>82086.528695652174</v>
      </c>
      <c r="L52" s="10">
        <f t="shared" si="4"/>
        <v>11868.399427737953</v>
      </c>
      <c r="M52" s="10">
        <f>'D) Ecrêtage'!M51</f>
        <v>50368.719782608692</v>
      </c>
      <c r="N52" s="10">
        <f t="shared" si="7"/>
        <v>62535.593811009065</v>
      </c>
      <c r="O52" s="59">
        <f t="shared" si="5"/>
        <v>144622.12250666122</v>
      </c>
      <c r="P52" s="230"/>
      <c r="Q52" s="231"/>
      <c r="R52" s="227"/>
      <c r="S52" s="227"/>
      <c r="T52" s="232"/>
    </row>
    <row r="53" spans="1:20" s="226" customFormat="1" x14ac:dyDescent="0.25">
      <c r="A53" s="340">
        <f>'A) Base RI'!A54</f>
        <v>5483</v>
      </c>
      <c r="B53" s="239" t="str">
        <f>'A) Base RI'!B54</f>
        <v>Ferreyres</v>
      </c>
      <c r="C53" s="255">
        <v>0</v>
      </c>
      <c r="D53" s="228">
        <f>'B) D RI'!AR54</f>
        <v>322</v>
      </c>
      <c r="E53" s="229">
        <f>'B) D RI'!S54</f>
        <v>76</v>
      </c>
      <c r="F53" s="10">
        <f>'B) D RI'!R54</f>
        <v>935195.93</v>
      </c>
      <c r="G53" s="10">
        <f>'B) D RI'!U54</f>
        <v>12305.209605263159</v>
      </c>
      <c r="H53" s="43">
        <f>'B) D RI'!T54</f>
        <v>883027.78</v>
      </c>
      <c r="I53" s="10">
        <f t="shared" si="3"/>
        <v>23237.573157894738</v>
      </c>
      <c r="J53" s="33">
        <f t="shared" si="6"/>
        <v>27730.052113411202</v>
      </c>
      <c r="K53" s="10">
        <f t="shared" si="1"/>
        <v>23237.573157894738</v>
      </c>
      <c r="L53" s="10">
        <f t="shared" si="4"/>
        <v>4492.4789555164643</v>
      </c>
      <c r="M53" s="10">
        <f>'D) Ecrêtage'!M52</f>
        <v>12305.209605263159</v>
      </c>
      <c r="N53" s="10">
        <f t="shared" si="7"/>
        <v>15277.608661790164</v>
      </c>
      <c r="O53" s="59">
        <f t="shared" si="5"/>
        <v>38515.181819684905</v>
      </c>
      <c r="P53" s="230"/>
      <c r="Q53" s="231"/>
      <c r="R53" s="227"/>
      <c r="S53" s="227"/>
      <c r="T53" s="232"/>
    </row>
    <row r="54" spans="1:20" s="226" customFormat="1" x14ac:dyDescent="0.25">
      <c r="A54" s="340">
        <f>'A) Base RI'!A55</f>
        <v>5484</v>
      </c>
      <c r="B54" s="239" t="str">
        <f>'A) Base RI'!B55</f>
        <v>Gollion</v>
      </c>
      <c r="C54" s="255">
        <v>0</v>
      </c>
      <c r="D54" s="228">
        <f>'B) D RI'!AR55</f>
        <v>918</v>
      </c>
      <c r="E54" s="229">
        <f>'B) D RI'!S55</f>
        <v>74</v>
      </c>
      <c r="F54" s="10">
        <f>'B) D RI'!R55</f>
        <v>2572944.89</v>
      </c>
      <c r="G54" s="10">
        <f>'B) D RI'!U55</f>
        <v>34769.525540540541</v>
      </c>
      <c r="H54" s="43">
        <f>'B) D RI'!T55</f>
        <v>2407989.4400000004</v>
      </c>
      <c r="I54" s="10">
        <f t="shared" si="3"/>
        <v>65080.79567567569</v>
      </c>
      <c r="J54" s="33">
        <f t="shared" si="6"/>
        <v>79056.483975501498</v>
      </c>
      <c r="K54" s="10">
        <f t="shared" si="1"/>
        <v>65080.79567567569</v>
      </c>
      <c r="L54" s="10">
        <f t="shared" si="4"/>
        <v>13975.688299825808</v>
      </c>
      <c r="M54" s="10">
        <f>'D) Ecrêtage'!M53</f>
        <v>34769.525540540541</v>
      </c>
      <c r="N54" s="10">
        <f t="shared" si="7"/>
        <v>43168.318265565729</v>
      </c>
      <c r="O54" s="59">
        <f t="shared" si="5"/>
        <v>108249.11394124142</v>
      </c>
      <c r="P54" s="230"/>
      <c r="Q54" s="231"/>
      <c r="R54" s="227"/>
      <c r="S54" s="227"/>
      <c r="T54" s="232"/>
    </row>
    <row r="55" spans="1:20" s="226" customFormat="1" x14ac:dyDescent="0.25">
      <c r="A55" s="340">
        <f>'A) Base RI'!A56</f>
        <v>5485</v>
      </c>
      <c r="B55" s="239" t="str">
        <f>'A) Base RI'!B56</f>
        <v>Grancy</v>
      </c>
      <c r="C55" s="255">
        <v>0</v>
      </c>
      <c r="D55" s="228">
        <f>'B) D RI'!AR56</f>
        <v>403</v>
      </c>
      <c r="E55" s="229">
        <f>'B) D RI'!S56</f>
        <v>70</v>
      </c>
      <c r="F55" s="10">
        <f>'B) D RI'!R56</f>
        <v>1250521.7000000002</v>
      </c>
      <c r="G55" s="10">
        <f>'B) D RI'!U56</f>
        <v>17864.595714285719</v>
      </c>
      <c r="H55" s="43">
        <f>'B) D RI'!T56</f>
        <v>1180102.1500000001</v>
      </c>
      <c r="I55" s="10">
        <f t="shared" si="3"/>
        <v>33717.204285714288</v>
      </c>
      <c r="J55" s="33">
        <f t="shared" si="6"/>
        <v>34705.624228896631</v>
      </c>
      <c r="K55" s="10">
        <f t="shared" si="1"/>
        <v>33717.204285714288</v>
      </c>
      <c r="L55" s="10">
        <f t="shared" si="4"/>
        <v>988.41994318234356</v>
      </c>
      <c r="M55" s="10">
        <f>'D) Ecrêtage'!M54</f>
        <v>17864.595714285719</v>
      </c>
      <c r="N55" s="10">
        <f t="shared" si="7"/>
        <v>22179.898675371984</v>
      </c>
      <c r="O55" s="59">
        <f t="shared" si="5"/>
        <v>55897.102961086275</v>
      </c>
      <c r="P55" s="230"/>
      <c r="Q55" s="231"/>
      <c r="R55" s="227"/>
      <c r="S55" s="227"/>
      <c r="T55" s="232"/>
    </row>
    <row r="56" spans="1:20" s="226" customFormat="1" x14ac:dyDescent="0.25">
      <c r="A56" s="340">
        <f>'A) Base RI'!A57</f>
        <v>5486</v>
      </c>
      <c r="B56" s="239" t="str">
        <f>'A) Base RI'!B57</f>
        <v>L'Isle</v>
      </c>
      <c r="C56" s="255">
        <v>0</v>
      </c>
      <c r="D56" s="228">
        <f>'B) D RI'!AR57</f>
        <v>1005</v>
      </c>
      <c r="E56" s="229">
        <f>'B) D RI'!S57</f>
        <v>76</v>
      </c>
      <c r="F56" s="10">
        <f>'B) D RI'!R57</f>
        <v>1990227.1700000002</v>
      </c>
      <c r="G56" s="10">
        <f>'B) D RI'!U57</f>
        <v>26187.199605263158</v>
      </c>
      <c r="H56" s="43">
        <f>'B) D RI'!T57</f>
        <v>1803068.62</v>
      </c>
      <c r="I56" s="10">
        <f t="shared" si="3"/>
        <v>47449.174210526318</v>
      </c>
      <c r="J56" s="33">
        <f t="shared" si="6"/>
        <v>86548.76513657844</v>
      </c>
      <c r="K56" s="10">
        <f t="shared" si="1"/>
        <v>47449.174210526318</v>
      </c>
      <c r="L56" s="10">
        <f t="shared" si="4"/>
        <v>39099.590926052122</v>
      </c>
      <c r="M56" s="10">
        <f>'D) Ecrêtage'!M55</f>
        <v>26187.199605263158</v>
      </c>
      <c r="N56" s="10">
        <f t="shared" si="7"/>
        <v>32512.878719780274</v>
      </c>
      <c r="O56" s="59">
        <f t="shared" si="5"/>
        <v>79962.052930306585</v>
      </c>
      <c r="P56" s="230"/>
      <c r="Q56" s="231"/>
      <c r="R56" s="227"/>
      <c r="S56" s="227"/>
      <c r="T56" s="232"/>
    </row>
    <row r="57" spans="1:20" s="226" customFormat="1" x14ac:dyDescent="0.25">
      <c r="A57" s="340">
        <f>'A) Base RI'!A58</f>
        <v>5487</v>
      </c>
      <c r="B57" s="239" t="str">
        <f>'A) Base RI'!B58</f>
        <v>Lussery-Villars</v>
      </c>
      <c r="C57" s="255">
        <v>0</v>
      </c>
      <c r="D57" s="228">
        <f>'B) D RI'!AR58</f>
        <v>459</v>
      </c>
      <c r="E57" s="229">
        <f>'B) D RI'!S58</f>
        <v>72</v>
      </c>
      <c r="F57" s="10">
        <f>'B) D RI'!R58</f>
        <v>1034674.6900000001</v>
      </c>
      <c r="G57" s="10">
        <f>'B) D RI'!U58</f>
        <v>14370.481805555557</v>
      </c>
      <c r="H57" s="43">
        <f>'B) D RI'!T58</f>
        <v>961648.14</v>
      </c>
      <c r="I57" s="10">
        <f t="shared" si="3"/>
        <v>26712.448333333334</v>
      </c>
      <c r="J57" s="33">
        <f t="shared" si="6"/>
        <v>39528.241987750749</v>
      </c>
      <c r="K57" s="10">
        <f t="shared" si="1"/>
        <v>26712.448333333334</v>
      </c>
      <c r="L57" s="10">
        <f t="shared" si="4"/>
        <v>12815.793654417415</v>
      </c>
      <c r="M57" s="10">
        <f>'D) Ecrêtage'!M56</f>
        <v>14370.481805555557</v>
      </c>
      <c r="N57" s="10">
        <f t="shared" si="7"/>
        <v>17841.760063375881</v>
      </c>
      <c r="O57" s="59">
        <f t="shared" si="5"/>
        <v>44554.208396709219</v>
      </c>
      <c r="P57" s="230"/>
      <c r="Q57" s="231"/>
      <c r="R57" s="227"/>
      <c r="S57" s="227"/>
      <c r="T57" s="232"/>
    </row>
    <row r="58" spans="1:20" s="226" customFormat="1" x14ac:dyDescent="0.25">
      <c r="A58" s="340">
        <f>'A) Base RI'!A59</f>
        <v>5488</v>
      </c>
      <c r="B58" s="239" t="str">
        <f>'A) Base RI'!B59</f>
        <v>Mauraz</v>
      </c>
      <c r="C58" s="255">
        <v>0</v>
      </c>
      <c r="D58" s="228">
        <f>'B) D RI'!AR59</f>
        <v>60</v>
      </c>
      <c r="E58" s="229">
        <f>'B) D RI'!S59</f>
        <v>74</v>
      </c>
      <c r="F58" s="10">
        <f>'B) D RI'!R59</f>
        <v>120985.36</v>
      </c>
      <c r="G58" s="10">
        <f>'B) D RI'!U59</f>
        <v>1634.9372972972974</v>
      </c>
      <c r="H58" s="43">
        <f>'B) D RI'!T59</f>
        <v>112511.36</v>
      </c>
      <c r="I58" s="10">
        <f t="shared" si="3"/>
        <v>3040.8475675675677</v>
      </c>
      <c r="J58" s="33">
        <f t="shared" si="6"/>
        <v>5167.0904559151304</v>
      </c>
      <c r="K58" s="10">
        <f t="shared" si="1"/>
        <v>3040.8475675675677</v>
      </c>
      <c r="L58" s="10">
        <f t="shared" si="4"/>
        <v>2126.2428883475627</v>
      </c>
      <c r="M58" s="10">
        <f>'D) Ecrêtage'!M57</f>
        <v>1634.9372972972974</v>
      </c>
      <c r="N58" s="10">
        <f t="shared" si="7"/>
        <v>2029.8664562356971</v>
      </c>
      <c r="O58" s="59">
        <f t="shared" si="5"/>
        <v>5070.7140238032644</v>
      </c>
      <c r="P58" s="230"/>
      <c r="Q58" s="231"/>
      <c r="R58" s="227"/>
      <c r="S58" s="227"/>
      <c r="T58" s="232"/>
    </row>
    <row r="59" spans="1:20" s="226" customFormat="1" x14ac:dyDescent="0.25">
      <c r="A59" s="340">
        <f>'A) Base RI'!A60</f>
        <v>5489</v>
      </c>
      <c r="B59" s="239" t="str">
        <f>'A) Base RI'!B60</f>
        <v>Mex</v>
      </c>
      <c r="C59" s="255">
        <v>0</v>
      </c>
      <c r="D59" s="228">
        <f>'B) D RI'!AR60</f>
        <v>718</v>
      </c>
      <c r="E59" s="229">
        <f>'B) D RI'!S60</f>
        <v>61</v>
      </c>
      <c r="F59" s="10">
        <f>'B) D RI'!R60</f>
        <v>3501317.2100000004</v>
      </c>
      <c r="G59" s="10">
        <f>'B) D RI'!U60</f>
        <v>57398.642786885255</v>
      </c>
      <c r="H59" s="43">
        <f>'B) D RI'!T60</f>
        <v>3219604.8600000003</v>
      </c>
      <c r="I59" s="10">
        <f t="shared" si="3"/>
        <v>105560.81508196723</v>
      </c>
      <c r="J59" s="33">
        <f t="shared" si="6"/>
        <v>61832.849122451065</v>
      </c>
      <c r="K59" s="10">
        <f t="shared" si="1"/>
        <v>61832.849122451065</v>
      </c>
      <c r="L59" s="10">
        <f t="shared" si="4"/>
        <v>0</v>
      </c>
      <c r="M59" s="10">
        <f>'D) Ecrêtage'!M58</f>
        <v>52808.048182177503</v>
      </c>
      <c r="N59" s="10">
        <f t="shared" si="7"/>
        <v>65564.15698723188</v>
      </c>
      <c r="O59" s="59">
        <f t="shared" si="5"/>
        <v>127397.00610968294</v>
      </c>
      <c r="P59" s="230"/>
      <c r="Q59" s="231"/>
      <c r="R59" s="227"/>
      <c r="S59" s="227"/>
      <c r="T59" s="232"/>
    </row>
    <row r="60" spans="1:20" s="226" customFormat="1" x14ac:dyDescent="0.25">
      <c r="A60" s="340">
        <f>'A) Base RI'!A61</f>
        <v>5490</v>
      </c>
      <c r="B60" s="239" t="str">
        <f>'A) Base RI'!B61</f>
        <v>Moiry</v>
      </c>
      <c r="C60" s="255">
        <v>0</v>
      </c>
      <c r="D60" s="228">
        <f>'B) D RI'!AR61</f>
        <v>316</v>
      </c>
      <c r="E60" s="229">
        <f>'B) D RI'!S61</f>
        <v>81</v>
      </c>
      <c r="F60" s="10">
        <f>'B) D RI'!R61</f>
        <v>661342.61</v>
      </c>
      <c r="G60" s="10">
        <f>'B) D RI'!U61</f>
        <v>8164.7235802469131</v>
      </c>
      <c r="H60" s="43">
        <f>'B) D RI'!T61</f>
        <v>619546.16</v>
      </c>
      <c r="I60" s="10">
        <f t="shared" si="3"/>
        <v>15297.436049382717</v>
      </c>
      <c r="J60" s="33">
        <f t="shared" si="6"/>
        <v>27213.343067819689</v>
      </c>
      <c r="K60" s="10">
        <f t="shared" si="1"/>
        <v>15297.436049382717</v>
      </c>
      <c r="L60" s="10">
        <f t="shared" si="4"/>
        <v>11915.907018436972</v>
      </c>
      <c r="M60" s="10">
        <f>'D) Ecrêtage'!M59</f>
        <v>8164.7235802469131</v>
      </c>
      <c r="N60" s="10">
        <f t="shared" si="7"/>
        <v>10136.962773665407</v>
      </c>
      <c r="O60" s="59">
        <f t="shared" si="5"/>
        <v>25434.398823048126</v>
      </c>
      <c r="P60" s="230"/>
      <c r="Q60" s="231"/>
      <c r="R60" s="227"/>
      <c r="S60" s="227"/>
      <c r="T60" s="232"/>
    </row>
    <row r="61" spans="1:20" s="226" customFormat="1" x14ac:dyDescent="0.25">
      <c r="A61" s="340">
        <f>'A) Base RI'!A62</f>
        <v>5491</v>
      </c>
      <c r="B61" s="239" t="str">
        <f>'A) Base RI'!B62</f>
        <v>Mont-la-Ville</v>
      </c>
      <c r="C61" s="255">
        <v>0</v>
      </c>
      <c r="D61" s="228">
        <f>'B) D RI'!AR62</f>
        <v>417</v>
      </c>
      <c r="E61" s="229">
        <f>'B) D RI'!S62</f>
        <v>76</v>
      </c>
      <c r="F61" s="10">
        <f>'B) D RI'!R62</f>
        <v>800924.51000000013</v>
      </c>
      <c r="G61" s="10">
        <f>'B) D RI'!U62</f>
        <v>10538.480394736844</v>
      </c>
      <c r="H61" s="43">
        <f>'B) D RI'!T62</f>
        <v>730820.41000000015</v>
      </c>
      <c r="I61" s="10">
        <f t="shared" si="3"/>
        <v>19232.116052631583</v>
      </c>
      <c r="J61" s="33">
        <f t="shared" si="6"/>
        <v>35911.278668610161</v>
      </c>
      <c r="K61" s="10">
        <f t="shared" si="1"/>
        <v>19232.116052631583</v>
      </c>
      <c r="L61" s="10">
        <f t="shared" si="4"/>
        <v>16679.162615978577</v>
      </c>
      <c r="M61" s="10">
        <f>'D) Ecrêtage'!M60</f>
        <v>10538.480394736844</v>
      </c>
      <c r="N61" s="10">
        <f t="shared" si="7"/>
        <v>13084.115145171818</v>
      </c>
      <c r="O61" s="59">
        <f t="shared" si="5"/>
        <v>32316.231197803401</v>
      </c>
      <c r="P61" s="230"/>
      <c r="Q61" s="231"/>
      <c r="R61" s="227"/>
      <c r="S61" s="227"/>
      <c r="T61" s="232"/>
    </row>
    <row r="62" spans="1:20" s="226" customFormat="1" x14ac:dyDescent="0.25">
      <c r="A62" s="340">
        <f>'A) Base RI'!A63</f>
        <v>5492</v>
      </c>
      <c r="B62" s="239" t="str">
        <f>'A) Base RI'!B63</f>
        <v>Montricher</v>
      </c>
      <c r="C62" s="255">
        <v>0</v>
      </c>
      <c r="D62" s="228">
        <f>'B) D RI'!AR63</f>
        <v>986</v>
      </c>
      <c r="E62" s="229">
        <f>'B) D RI'!S63</f>
        <v>64</v>
      </c>
      <c r="F62" s="10">
        <f>'B) D RI'!R63</f>
        <v>14315887.396666666</v>
      </c>
      <c r="G62" s="10">
        <f>'B) D RI'!U63</f>
        <v>223685.74057291666</v>
      </c>
      <c r="H62" s="43">
        <f>'B) D RI'!T63</f>
        <v>14078790.780000001</v>
      </c>
      <c r="I62" s="10">
        <f t="shared" si="3"/>
        <v>439962.21187500004</v>
      </c>
      <c r="J62" s="33">
        <f t="shared" si="6"/>
        <v>84912.519825538649</v>
      </c>
      <c r="K62" s="10">
        <f t="shared" si="1"/>
        <v>84912.519825538649</v>
      </c>
      <c r="L62" s="10">
        <f t="shared" si="4"/>
        <v>0</v>
      </c>
      <c r="M62" s="10">
        <f>'D) Ecrêtage'!M61</f>
        <v>159820.2900084072</v>
      </c>
      <c r="N62" s="10">
        <f t="shared" si="7"/>
        <v>198425.86394610547</v>
      </c>
      <c r="O62" s="59">
        <f t="shared" si="5"/>
        <v>283338.38377164409</v>
      </c>
      <c r="P62" s="230"/>
      <c r="Q62" s="231"/>
      <c r="R62" s="227"/>
      <c r="S62" s="227"/>
      <c r="T62" s="232"/>
    </row>
    <row r="63" spans="1:20" s="226" customFormat="1" x14ac:dyDescent="0.25">
      <c r="A63" s="340">
        <f>'A) Base RI'!A64</f>
        <v>5493</v>
      </c>
      <c r="B63" s="239" t="str">
        <f>'A) Base RI'!B64</f>
        <v>Orny</v>
      </c>
      <c r="C63" s="255">
        <v>0</v>
      </c>
      <c r="D63" s="228">
        <f>'B) D RI'!AR64</f>
        <v>356</v>
      </c>
      <c r="E63" s="229">
        <f>'B) D RI'!S64</f>
        <v>73</v>
      </c>
      <c r="F63" s="10">
        <f>'B) D RI'!R64</f>
        <v>722948.6453846154</v>
      </c>
      <c r="G63" s="10">
        <f>'B) D RI'!U64</f>
        <v>9903.4061011591148</v>
      </c>
      <c r="H63" s="43">
        <f>'B) D RI'!T64</f>
        <v>668247.28</v>
      </c>
      <c r="I63" s="10">
        <f t="shared" si="3"/>
        <v>18308.144657534249</v>
      </c>
      <c r="J63" s="33">
        <f t="shared" si="6"/>
        <v>30658.070038429774</v>
      </c>
      <c r="K63" s="10">
        <f t="shared" si="1"/>
        <v>18308.144657534249</v>
      </c>
      <c r="L63" s="10">
        <f t="shared" si="4"/>
        <v>12349.925380895525</v>
      </c>
      <c r="M63" s="10">
        <f>'D) Ecrêtage'!M62</f>
        <v>9903.4061011591148</v>
      </c>
      <c r="N63" s="10">
        <f t="shared" si="7"/>
        <v>12295.634750307721</v>
      </c>
      <c r="O63" s="59">
        <f t="shared" si="5"/>
        <v>30603.779407841968</v>
      </c>
      <c r="P63" s="230"/>
      <c r="Q63" s="231"/>
      <c r="R63" s="227"/>
      <c r="S63" s="227"/>
      <c r="T63" s="232"/>
    </row>
    <row r="64" spans="1:20" s="226" customFormat="1" x14ac:dyDescent="0.25">
      <c r="A64" s="340">
        <f>'A) Base RI'!A65</f>
        <v>5494</v>
      </c>
      <c r="B64" s="239" t="str">
        <f>'A) Base RI'!B65</f>
        <v>Pampigny</v>
      </c>
      <c r="C64" s="255">
        <v>0</v>
      </c>
      <c r="D64" s="228">
        <f>'B) D RI'!AR65</f>
        <v>1124</v>
      </c>
      <c r="E64" s="229">
        <f>'B) D RI'!S65</f>
        <v>75</v>
      </c>
      <c r="F64" s="10">
        <f>'B) D RI'!R65</f>
        <v>2790065.3604761907</v>
      </c>
      <c r="G64" s="10">
        <f>'B) D RI'!U65</f>
        <v>37200.871473015875</v>
      </c>
      <c r="H64" s="43">
        <f>'B) D RI'!T65</f>
        <v>2574558.5200000005</v>
      </c>
      <c r="I64" s="10">
        <f t="shared" si="3"/>
        <v>68654.89386666668</v>
      </c>
      <c r="J64" s="33">
        <f t="shared" si="6"/>
        <v>96796.827874143448</v>
      </c>
      <c r="K64" s="10">
        <f t="shared" si="1"/>
        <v>68654.89386666668</v>
      </c>
      <c r="L64" s="10">
        <f t="shared" si="4"/>
        <v>28141.934007476768</v>
      </c>
      <c r="M64" s="10">
        <f>'D) Ecrêtage'!M63</f>
        <v>37200.871473015875</v>
      </c>
      <c r="N64" s="10">
        <f t="shared" si="7"/>
        <v>46186.970760676893</v>
      </c>
      <c r="O64" s="59">
        <f t="shared" si="5"/>
        <v>114841.86462734357</v>
      </c>
      <c r="P64" s="230"/>
      <c r="Q64" s="231"/>
      <c r="R64" s="227"/>
      <c r="S64" s="227"/>
      <c r="T64" s="232"/>
    </row>
    <row r="65" spans="1:20" s="226" customFormat="1" x14ac:dyDescent="0.25">
      <c r="A65" s="340">
        <f>'A) Base RI'!A66</f>
        <v>5495</v>
      </c>
      <c r="B65" s="239" t="str">
        <f>'A) Base RI'!B66</f>
        <v>Penthalaz</v>
      </c>
      <c r="C65" s="255">
        <v>0</v>
      </c>
      <c r="D65" s="228">
        <f>'B) D RI'!AR66</f>
        <v>3282</v>
      </c>
      <c r="E65" s="229">
        <f>'B) D RI'!S66</f>
        <v>74</v>
      </c>
      <c r="F65" s="10">
        <f>'B) D RI'!R66</f>
        <v>6921147.0000000009</v>
      </c>
      <c r="G65" s="10">
        <f>'B) D RI'!U66</f>
        <v>93529.013513513521</v>
      </c>
      <c r="H65" s="43">
        <f>'B) D RI'!T66</f>
        <v>6337105.0500000007</v>
      </c>
      <c r="I65" s="10">
        <f t="shared" si="3"/>
        <v>171273.10945945949</v>
      </c>
      <c r="J65" s="33">
        <f t="shared" si="6"/>
        <v>282639.84793855768</v>
      </c>
      <c r="K65" s="10">
        <f t="shared" si="1"/>
        <v>171273.10945945949</v>
      </c>
      <c r="L65" s="10">
        <f t="shared" si="4"/>
        <v>111366.73847909819</v>
      </c>
      <c r="M65" s="10">
        <f>'D) Ecrêtage'!M64</f>
        <v>93529.013513513521</v>
      </c>
      <c r="N65" s="10">
        <f t="shared" si="7"/>
        <v>116121.5219260936</v>
      </c>
      <c r="O65" s="59">
        <f t="shared" si="5"/>
        <v>287394.6313855531</v>
      </c>
      <c r="P65" s="230"/>
      <c r="Q65" s="231"/>
      <c r="R65" s="227"/>
      <c r="S65" s="227"/>
      <c r="T65" s="232"/>
    </row>
    <row r="66" spans="1:20" s="226" customFormat="1" x14ac:dyDescent="0.25">
      <c r="A66" s="340">
        <f>'A) Base RI'!A67</f>
        <v>5496</v>
      </c>
      <c r="B66" s="239" t="str">
        <f>'A) Base RI'!B67</f>
        <v>Penthaz</v>
      </c>
      <c r="C66" s="255">
        <v>0</v>
      </c>
      <c r="D66" s="228">
        <f>'B) D RI'!AR67</f>
        <v>1726</v>
      </c>
      <c r="E66" s="229">
        <f>'B) D RI'!S67</f>
        <v>71</v>
      </c>
      <c r="F66" s="10">
        <f>'B) D RI'!R67</f>
        <v>3930856.7700000009</v>
      </c>
      <c r="G66" s="10">
        <f>'B) D RI'!U67</f>
        <v>55364.179859154945</v>
      </c>
      <c r="H66" s="43">
        <f>'B) D RI'!T67</f>
        <v>3622204.8700000006</v>
      </c>
      <c r="I66" s="10">
        <f t="shared" si="3"/>
        <v>102033.94000000002</v>
      </c>
      <c r="J66" s="33">
        <f t="shared" si="6"/>
        <v>148639.96878182527</v>
      </c>
      <c r="K66" s="10">
        <f t="shared" si="1"/>
        <v>102033.94000000002</v>
      </c>
      <c r="L66" s="10">
        <f t="shared" si="4"/>
        <v>46606.028781825255</v>
      </c>
      <c r="M66" s="10">
        <f>'D) Ecrêtage'!M65</f>
        <v>55364.179859154945</v>
      </c>
      <c r="N66" s="10">
        <f t="shared" si="7"/>
        <v>68737.737990855225</v>
      </c>
      <c r="O66" s="59">
        <f t="shared" si="5"/>
        <v>170771.67799085524</v>
      </c>
      <c r="P66" s="230"/>
      <c r="Q66" s="231"/>
      <c r="R66" s="227"/>
      <c r="S66" s="227"/>
      <c r="T66" s="232"/>
    </row>
    <row r="67" spans="1:20" s="226" customFormat="1" x14ac:dyDescent="0.25">
      <c r="A67" s="340">
        <f>'A) Base RI'!A68</f>
        <v>5497</v>
      </c>
      <c r="B67" s="239" t="str">
        <f>'A) Base RI'!B68</f>
        <v>Pompaples</v>
      </c>
      <c r="C67" s="255">
        <v>0</v>
      </c>
      <c r="D67" s="228">
        <f>'B) D RI'!AR68</f>
        <v>854</v>
      </c>
      <c r="E67" s="229">
        <f>'B) D RI'!S68</f>
        <v>66</v>
      </c>
      <c r="F67" s="10">
        <f>'B) D RI'!R68</f>
        <v>1435907.34</v>
      </c>
      <c r="G67" s="10">
        <f>'B) D RI'!U68</f>
        <v>21756.171818181818</v>
      </c>
      <c r="H67" s="43">
        <f>'B) D RI'!T68</f>
        <v>1320036.24</v>
      </c>
      <c r="I67" s="10">
        <f t="shared" si="3"/>
        <v>40001.098181818183</v>
      </c>
      <c r="J67" s="33">
        <f t="shared" si="6"/>
        <v>73544.920822525368</v>
      </c>
      <c r="K67" s="10">
        <f t="shared" si="1"/>
        <v>40001.098181818183</v>
      </c>
      <c r="L67" s="10">
        <f t="shared" si="4"/>
        <v>33543.822640707185</v>
      </c>
      <c r="M67" s="10">
        <f>'D) Ecrêtage'!M66</f>
        <v>21756.171818181818</v>
      </c>
      <c r="N67" s="10">
        <f t="shared" si="7"/>
        <v>27011.508920147426</v>
      </c>
      <c r="O67" s="59">
        <f t="shared" si="5"/>
        <v>67012.607101965608</v>
      </c>
      <c r="P67" s="230"/>
      <c r="Q67" s="231"/>
      <c r="R67" s="227"/>
      <c r="S67" s="227"/>
      <c r="T67" s="232"/>
    </row>
    <row r="68" spans="1:20" s="226" customFormat="1" x14ac:dyDescent="0.25">
      <c r="A68" s="340">
        <f>'A) Base RI'!A69</f>
        <v>5498</v>
      </c>
      <c r="B68" s="239" t="str">
        <f>'A) Base RI'!B69</f>
        <v>La Sarraz</v>
      </c>
      <c r="C68" s="255">
        <v>0</v>
      </c>
      <c r="D68" s="228">
        <f>'B) D RI'!AR69</f>
        <v>2609</v>
      </c>
      <c r="E68" s="229">
        <f>'B) D RI'!S69</f>
        <v>66</v>
      </c>
      <c r="F68" s="10">
        <f>'B) D RI'!R69</f>
        <v>4743204.16</v>
      </c>
      <c r="G68" s="10">
        <f>'B) D RI'!U69</f>
        <v>71866.729696969705</v>
      </c>
      <c r="H68" s="43">
        <f>'B) D RI'!T69</f>
        <v>4350297.96</v>
      </c>
      <c r="I68" s="10">
        <f t="shared" si="3"/>
        <v>131827.21090909091</v>
      </c>
      <c r="J68" s="33">
        <f t="shared" si="6"/>
        <v>224682.31665804292</v>
      </c>
      <c r="K68" s="10">
        <f t="shared" si="1"/>
        <v>131827.21090909091</v>
      </c>
      <c r="L68" s="10">
        <f t="shared" si="4"/>
        <v>92855.105748952017</v>
      </c>
      <c r="M68" s="10">
        <f>'D) Ecrêtage'!M67</f>
        <v>71866.729696969705</v>
      </c>
      <c r="N68" s="10">
        <f t="shared" si="7"/>
        <v>89226.580231785978</v>
      </c>
      <c r="O68" s="59">
        <f t="shared" si="5"/>
        <v>221053.79114087689</v>
      </c>
      <c r="P68" s="230"/>
      <c r="Q68" s="231"/>
      <c r="R68" s="227"/>
      <c r="S68" s="227"/>
      <c r="T68" s="232"/>
    </row>
    <row r="69" spans="1:20" s="226" customFormat="1" x14ac:dyDescent="0.25">
      <c r="A69" s="340">
        <f>'A) Base RI'!A70</f>
        <v>5499</v>
      </c>
      <c r="B69" s="239" t="str">
        <f>'A) Base RI'!B70</f>
        <v>Senarclens</v>
      </c>
      <c r="C69" s="255">
        <v>0</v>
      </c>
      <c r="D69" s="228">
        <f>'B) D RI'!AR70</f>
        <v>505</v>
      </c>
      <c r="E69" s="229">
        <f>'B) D RI'!S70</f>
        <v>68.5</v>
      </c>
      <c r="F69" s="10">
        <f>'B) D RI'!R70</f>
        <v>1386962.1300000001</v>
      </c>
      <c r="G69" s="10">
        <f>'B) D RI'!U70</f>
        <v>20247.622335766424</v>
      </c>
      <c r="H69" s="43">
        <f>'B) D RI'!T70</f>
        <v>1297940.33</v>
      </c>
      <c r="I69" s="10">
        <f t="shared" si="3"/>
        <v>37896.068029197086</v>
      </c>
      <c r="J69" s="33">
        <f t="shared" si="6"/>
        <v>43489.678003952351</v>
      </c>
      <c r="K69" s="10">
        <f t="shared" si="1"/>
        <v>37896.068029197086</v>
      </c>
      <c r="L69" s="10">
        <f t="shared" si="4"/>
        <v>5593.6099747552653</v>
      </c>
      <c r="M69" s="10">
        <f>'D) Ecrêtage'!M68</f>
        <v>20247.622335766424</v>
      </c>
      <c r="N69" s="10">
        <f t="shared" si="7"/>
        <v>25138.560032756603</v>
      </c>
      <c r="O69" s="59">
        <f t="shared" si="5"/>
        <v>63034.628061953685</v>
      </c>
      <c r="P69" s="230"/>
      <c r="Q69" s="231"/>
      <c r="R69" s="227"/>
      <c r="S69" s="227"/>
      <c r="T69" s="232"/>
    </row>
    <row r="70" spans="1:20" s="226" customFormat="1" x14ac:dyDescent="0.25">
      <c r="A70" s="340">
        <f>'A) Base RI'!A71</f>
        <v>5500</v>
      </c>
      <c r="B70" s="239" t="str">
        <f>'A) Base RI'!B71</f>
        <v>Sévery</v>
      </c>
      <c r="C70" s="255">
        <v>0</v>
      </c>
      <c r="D70" s="228">
        <f>'B) D RI'!AR71</f>
        <v>233</v>
      </c>
      <c r="E70" s="229">
        <f>'B) D RI'!S71</f>
        <v>75</v>
      </c>
      <c r="F70" s="10">
        <f>'B) D RI'!R71</f>
        <v>671472.03666666651</v>
      </c>
      <c r="G70" s="10">
        <f>'B) D RI'!U71</f>
        <v>8952.9604888888862</v>
      </c>
      <c r="H70" s="43">
        <f>'B) D RI'!T71</f>
        <v>631063.66999999993</v>
      </c>
      <c r="I70" s="10">
        <f t="shared" si="3"/>
        <v>16828.36453333333</v>
      </c>
      <c r="J70" s="33">
        <f t="shared" ref="J70:J101" si="8">+$I$315/$D$315*D70</f>
        <v>20065.534603803757</v>
      </c>
      <c r="K70" s="10">
        <f t="shared" ref="K70:K133" si="9">IF(C70=1,0,IF(J70&gt;I70,I70,J70))</f>
        <v>16828.36453333333</v>
      </c>
      <c r="L70" s="10">
        <f t="shared" si="4"/>
        <v>3237.1700704704272</v>
      </c>
      <c r="M70" s="10">
        <f>'D) Ecrêtage'!M69</f>
        <v>8952.9604888888862</v>
      </c>
      <c r="N70" s="10">
        <f t="shared" ref="N70:N133" si="10">+$N$5*M70</f>
        <v>11115.603155204342</v>
      </c>
      <c r="O70" s="59">
        <f t="shared" ref="O70:O133" si="11">+N70+K70</f>
        <v>27943.967688537672</v>
      </c>
      <c r="P70" s="230"/>
      <c r="Q70" s="231"/>
      <c r="R70" s="227"/>
      <c r="S70" s="227"/>
      <c r="T70" s="232"/>
    </row>
    <row r="71" spans="1:20" s="226" customFormat="1" x14ac:dyDescent="0.25">
      <c r="A71" s="340">
        <f>'A) Base RI'!A72</f>
        <v>5501</v>
      </c>
      <c r="B71" s="239" t="str">
        <f>'A) Base RI'!B72</f>
        <v>Sullens</v>
      </c>
      <c r="C71" s="255">
        <v>0</v>
      </c>
      <c r="D71" s="228">
        <f>'B) D RI'!AR72</f>
        <v>1005</v>
      </c>
      <c r="E71" s="229">
        <f>'B) D RI'!S72</f>
        <v>70</v>
      </c>
      <c r="F71" s="10">
        <f>'B) D RI'!R72</f>
        <v>2415762.3800000004</v>
      </c>
      <c r="G71" s="10">
        <f>'B) D RI'!U72</f>
        <v>34510.891142857145</v>
      </c>
      <c r="H71" s="43">
        <f>'B) D RI'!T72</f>
        <v>2206595.9300000002</v>
      </c>
      <c r="I71" s="10">
        <f t="shared" ref="I71:I134" si="12">+H71/E71*$I$5</f>
        <v>63045.598000000005</v>
      </c>
      <c r="J71" s="33">
        <f t="shared" si="8"/>
        <v>86548.76513657844</v>
      </c>
      <c r="K71" s="10">
        <f t="shared" si="9"/>
        <v>63045.598000000005</v>
      </c>
      <c r="L71" s="10">
        <f t="shared" ref="L71:L134" si="13">+J71-K71</f>
        <v>23503.167136578435</v>
      </c>
      <c r="M71" s="10">
        <f>'D) Ecrêtage'!M70</f>
        <v>34510.891142857145</v>
      </c>
      <c r="N71" s="10">
        <f t="shared" si="10"/>
        <v>42847.209138534308</v>
      </c>
      <c r="O71" s="59">
        <f t="shared" si="11"/>
        <v>105892.80713853432</v>
      </c>
      <c r="P71" s="230"/>
      <c r="Q71" s="231"/>
      <c r="R71" s="227"/>
      <c r="S71" s="227"/>
      <c r="T71" s="232"/>
    </row>
    <row r="72" spans="1:20" s="226" customFormat="1" x14ac:dyDescent="0.25">
      <c r="A72" s="340">
        <f>'A) Base RI'!A73</f>
        <v>5503</v>
      </c>
      <c r="B72" s="239" t="str">
        <f>'A) Base RI'!B73</f>
        <v>Vufflens-la-Ville</v>
      </c>
      <c r="C72" s="255">
        <v>0</v>
      </c>
      <c r="D72" s="228">
        <f>'B) D RI'!AR73</f>
        <v>1284</v>
      </c>
      <c r="E72" s="229">
        <f>'B) D RI'!S73</f>
        <v>67</v>
      </c>
      <c r="F72" s="10">
        <f>'B) D RI'!R73</f>
        <v>4655738.2233333318</v>
      </c>
      <c r="G72" s="10">
        <f>'B) D RI'!U73</f>
        <v>69488.630199004954</v>
      </c>
      <c r="H72" s="43">
        <f>'B) D RI'!T73</f>
        <v>4328876.2899999991</v>
      </c>
      <c r="I72" s="10">
        <f t="shared" si="12"/>
        <v>129220.187761194</v>
      </c>
      <c r="J72" s="33">
        <f t="shared" si="8"/>
        <v>110575.7357565838</v>
      </c>
      <c r="K72" s="10">
        <f t="shared" si="9"/>
        <v>110575.7357565838</v>
      </c>
      <c r="L72" s="10">
        <f t="shared" si="13"/>
        <v>0</v>
      </c>
      <c r="M72" s="10">
        <f>'D) Ecrêtage'!M71</f>
        <v>69488.630199004954</v>
      </c>
      <c r="N72" s="10">
        <f t="shared" si="10"/>
        <v>86274.036174904133</v>
      </c>
      <c r="O72" s="59">
        <f t="shared" si="11"/>
        <v>196849.77193148795</v>
      </c>
      <c r="P72" s="230"/>
      <c r="Q72" s="231"/>
      <c r="R72" s="227"/>
      <c r="S72" s="227"/>
      <c r="T72" s="232"/>
    </row>
    <row r="73" spans="1:20" s="226" customFormat="1" x14ac:dyDescent="0.25">
      <c r="A73" s="340">
        <f>'A) Base RI'!A74</f>
        <v>5511</v>
      </c>
      <c r="B73" s="239" t="str">
        <f>'A) Base RI'!B74</f>
        <v>Assens</v>
      </c>
      <c r="C73" s="255">
        <v>0</v>
      </c>
      <c r="D73" s="228">
        <f>'B) D RI'!AR74</f>
        <v>1070</v>
      </c>
      <c r="E73" s="229">
        <f>'B) D RI'!S74</f>
        <v>70</v>
      </c>
      <c r="F73" s="10">
        <f>'B) D RI'!R74</f>
        <v>3469711.3</v>
      </c>
      <c r="G73" s="10">
        <f>'B) D RI'!U74</f>
        <v>49567.304285714286</v>
      </c>
      <c r="H73" s="43">
        <f>'B) D RI'!T74</f>
        <v>3246767.15</v>
      </c>
      <c r="I73" s="10">
        <f t="shared" si="12"/>
        <v>92764.775714285715</v>
      </c>
      <c r="J73" s="33">
        <f t="shared" si="8"/>
        <v>92146.446463819826</v>
      </c>
      <c r="K73" s="10">
        <f t="shared" si="9"/>
        <v>92146.446463819826</v>
      </c>
      <c r="L73" s="10">
        <f t="shared" si="13"/>
        <v>0</v>
      </c>
      <c r="M73" s="10">
        <f>'D) Ecrêtage'!M72</f>
        <v>49567.304285714286</v>
      </c>
      <c r="N73" s="10">
        <f t="shared" si="10"/>
        <v>61540.591472177715</v>
      </c>
      <c r="O73" s="59">
        <f t="shared" si="11"/>
        <v>153687.03793599753</v>
      </c>
      <c r="P73" s="230"/>
      <c r="Q73" s="231"/>
      <c r="R73" s="227"/>
      <c r="S73" s="227"/>
      <c r="T73" s="232"/>
    </row>
    <row r="74" spans="1:20" s="226" customFormat="1" x14ac:dyDescent="0.25">
      <c r="A74" s="340">
        <f>'A) Base RI'!A75</f>
        <v>5512</v>
      </c>
      <c r="B74" s="239" t="str">
        <f>'A) Base RI'!B75</f>
        <v>Bercher</v>
      </c>
      <c r="C74" s="255">
        <v>0</v>
      </c>
      <c r="D74" s="228">
        <f>'B) D RI'!AR75</f>
        <v>1221</v>
      </c>
      <c r="E74" s="229">
        <f>'B) D RI'!S75</f>
        <v>79</v>
      </c>
      <c r="F74" s="10">
        <f>'B) D RI'!R75</f>
        <v>3025386.3599999994</v>
      </c>
      <c r="G74" s="10">
        <f>'B) D RI'!U75</f>
        <v>38296.029873417712</v>
      </c>
      <c r="H74" s="43">
        <f>'B) D RI'!T75</f>
        <v>2796023.01</v>
      </c>
      <c r="I74" s="10">
        <f t="shared" si="12"/>
        <v>70785.392658227836</v>
      </c>
      <c r="J74" s="33">
        <f t="shared" si="8"/>
        <v>105150.29077787291</v>
      </c>
      <c r="K74" s="10">
        <f t="shared" si="9"/>
        <v>70785.392658227836</v>
      </c>
      <c r="L74" s="10">
        <f t="shared" si="13"/>
        <v>34364.898119645077</v>
      </c>
      <c r="M74" s="10">
        <f>'D) Ecrêtage'!M73</f>
        <v>38296.029873417712</v>
      </c>
      <c r="N74" s="10">
        <f t="shared" si="10"/>
        <v>47546.671407860915</v>
      </c>
      <c r="O74" s="59">
        <f t="shared" si="11"/>
        <v>118332.06406608876</v>
      </c>
      <c r="P74" s="230"/>
      <c r="Q74" s="231"/>
      <c r="R74" s="227"/>
      <c r="S74" s="227"/>
      <c r="T74" s="232"/>
    </row>
    <row r="75" spans="1:20" s="226" customFormat="1" x14ac:dyDescent="0.25">
      <c r="A75" s="340">
        <f>'A) Base RI'!A76</f>
        <v>5513</v>
      </c>
      <c r="B75" s="239" t="str">
        <f>'A) Base RI'!B76</f>
        <v>Bioley-Orjulaz</v>
      </c>
      <c r="C75" s="255">
        <v>0</v>
      </c>
      <c r="D75" s="228">
        <f>'B) D RI'!AR76</f>
        <v>499</v>
      </c>
      <c r="E75" s="229">
        <f>'B) D RI'!S76</f>
        <v>68</v>
      </c>
      <c r="F75" s="10">
        <f>'B) D RI'!R76</f>
        <v>1581754.63</v>
      </c>
      <c r="G75" s="10">
        <f>'B) D RI'!U76</f>
        <v>23261.0975</v>
      </c>
      <c r="H75" s="43">
        <f>'B) D RI'!T76</f>
        <v>1477645.23</v>
      </c>
      <c r="I75" s="10">
        <f t="shared" si="12"/>
        <v>43460.153823529414</v>
      </c>
      <c r="J75" s="33">
        <f t="shared" si="8"/>
        <v>42972.968958360834</v>
      </c>
      <c r="K75" s="10">
        <f t="shared" si="9"/>
        <v>42972.968958360834</v>
      </c>
      <c r="L75" s="10">
        <f t="shared" si="13"/>
        <v>0</v>
      </c>
      <c r="M75" s="10">
        <f>'D) Ecrêtage'!M74</f>
        <v>23261.0975</v>
      </c>
      <c r="N75" s="10">
        <f t="shared" si="10"/>
        <v>28879.958655620601</v>
      </c>
      <c r="O75" s="59">
        <f t="shared" si="11"/>
        <v>71852.927613981432</v>
      </c>
      <c r="P75" s="230"/>
      <c r="Q75" s="231"/>
      <c r="R75" s="227"/>
      <c r="S75" s="227"/>
      <c r="T75" s="232"/>
    </row>
    <row r="76" spans="1:20" s="226" customFormat="1" x14ac:dyDescent="0.25">
      <c r="A76" s="340">
        <f>'A) Base RI'!A77</f>
        <v>5514</v>
      </c>
      <c r="B76" s="239" t="str">
        <f>'A) Base RI'!B77</f>
        <v>Bottens</v>
      </c>
      <c r="C76" s="255">
        <v>0</v>
      </c>
      <c r="D76" s="228">
        <f>'B) D RI'!AR77</f>
        <v>1263</v>
      </c>
      <c r="E76" s="229">
        <f>'B) D RI'!S77</f>
        <v>69</v>
      </c>
      <c r="F76" s="10">
        <f>'B) D RI'!R77</f>
        <v>2832568.43</v>
      </c>
      <c r="G76" s="10">
        <f>'B) D RI'!U77</f>
        <v>41051.716376811593</v>
      </c>
      <c r="H76" s="43">
        <f>'B) D RI'!T77</f>
        <v>2617051.48</v>
      </c>
      <c r="I76" s="10">
        <f t="shared" si="12"/>
        <v>75856.564637681164</v>
      </c>
      <c r="J76" s="33">
        <f t="shared" si="8"/>
        <v>108767.2540970135</v>
      </c>
      <c r="K76" s="10">
        <f t="shared" si="9"/>
        <v>75856.564637681164</v>
      </c>
      <c r="L76" s="10">
        <f t="shared" si="13"/>
        <v>32910.689459332338</v>
      </c>
      <c r="M76" s="10">
        <f>'D) Ecrêtage'!M75</f>
        <v>41051.716376811593</v>
      </c>
      <c r="N76" s="10">
        <f t="shared" si="10"/>
        <v>50968.010933473022</v>
      </c>
      <c r="O76" s="59">
        <f t="shared" si="11"/>
        <v>126824.57557115419</v>
      </c>
      <c r="P76" s="230"/>
      <c r="Q76" s="231"/>
      <c r="R76" s="227"/>
      <c r="S76" s="227"/>
      <c r="T76" s="232"/>
    </row>
    <row r="77" spans="1:20" s="226" customFormat="1" x14ac:dyDescent="0.25">
      <c r="A77" s="340">
        <f>'A) Base RI'!A78</f>
        <v>5515</v>
      </c>
      <c r="B77" s="239" t="str">
        <f>'A) Base RI'!B78</f>
        <v>Bretigny-sur-Morrens</v>
      </c>
      <c r="C77" s="255">
        <v>0</v>
      </c>
      <c r="D77" s="228">
        <f>'B) D RI'!AR78</f>
        <v>825</v>
      </c>
      <c r="E77" s="229">
        <f>'B) D RI'!S78</f>
        <v>73</v>
      </c>
      <c r="F77" s="10">
        <f>'B) D RI'!R78</f>
        <v>2025099.99</v>
      </c>
      <c r="G77" s="10">
        <f>'B) D RI'!U78</f>
        <v>27741.095753424659</v>
      </c>
      <c r="H77" s="43">
        <f>'B) D RI'!T78</f>
        <v>1875212.29</v>
      </c>
      <c r="I77" s="10">
        <f t="shared" si="12"/>
        <v>51375.679178082195</v>
      </c>
      <c r="J77" s="33">
        <f t="shared" si="8"/>
        <v>71047.493768833054</v>
      </c>
      <c r="K77" s="10">
        <f t="shared" si="9"/>
        <v>51375.679178082195</v>
      </c>
      <c r="L77" s="10">
        <f t="shared" si="13"/>
        <v>19671.814590750859</v>
      </c>
      <c r="M77" s="10">
        <f>'D) Ecrêtage'!M76</f>
        <v>27741.095753424659</v>
      </c>
      <c r="N77" s="10">
        <f t="shared" si="10"/>
        <v>34442.128038907722</v>
      </c>
      <c r="O77" s="59">
        <f t="shared" si="11"/>
        <v>85817.807216989924</v>
      </c>
      <c r="P77" s="230"/>
      <c r="Q77" s="231"/>
      <c r="R77" s="227"/>
      <c r="S77" s="227"/>
      <c r="T77" s="232"/>
    </row>
    <row r="78" spans="1:20" s="226" customFormat="1" x14ac:dyDescent="0.25">
      <c r="A78" s="340">
        <f>'A) Base RI'!A79</f>
        <v>5516</v>
      </c>
      <c r="B78" s="239" t="str">
        <f>'A) Base RI'!B79</f>
        <v>Cugy</v>
      </c>
      <c r="C78" s="255">
        <v>0</v>
      </c>
      <c r="D78" s="228">
        <f>'B) D RI'!AR79</f>
        <v>2744</v>
      </c>
      <c r="E78" s="229">
        <f>'B) D RI'!S79</f>
        <v>70</v>
      </c>
      <c r="F78" s="10">
        <f>'B) D RI'!R79</f>
        <v>7798266.3099999987</v>
      </c>
      <c r="G78" s="10">
        <f>'B) D RI'!U79</f>
        <v>111403.80442857141</v>
      </c>
      <c r="H78" s="43">
        <f>'B) D RI'!T79</f>
        <v>7222743.8099999987</v>
      </c>
      <c r="I78" s="10">
        <f t="shared" si="12"/>
        <v>206364.10885714283</v>
      </c>
      <c r="J78" s="33">
        <f t="shared" si="8"/>
        <v>236308.27018385197</v>
      </c>
      <c r="K78" s="10">
        <f t="shared" si="9"/>
        <v>206364.10885714283</v>
      </c>
      <c r="L78" s="10">
        <f t="shared" si="13"/>
        <v>29944.161326709145</v>
      </c>
      <c r="M78" s="10">
        <f>'D) Ecrêtage'!M77</f>
        <v>111403.80442857141</v>
      </c>
      <c r="N78" s="10">
        <f t="shared" si="10"/>
        <v>138314.0785156842</v>
      </c>
      <c r="O78" s="59">
        <f t="shared" si="11"/>
        <v>344678.18737282703</v>
      </c>
      <c r="P78" s="230"/>
      <c r="Q78" s="231"/>
      <c r="R78" s="227"/>
      <c r="S78" s="227"/>
      <c r="T78" s="232"/>
    </row>
    <row r="79" spans="1:20" s="226" customFormat="1" x14ac:dyDescent="0.25">
      <c r="A79" s="340">
        <f>'A) Base RI'!A80</f>
        <v>5518</v>
      </c>
      <c r="B79" s="239" t="str">
        <f>'A) Base RI'!B80</f>
        <v>Echallens</v>
      </c>
      <c r="C79" s="255">
        <v>0</v>
      </c>
      <c r="D79" s="228">
        <f>'B) D RI'!AR80</f>
        <v>5728</v>
      </c>
      <c r="E79" s="229">
        <f>'B) D RI'!S80</f>
        <v>74</v>
      </c>
      <c r="F79" s="10">
        <f>'B) D RI'!R80</f>
        <v>14329265.380000001</v>
      </c>
      <c r="G79" s="10">
        <f>'B) D RI'!U80</f>
        <v>193638.72135135136</v>
      </c>
      <c r="H79" s="43">
        <f>'B) D RI'!T80</f>
        <v>13274680.73</v>
      </c>
      <c r="I79" s="10">
        <f t="shared" si="12"/>
        <v>358775.15486486489</v>
      </c>
      <c r="J79" s="33">
        <f t="shared" si="8"/>
        <v>493284.9021913645</v>
      </c>
      <c r="K79" s="10">
        <f t="shared" si="9"/>
        <v>358775.15486486489</v>
      </c>
      <c r="L79" s="10">
        <f t="shared" si="13"/>
        <v>134509.74732649961</v>
      </c>
      <c r="M79" s="10">
        <f>'D) Ecrêtage'!M78</f>
        <v>193638.72135135136</v>
      </c>
      <c r="N79" s="10">
        <f t="shared" si="10"/>
        <v>240413.34536146736</v>
      </c>
      <c r="O79" s="59">
        <f t="shared" si="11"/>
        <v>599188.50022633222</v>
      </c>
      <c r="P79" s="230"/>
      <c r="Q79" s="231"/>
      <c r="R79" s="227"/>
      <c r="S79" s="227"/>
      <c r="T79" s="232"/>
    </row>
    <row r="80" spans="1:20" s="226" customFormat="1" x14ac:dyDescent="0.25">
      <c r="A80" s="340">
        <f>'A) Base RI'!A81</f>
        <v>5520</v>
      </c>
      <c r="B80" s="239" t="str">
        <f>'A) Base RI'!B81</f>
        <v>Essertines-sur-Yverdon</v>
      </c>
      <c r="C80" s="255">
        <v>0</v>
      </c>
      <c r="D80" s="228">
        <f>'B) D RI'!AR81</f>
        <v>981</v>
      </c>
      <c r="E80" s="229">
        <f>'B) D RI'!S81</f>
        <v>73</v>
      </c>
      <c r="F80" s="10">
        <f>'B) D RI'!R81</f>
        <v>2337777.88</v>
      </c>
      <c r="G80" s="10">
        <f>'B) D RI'!U81</f>
        <v>32024.354520547942</v>
      </c>
      <c r="H80" s="43">
        <f>'B) D RI'!T81</f>
        <v>2162953.4299999997</v>
      </c>
      <c r="I80" s="10">
        <f t="shared" si="12"/>
        <v>59258.998082191771</v>
      </c>
      <c r="J80" s="33">
        <f t="shared" si="8"/>
        <v>84481.928954212388</v>
      </c>
      <c r="K80" s="10">
        <f t="shared" si="9"/>
        <v>59258.998082191771</v>
      </c>
      <c r="L80" s="10">
        <f t="shared" si="13"/>
        <v>25222.930872020617</v>
      </c>
      <c r="M80" s="10">
        <f>'D) Ecrêtage'!M79</f>
        <v>32024.354520547942</v>
      </c>
      <c r="N80" s="10">
        <f t="shared" si="10"/>
        <v>39760.034303040142</v>
      </c>
      <c r="O80" s="59">
        <f t="shared" si="11"/>
        <v>99019.032385231912</v>
      </c>
      <c r="P80" s="230"/>
      <c r="Q80" s="231"/>
      <c r="R80" s="227"/>
      <c r="S80" s="227"/>
      <c r="T80" s="232"/>
    </row>
    <row r="81" spans="1:20" s="226" customFormat="1" x14ac:dyDescent="0.25">
      <c r="A81" s="340">
        <f>'A) Base RI'!A82</f>
        <v>5521</v>
      </c>
      <c r="B81" s="239" t="str">
        <f>'A) Base RI'!B82</f>
        <v>Etagnières</v>
      </c>
      <c r="C81" s="255">
        <v>0</v>
      </c>
      <c r="D81" s="228">
        <f>'B) D RI'!AR82</f>
        <v>1119</v>
      </c>
      <c r="E81" s="229">
        <f>'B) D RI'!S82</f>
        <v>73</v>
      </c>
      <c r="F81" s="10">
        <f>'B) D RI'!R82</f>
        <v>3050106.7999999993</v>
      </c>
      <c r="G81" s="10">
        <f>'B) D RI'!U82</f>
        <v>41782.284931506838</v>
      </c>
      <c r="H81" s="43">
        <f>'B) D RI'!T82</f>
        <v>2805213.9499999993</v>
      </c>
      <c r="I81" s="10">
        <f t="shared" si="12"/>
        <v>76855.176712328743</v>
      </c>
      <c r="J81" s="33">
        <f t="shared" si="8"/>
        <v>96366.237002817186</v>
      </c>
      <c r="K81" s="10">
        <f t="shared" si="9"/>
        <v>76855.176712328743</v>
      </c>
      <c r="L81" s="10">
        <f t="shared" si="13"/>
        <v>19511.060290488444</v>
      </c>
      <c r="M81" s="10">
        <f>'D) Ecrêtage'!M80</f>
        <v>41782.284931506838</v>
      </c>
      <c r="N81" s="10">
        <f t="shared" si="10"/>
        <v>51875.052815512128</v>
      </c>
      <c r="O81" s="59">
        <f t="shared" si="11"/>
        <v>128730.22952784087</v>
      </c>
      <c r="P81" s="230"/>
      <c r="Q81" s="231"/>
      <c r="R81" s="227"/>
      <c r="S81" s="227"/>
      <c r="T81" s="232"/>
    </row>
    <row r="82" spans="1:20" s="226" customFormat="1" x14ac:dyDescent="0.25">
      <c r="A82" s="340">
        <f>'A) Base RI'!A83</f>
        <v>5522</v>
      </c>
      <c r="B82" s="239" t="str">
        <f>'A) Base RI'!B83</f>
        <v>Fey</v>
      </c>
      <c r="C82" s="255">
        <v>0</v>
      </c>
      <c r="D82" s="228">
        <f>'B) D RI'!AR83</f>
        <v>703</v>
      </c>
      <c r="E82" s="229">
        <f>'B) D RI'!S83</f>
        <v>75</v>
      </c>
      <c r="F82" s="10">
        <f>'B) D RI'!R83</f>
        <v>1539081.3699999999</v>
      </c>
      <c r="G82" s="10">
        <f>'B) D RI'!U83</f>
        <v>20521.084933333332</v>
      </c>
      <c r="H82" s="43">
        <f>'B) D RI'!T83</f>
        <v>1418256.57</v>
      </c>
      <c r="I82" s="10">
        <f t="shared" si="12"/>
        <v>37820.175200000005</v>
      </c>
      <c r="J82" s="33">
        <f t="shared" si="8"/>
        <v>60541.076508472281</v>
      </c>
      <c r="K82" s="10">
        <f t="shared" si="9"/>
        <v>37820.175200000005</v>
      </c>
      <c r="L82" s="10">
        <f t="shared" si="13"/>
        <v>22720.901308472276</v>
      </c>
      <c r="M82" s="10">
        <f>'D) Ecrêtage'!M81</f>
        <v>20521.084933333332</v>
      </c>
      <c r="N82" s="10">
        <f t="shared" si="10"/>
        <v>25478.079202546029</v>
      </c>
      <c r="O82" s="59">
        <f t="shared" si="11"/>
        <v>63298.254402546037</v>
      </c>
      <c r="P82" s="230"/>
      <c r="Q82" s="231"/>
      <c r="R82" s="227"/>
      <c r="S82" s="227"/>
      <c r="T82" s="232"/>
    </row>
    <row r="83" spans="1:20" s="226" customFormat="1" x14ac:dyDescent="0.25">
      <c r="A83" s="340">
        <f>'A) Base RI'!A84</f>
        <v>5523</v>
      </c>
      <c r="B83" s="239" t="str">
        <f>'A) Base RI'!B84</f>
        <v>Froideville</v>
      </c>
      <c r="C83" s="255">
        <v>0</v>
      </c>
      <c r="D83" s="228">
        <f>'B) D RI'!AR84</f>
        <v>2561</v>
      </c>
      <c r="E83" s="229">
        <f>'B) D RI'!S84</f>
        <v>76</v>
      </c>
      <c r="F83" s="10">
        <f>'B) D RI'!R84</f>
        <v>6372962.5600000005</v>
      </c>
      <c r="G83" s="10">
        <f>'B) D RI'!U84</f>
        <v>83854.770526315799</v>
      </c>
      <c r="H83" s="43">
        <f>'B) D RI'!T84</f>
        <v>5869171.0600000005</v>
      </c>
      <c r="I83" s="10">
        <f t="shared" si="12"/>
        <v>154451.87000000002</v>
      </c>
      <c r="J83" s="33">
        <f t="shared" si="8"/>
        <v>220548.64429331082</v>
      </c>
      <c r="K83" s="10">
        <f t="shared" si="9"/>
        <v>154451.87000000002</v>
      </c>
      <c r="L83" s="10">
        <f t="shared" si="13"/>
        <v>66096.774293310795</v>
      </c>
      <c r="M83" s="10">
        <f>'D) Ecrêtage'!M82</f>
        <v>83854.770526315799</v>
      </c>
      <c r="N83" s="10">
        <f t="shared" si="10"/>
        <v>104110.40604926544</v>
      </c>
      <c r="O83" s="59">
        <f t="shared" si="11"/>
        <v>258562.27604926546</v>
      </c>
      <c r="P83" s="230"/>
      <c r="Q83" s="231"/>
      <c r="R83" s="227"/>
      <c r="S83" s="227"/>
      <c r="T83" s="232"/>
    </row>
    <row r="84" spans="1:20" s="226" customFormat="1" x14ac:dyDescent="0.25">
      <c r="A84" s="340">
        <f>'A) Base RI'!A85</f>
        <v>5527</v>
      </c>
      <c r="B84" s="239" t="str">
        <f>'A) Base RI'!B85</f>
        <v>Morrens</v>
      </c>
      <c r="C84" s="255">
        <v>0</v>
      </c>
      <c r="D84" s="228">
        <f>'B) D RI'!AR85</f>
        <v>1092</v>
      </c>
      <c r="E84" s="229">
        <f>'B) D RI'!S85</f>
        <v>71</v>
      </c>
      <c r="F84" s="10">
        <f>'B) D RI'!R85</f>
        <v>2822020.43</v>
      </c>
      <c r="G84" s="10">
        <f>'B) D RI'!U85</f>
        <v>39746.766619718313</v>
      </c>
      <c r="H84" s="43">
        <f>'B) D RI'!T85</f>
        <v>2605180.7300000004</v>
      </c>
      <c r="I84" s="10">
        <f t="shared" si="12"/>
        <v>73385.372676056344</v>
      </c>
      <c r="J84" s="33">
        <f t="shared" si="8"/>
        <v>94041.046297655383</v>
      </c>
      <c r="K84" s="10">
        <f t="shared" si="9"/>
        <v>73385.372676056344</v>
      </c>
      <c r="L84" s="10">
        <f t="shared" si="13"/>
        <v>20655.673621599039</v>
      </c>
      <c r="M84" s="10">
        <f>'D) Ecrêtage'!M83</f>
        <v>39746.766619718313</v>
      </c>
      <c r="N84" s="10">
        <f t="shared" si="10"/>
        <v>49347.842537183205</v>
      </c>
      <c r="O84" s="59">
        <f t="shared" si="11"/>
        <v>122733.21521323954</v>
      </c>
      <c r="P84" s="230"/>
      <c r="Q84" s="231"/>
      <c r="R84" s="227"/>
      <c r="S84" s="227"/>
      <c r="T84" s="232"/>
    </row>
    <row r="85" spans="1:20" s="226" customFormat="1" x14ac:dyDescent="0.25">
      <c r="A85" s="340">
        <f>'A) Base RI'!A86</f>
        <v>5529</v>
      </c>
      <c r="B85" s="239" t="str">
        <f>'A) Base RI'!B86</f>
        <v>Oulens-sous-Echallens</v>
      </c>
      <c r="C85" s="255">
        <v>0</v>
      </c>
      <c r="D85" s="228">
        <f>'B) D RI'!AR86</f>
        <v>577</v>
      </c>
      <c r="E85" s="229">
        <f>'B) D RI'!S86</f>
        <v>71</v>
      </c>
      <c r="F85" s="10">
        <f>'B) D RI'!R86</f>
        <v>1434274.0400000003</v>
      </c>
      <c r="G85" s="10">
        <f>'B) D RI'!U86</f>
        <v>20201.042816901412</v>
      </c>
      <c r="H85" s="43">
        <f>'B) D RI'!T86</f>
        <v>1328759.1400000004</v>
      </c>
      <c r="I85" s="10">
        <f t="shared" si="12"/>
        <v>37429.834929577475</v>
      </c>
      <c r="J85" s="33">
        <f t="shared" si="8"/>
        <v>49690.186551050509</v>
      </c>
      <c r="K85" s="10">
        <f t="shared" si="9"/>
        <v>37429.834929577475</v>
      </c>
      <c r="L85" s="10">
        <f t="shared" si="13"/>
        <v>12260.351621473033</v>
      </c>
      <c r="M85" s="10">
        <f>'D) Ecrêtage'!M84</f>
        <v>20201.042816901412</v>
      </c>
      <c r="N85" s="10">
        <f t="shared" si="10"/>
        <v>25080.728944648217</v>
      </c>
      <c r="O85" s="59">
        <f t="shared" si="11"/>
        <v>62510.563874225692</v>
      </c>
      <c r="P85" s="230"/>
      <c r="Q85" s="231"/>
      <c r="R85" s="227"/>
      <c r="S85" s="227"/>
      <c r="T85" s="232"/>
    </row>
    <row r="86" spans="1:20" s="226" customFormat="1" x14ac:dyDescent="0.25">
      <c r="A86" s="340">
        <f>'A) Base RI'!A87</f>
        <v>5530</v>
      </c>
      <c r="B86" s="239" t="str">
        <f>'A) Base RI'!B87</f>
        <v>Pailly</v>
      </c>
      <c r="C86" s="255">
        <v>0</v>
      </c>
      <c r="D86" s="228">
        <f>'B) D RI'!AR87</f>
        <v>543</v>
      </c>
      <c r="E86" s="229">
        <f>'B) D RI'!S87</f>
        <v>77.5</v>
      </c>
      <c r="F86" s="10">
        <f>'B) D RI'!R87</f>
        <v>1321888.2349999999</v>
      </c>
      <c r="G86" s="10">
        <f>'B) D RI'!U87</f>
        <v>17056.622387096773</v>
      </c>
      <c r="H86" s="43">
        <f>'B) D RI'!T87</f>
        <v>1244519.6599999999</v>
      </c>
      <c r="I86" s="10">
        <f t="shared" si="12"/>
        <v>32116.636387096773</v>
      </c>
      <c r="J86" s="33">
        <f t="shared" si="8"/>
        <v>46762.168626031933</v>
      </c>
      <c r="K86" s="10">
        <f t="shared" si="9"/>
        <v>32116.636387096773</v>
      </c>
      <c r="L86" s="10">
        <f t="shared" si="13"/>
        <v>14645.53223893516</v>
      </c>
      <c r="M86" s="10">
        <f>'D) Ecrêtage'!M85</f>
        <v>17056.622387096773</v>
      </c>
      <c r="N86" s="10">
        <f t="shared" si="10"/>
        <v>21176.754422008144</v>
      </c>
      <c r="O86" s="59">
        <f t="shared" si="11"/>
        <v>53293.390809104916</v>
      </c>
      <c r="P86" s="230"/>
      <c r="Q86" s="231"/>
      <c r="R86" s="227"/>
      <c r="S86" s="227"/>
      <c r="T86" s="232"/>
    </row>
    <row r="87" spans="1:20" s="226" customFormat="1" x14ac:dyDescent="0.25">
      <c r="A87" s="340">
        <f>'A) Base RI'!A88</f>
        <v>5531</v>
      </c>
      <c r="B87" s="239" t="str">
        <f>'A) Base RI'!B88</f>
        <v>Penthéréaz</v>
      </c>
      <c r="C87" s="255">
        <v>0</v>
      </c>
      <c r="D87" s="228">
        <f>'B) D RI'!AR88</f>
        <v>418</v>
      </c>
      <c r="E87" s="229">
        <f>'B) D RI'!S88</f>
        <v>78</v>
      </c>
      <c r="F87" s="10">
        <f>'B) D RI'!R88</f>
        <v>1024512.05</v>
      </c>
      <c r="G87" s="10">
        <f>'B) D RI'!U88</f>
        <v>13134.769871794872</v>
      </c>
      <c r="H87" s="43">
        <f>'B) D RI'!T88</f>
        <v>952399.20000000007</v>
      </c>
      <c r="I87" s="10">
        <f t="shared" si="12"/>
        <v>24420.492307692308</v>
      </c>
      <c r="J87" s="33">
        <f t="shared" si="8"/>
        <v>35997.396842875409</v>
      </c>
      <c r="K87" s="10">
        <f t="shared" si="9"/>
        <v>24420.492307692308</v>
      </c>
      <c r="L87" s="10">
        <f t="shared" si="13"/>
        <v>11576.904535183101</v>
      </c>
      <c r="M87" s="10">
        <f>'D) Ecrêtage'!M86</f>
        <v>13134.769871794872</v>
      </c>
      <c r="N87" s="10">
        <f t="shared" si="10"/>
        <v>16307.554312453529</v>
      </c>
      <c r="O87" s="59">
        <f t="shared" si="11"/>
        <v>40728.046620145833</v>
      </c>
      <c r="P87" s="230"/>
      <c r="Q87" s="231"/>
      <c r="R87" s="227"/>
      <c r="S87" s="227"/>
      <c r="T87" s="232"/>
    </row>
    <row r="88" spans="1:20" s="226" customFormat="1" x14ac:dyDescent="0.25">
      <c r="A88" s="340">
        <f>'A) Base RI'!A89</f>
        <v>5533</v>
      </c>
      <c r="B88" s="239" t="str">
        <f>'A) Base RI'!B89</f>
        <v>Poliez-Pittet</v>
      </c>
      <c r="C88" s="255">
        <v>0</v>
      </c>
      <c r="D88" s="228">
        <f>'B) D RI'!AR89</f>
        <v>849</v>
      </c>
      <c r="E88" s="229">
        <f>'B) D RI'!S89</f>
        <v>71</v>
      </c>
      <c r="F88" s="10">
        <f>'B) D RI'!R89</f>
        <v>1991045.73</v>
      </c>
      <c r="G88" s="10">
        <f>'B) D RI'!U89</f>
        <v>28042.897605633803</v>
      </c>
      <c r="H88" s="43">
        <f>'B) D RI'!T89</f>
        <v>1847775.98</v>
      </c>
      <c r="I88" s="10">
        <f t="shared" si="12"/>
        <v>52050.027605633804</v>
      </c>
      <c r="J88" s="33">
        <f t="shared" si="8"/>
        <v>73114.329951199106</v>
      </c>
      <c r="K88" s="10">
        <f t="shared" si="9"/>
        <v>52050.027605633804</v>
      </c>
      <c r="L88" s="10">
        <f t="shared" si="13"/>
        <v>21064.302345565302</v>
      </c>
      <c r="M88" s="10">
        <f>'D) Ecrêtage'!M87</f>
        <v>28042.897605633803</v>
      </c>
      <c r="N88" s="10">
        <f t="shared" si="10"/>
        <v>34816.831984583107</v>
      </c>
      <c r="O88" s="59">
        <f t="shared" si="11"/>
        <v>86866.859590216918</v>
      </c>
      <c r="P88" s="230"/>
      <c r="Q88" s="231"/>
      <c r="R88" s="227"/>
      <c r="S88" s="227"/>
      <c r="T88" s="232"/>
    </row>
    <row r="89" spans="1:20" s="226" customFormat="1" x14ac:dyDescent="0.25">
      <c r="A89" s="340">
        <f>'A) Base RI'!A90</f>
        <v>5534</v>
      </c>
      <c r="B89" s="239" t="str">
        <f>'A) Base RI'!B90</f>
        <v>Rueyres</v>
      </c>
      <c r="C89" s="255">
        <v>0</v>
      </c>
      <c r="D89" s="228">
        <f>'B) D RI'!AR90</f>
        <v>257</v>
      </c>
      <c r="E89" s="229">
        <f>'B) D RI'!S90</f>
        <v>73</v>
      </c>
      <c r="F89" s="10">
        <f>'B) D RI'!R90</f>
        <v>709710.8</v>
      </c>
      <c r="G89" s="10">
        <f>'B) D RI'!U90</f>
        <v>9722.0657534246584</v>
      </c>
      <c r="H89" s="43">
        <f>'B) D RI'!T90</f>
        <v>637200.05000000005</v>
      </c>
      <c r="I89" s="10">
        <f t="shared" si="12"/>
        <v>17457.535616438356</v>
      </c>
      <c r="J89" s="33">
        <f t="shared" si="8"/>
        <v>22132.370786169809</v>
      </c>
      <c r="K89" s="10">
        <f t="shared" si="9"/>
        <v>17457.535616438356</v>
      </c>
      <c r="L89" s="10">
        <f t="shared" si="13"/>
        <v>4674.8351697314538</v>
      </c>
      <c r="M89" s="10">
        <f>'D) Ecrêtage'!M88</f>
        <v>9722.0657534246584</v>
      </c>
      <c r="N89" s="10">
        <f t="shared" si="10"/>
        <v>12070.490526344644</v>
      </c>
      <c r="O89" s="59">
        <f t="shared" si="11"/>
        <v>29528.026142782997</v>
      </c>
      <c r="P89" s="230"/>
      <c r="Q89" s="231"/>
      <c r="R89" s="227"/>
      <c r="S89" s="227"/>
      <c r="T89" s="232"/>
    </row>
    <row r="90" spans="1:20" s="226" customFormat="1" x14ac:dyDescent="0.25">
      <c r="A90" s="340">
        <f>'A) Base RI'!A91</f>
        <v>5535</v>
      </c>
      <c r="B90" s="239" t="str">
        <f>'A) Base RI'!B91</f>
        <v>Saint-Barthélemy</v>
      </c>
      <c r="C90" s="255">
        <v>0</v>
      </c>
      <c r="D90" s="228">
        <f>'B) D RI'!AR91</f>
        <v>769</v>
      </c>
      <c r="E90" s="229">
        <f>'B) D RI'!S91</f>
        <v>77</v>
      </c>
      <c r="F90" s="10">
        <f>'B) D RI'!R91</f>
        <v>1795188.7300000002</v>
      </c>
      <c r="G90" s="10">
        <f>'B) D RI'!U91</f>
        <v>23314.139350649355</v>
      </c>
      <c r="H90" s="43">
        <f>'B) D RI'!T91</f>
        <v>1655824.1300000001</v>
      </c>
      <c r="I90" s="10">
        <f t="shared" si="12"/>
        <v>43008.418961038966</v>
      </c>
      <c r="J90" s="33">
        <f t="shared" si="8"/>
        <v>66224.876009978922</v>
      </c>
      <c r="K90" s="10">
        <f t="shared" si="9"/>
        <v>43008.418961038966</v>
      </c>
      <c r="L90" s="10">
        <f t="shared" si="13"/>
        <v>23216.457048939956</v>
      </c>
      <c r="M90" s="10">
        <f>'D) Ecrêtage'!M89</f>
        <v>23314.139350649355</v>
      </c>
      <c r="N90" s="10">
        <f t="shared" si="10"/>
        <v>28945.813091498829</v>
      </c>
      <c r="O90" s="59">
        <f t="shared" si="11"/>
        <v>71954.232052537787</v>
      </c>
      <c r="P90" s="230"/>
      <c r="Q90" s="231"/>
      <c r="R90" s="227"/>
      <c r="S90" s="227"/>
      <c r="T90" s="232"/>
    </row>
    <row r="91" spans="1:20" s="226" customFormat="1" x14ac:dyDescent="0.25">
      <c r="A91" s="340">
        <f>'A) Base RI'!A92</f>
        <v>5537</v>
      </c>
      <c r="B91" s="239" t="str">
        <f>'A) Base RI'!B92</f>
        <v>Villars-le-Terroir</v>
      </c>
      <c r="C91" s="255">
        <v>0</v>
      </c>
      <c r="D91" s="228">
        <f>'B) D RI'!AR92</f>
        <v>1150</v>
      </c>
      <c r="E91" s="229">
        <f>'B) D RI'!S92</f>
        <v>73</v>
      </c>
      <c r="F91" s="10">
        <f>'B) D RI'!R92</f>
        <v>2465853.25</v>
      </c>
      <c r="G91" s="10">
        <f>'B) D RI'!U92</f>
        <v>33778.811643835616</v>
      </c>
      <c r="H91" s="43">
        <f>'B) D RI'!T92</f>
        <v>2260909.9500000002</v>
      </c>
      <c r="I91" s="10">
        <f t="shared" si="12"/>
        <v>61942.738356164387</v>
      </c>
      <c r="J91" s="33">
        <f t="shared" si="8"/>
        <v>99035.900405040011</v>
      </c>
      <c r="K91" s="10">
        <f t="shared" si="9"/>
        <v>61942.738356164387</v>
      </c>
      <c r="L91" s="10">
        <f t="shared" si="13"/>
        <v>37093.162048875623</v>
      </c>
      <c r="M91" s="10">
        <f>'D) Ecrêtage'!M90</f>
        <v>33778.811643835616</v>
      </c>
      <c r="N91" s="10">
        <f t="shared" si="10"/>
        <v>41938.291334274676</v>
      </c>
      <c r="O91" s="59">
        <f t="shared" si="11"/>
        <v>103881.02969043906</v>
      </c>
      <c r="P91" s="230"/>
      <c r="Q91" s="231"/>
      <c r="R91" s="227"/>
      <c r="S91" s="227"/>
      <c r="T91" s="232"/>
    </row>
    <row r="92" spans="1:20" s="226" customFormat="1" x14ac:dyDescent="0.25">
      <c r="A92" s="340">
        <f>'A) Base RI'!A93</f>
        <v>5539</v>
      </c>
      <c r="B92" s="239" t="str">
        <f>'A) Base RI'!B93</f>
        <v>Vuarrens</v>
      </c>
      <c r="C92" s="255">
        <v>0</v>
      </c>
      <c r="D92" s="228">
        <f>'B) D RI'!AR93</f>
        <v>1003</v>
      </c>
      <c r="E92" s="229">
        <f>'B) D RI'!S93</f>
        <v>75</v>
      </c>
      <c r="F92" s="10">
        <f>'B) D RI'!R93</f>
        <v>2022149.5275000001</v>
      </c>
      <c r="G92" s="10">
        <f>'B) D RI'!U93</f>
        <v>26961.993700000003</v>
      </c>
      <c r="H92" s="43">
        <f>'B) D RI'!T93</f>
        <v>1848494.3900000001</v>
      </c>
      <c r="I92" s="10">
        <f t="shared" si="12"/>
        <v>49293.183733333339</v>
      </c>
      <c r="J92" s="33">
        <f t="shared" si="8"/>
        <v>86376.52878804793</v>
      </c>
      <c r="K92" s="10">
        <f t="shared" si="9"/>
        <v>49293.183733333339</v>
      </c>
      <c r="L92" s="10">
        <f t="shared" si="13"/>
        <v>37083.345054714591</v>
      </c>
      <c r="M92" s="10">
        <f>'D) Ecrêtage'!M91</f>
        <v>26961.993700000003</v>
      </c>
      <c r="N92" s="10">
        <f t="shared" si="10"/>
        <v>33474.829093042717</v>
      </c>
      <c r="O92" s="59">
        <f t="shared" si="11"/>
        <v>82768.012826376056</v>
      </c>
      <c r="P92" s="230"/>
      <c r="Q92" s="231"/>
      <c r="R92" s="227"/>
      <c r="S92" s="227"/>
      <c r="T92" s="232"/>
    </row>
    <row r="93" spans="1:20" s="226" customFormat="1" x14ac:dyDescent="0.25">
      <c r="A93" s="340">
        <f>'A) Base RI'!A94</f>
        <v>5540</v>
      </c>
      <c r="B93" s="239" t="str">
        <f>'A) Base RI'!B94</f>
        <v>Montilliez</v>
      </c>
      <c r="C93" s="255">
        <v>0</v>
      </c>
      <c r="D93" s="228">
        <f>'B) D RI'!AR94</f>
        <v>1731</v>
      </c>
      <c r="E93" s="229">
        <f>'B) D RI'!S94</f>
        <v>74</v>
      </c>
      <c r="F93" s="10">
        <f>'B) D RI'!R94</f>
        <v>4257520.8449999997</v>
      </c>
      <c r="G93" s="10">
        <f>'B) D RI'!U94</f>
        <v>57534.065472972972</v>
      </c>
      <c r="H93" s="43">
        <f>'B) D RI'!T94</f>
        <v>3942935.1199999996</v>
      </c>
      <c r="I93" s="10">
        <f t="shared" si="12"/>
        <v>106565.81405405405</v>
      </c>
      <c r="J93" s="33">
        <f t="shared" si="8"/>
        <v>149070.55965315152</v>
      </c>
      <c r="K93" s="10">
        <f t="shared" si="9"/>
        <v>106565.81405405405</v>
      </c>
      <c r="L93" s="10">
        <f t="shared" si="13"/>
        <v>42504.74559909747</v>
      </c>
      <c r="M93" s="10">
        <f>'D) Ecrêtage'!M92</f>
        <v>57534.065472972972</v>
      </c>
      <c r="N93" s="10">
        <f t="shared" si="10"/>
        <v>71431.772819370541</v>
      </c>
      <c r="O93" s="59">
        <f t="shared" si="11"/>
        <v>177997.58687342459</v>
      </c>
      <c r="P93" s="230"/>
      <c r="Q93" s="231"/>
      <c r="R93" s="227"/>
      <c r="S93" s="227"/>
      <c r="T93" s="232"/>
    </row>
    <row r="94" spans="1:20" s="226" customFormat="1" x14ac:dyDescent="0.25">
      <c r="A94" s="340">
        <f>'A) Base RI'!A95</f>
        <v>5541</v>
      </c>
      <c r="B94" s="239" t="str">
        <f>'A) Base RI'!B95</f>
        <v>Goumoëns</v>
      </c>
      <c r="C94" s="255">
        <v>0</v>
      </c>
      <c r="D94" s="228">
        <f>'B) D RI'!AR95</f>
        <v>1110</v>
      </c>
      <c r="E94" s="229">
        <f>'B) D RI'!S95</f>
        <v>77</v>
      </c>
      <c r="F94" s="10">
        <f>'B) D RI'!R95</f>
        <v>3000473.1</v>
      </c>
      <c r="G94" s="10">
        <f>'B) D RI'!U95</f>
        <v>38967.18311688312</v>
      </c>
      <c r="H94" s="43">
        <f>'B) D RI'!T95</f>
        <v>2806511.6</v>
      </c>
      <c r="I94" s="10">
        <f t="shared" si="12"/>
        <v>72896.405194805193</v>
      </c>
      <c r="J94" s="33">
        <f t="shared" si="8"/>
        <v>95591.173434429918</v>
      </c>
      <c r="K94" s="10">
        <f t="shared" si="9"/>
        <v>72896.405194805193</v>
      </c>
      <c r="L94" s="10">
        <f t="shared" si="13"/>
        <v>22694.768239624726</v>
      </c>
      <c r="M94" s="10">
        <f>'D) Ecrêtage'!M93</f>
        <v>38967.18311688312</v>
      </c>
      <c r="N94" s="10">
        <f t="shared" si="10"/>
        <v>48379.945844841655</v>
      </c>
      <c r="O94" s="59">
        <f t="shared" si="11"/>
        <v>121276.35103964685</v>
      </c>
      <c r="P94" s="230"/>
      <c r="Q94" s="231"/>
      <c r="R94" s="227"/>
      <c r="S94" s="227"/>
      <c r="T94" s="232"/>
    </row>
    <row r="95" spans="1:20" s="226" customFormat="1" x14ac:dyDescent="0.25">
      <c r="A95" s="340">
        <f>'A) Base RI'!A96</f>
        <v>5551</v>
      </c>
      <c r="B95" s="239" t="str">
        <f>'A) Base RI'!B96</f>
        <v>Bonvillars</v>
      </c>
      <c r="C95" s="255">
        <v>0</v>
      </c>
      <c r="D95" s="228">
        <f>'B) D RI'!AR96</f>
        <v>495</v>
      </c>
      <c r="E95" s="229">
        <f>'B) D RI'!S96</f>
        <v>55</v>
      </c>
      <c r="F95" s="10">
        <f>'B) D RI'!R96</f>
        <v>1040582.7500000001</v>
      </c>
      <c r="G95" s="10">
        <f>'B) D RI'!U96</f>
        <v>18919.686363636367</v>
      </c>
      <c r="H95" s="43">
        <f>'B) D RI'!T96</f>
        <v>932127.35000000009</v>
      </c>
      <c r="I95" s="10">
        <f t="shared" si="12"/>
        <v>33895.54</v>
      </c>
      <c r="J95" s="33">
        <f t="shared" si="8"/>
        <v>42628.496261299828</v>
      </c>
      <c r="K95" s="10">
        <f t="shared" si="9"/>
        <v>33895.54</v>
      </c>
      <c r="L95" s="10">
        <f t="shared" si="13"/>
        <v>8732.956261299827</v>
      </c>
      <c r="M95" s="10">
        <f>'D) Ecrêtage'!M94</f>
        <v>18919.686363636367</v>
      </c>
      <c r="N95" s="10">
        <f t="shared" si="10"/>
        <v>23489.852959823893</v>
      </c>
      <c r="O95" s="59">
        <f t="shared" si="11"/>
        <v>57385.39295982389</v>
      </c>
      <c r="P95" s="230"/>
      <c r="Q95" s="231"/>
      <c r="R95" s="227"/>
      <c r="S95" s="227"/>
      <c r="T95" s="232"/>
    </row>
    <row r="96" spans="1:20" s="226" customFormat="1" x14ac:dyDescent="0.25">
      <c r="A96" s="340">
        <f>'A) Base RI'!A97</f>
        <v>5552</v>
      </c>
      <c r="B96" s="239" t="str">
        <f>'A) Base RI'!B97</f>
        <v>Bullet</v>
      </c>
      <c r="C96" s="255">
        <v>0</v>
      </c>
      <c r="D96" s="228">
        <f>'B) D RI'!AR97</f>
        <v>644</v>
      </c>
      <c r="E96" s="229">
        <f>'B) D RI'!S97</f>
        <v>70</v>
      </c>
      <c r="F96" s="10">
        <f>'B) D RI'!R97</f>
        <v>1257286.27</v>
      </c>
      <c r="G96" s="10">
        <f>'B) D RI'!U97</f>
        <v>17961.232428571428</v>
      </c>
      <c r="H96" s="43">
        <f>'B) D RI'!T97</f>
        <v>1143336.77</v>
      </c>
      <c r="I96" s="10">
        <f t="shared" si="12"/>
        <v>32666.764857142858</v>
      </c>
      <c r="J96" s="33">
        <f t="shared" si="8"/>
        <v>55460.104226822405</v>
      </c>
      <c r="K96" s="10">
        <f t="shared" si="9"/>
        <v>32666.764857142858</v>
      </c>
      <c r="L96" s="10">
        <f t="shared" si="13"/>
        <v>22793.339369679547</v>
      </c>
      <c r="M96" s="10">
        <f>'D) Ecrêtage'!M95</f>
        <v>17961.232428571428</v>
      </c>
      <c r="N96" s="10">
        <f t="shared" si="10"/>
        <v>22299.878582303987</v>
      </c>
      <c r="O96" s="59">
        <f t="shared" si="11"/>
        <v>54966.643439446845</v>
      </c>
      <c r="P96" s="230"/>
      <c r="Q96" s="231"/>
      <c r="R96" s="227"/>
      <c r="S96" s="227"/>
      <c r="T96" s="232"/>
    </row>
    <row r="97" spans="1:20" s="226" customFormat="1" x14ac:dyDescent="0.25">
      <c r="A97" s="340">
        <f>'A) Base RI'!A98</f>
        <v>5553</v>
      </c>
      <c r="B97" s="239" t="str">
        <f>'A) Base RI'!B98</f>
        <v>Champagne</v>
      </c>
      <c r="C97" s="255">
        <v>0</v>
      </c>
      <c r="D97" s="228">
        <f>'B) D RI'!AR98</f>
        <v>1027</v>
      </c>
      <c r="E97" s="229">
        <f>'B) D RI'!S98</f>
        <v>65</v>
      </c>
      <c r="F97" s="10">
        <f>'B) D RI'!R98</f>
        <v>2242728.14</v>
      </c>
      <c r="G97" s="10">
        <f>'B) D RI'!U98</f>
        <v>34503.509846153851</v>
      </c>
      <c r="H97" s="43">
        <f>'B) D RI'!T98</f>
        <v>2018991.0400000003</v>
      </c>
      <c r="I97" s="10">
        <f t="shared" si="12"/>
        <v>62122.801230769241</v>
      </c>
      <c r="J97" s="33">
        <f t="shared" si="8"/>
        <v>88443.364970413983</v>
      </c>
      <c r="K97" s="10">
        <f t="shared" si="9"/>
        <v>62122.801230769241</v>
      </c>
      <c r="L97" s="10">
        <f t="shared" si="13"/>
        <v>26320.563739644742</v>
      </c>
      <c r="M97" s="10">
        <f>'D) Ecrêtage'!M96</f>
        <v>34503.509846153851</v>
      </c>
      <c r="N97" s="10">
        <f t="shared" si="10"/>
        <v>42838.044844217759</v>
      </c>
      <c r="O97" s="59">
        <f t="shared" si="11"/>
        <v>104960.846074987</v>
      </c>
      <c r="P97" s="230"/>
      <c r="Q97" s="231"/>
      <c r="R97" s="227"/>
      <c r="S97" s="227"/>
      <c r="T97" s="232"/>
    </row>
    <row r="98" spans="1:20" s="226" customFormat="1" x14ac:dyDescent="0.25">
      <c r="A98" s="340">
        <f>'A) Base RI'!A99</f>
        <v>5554</v>
      </c>
      <c r="B98" s="239" t="str">
        <f>'A) Base RI'!B99</f>
        <v>Concise</v>
      </c>
      <c r="C98" s="255">
        <v>0</v>
      </c>
      <c r="D98" s="228">
        <f>'B) D RI'!AR99</f>
        <v>969</v>
      </c>
      <c r="E98" s="229">
        <f>'B) D RI'!S99</f>
        <v>75</v>
      </c>
      <c r="F98" s="10">
        <f>'B) D RI'!R99</f>
        <v>2378061.2100000004</v>
      </c>
      <c r="G98" s="10">
        <f>'B) D RI'!U99</f>
        <v>31707.482800000005</v>
      </c>
      <c r="H98" s="43">
        <f>'B) D RI'!T99</f>
        <v>2204130.8600000003</v>
      </c>
      <c r="I98" s="10">
        <f t="shared" si="12"/>
        <v>58776.822933333344</v>
      </c>
      <c r="J98" s="33">
        <f t="shared" si="8"/>
        <v>83448.510863029354</v>
      </c>
      <c r="K98" s="10">
        <f t="shared" si="9"/>
        <v>58776.822933333344</v>
      </c>
      <c r="L98" s="10">
        <f t="shared" si="13"/>
        <v>24671.687929696011</v>
      </c>
      <c r="M98" s="10">
        <f>'D) Ecrêtage'!M97</f>
        <v>31707.482800000005</v>
      </c>
      <c r="N98" s="10">
        <f t="shared" si="10"/>
        <v>39366.620269649851</v>
      </c>
      <c r="O98" s="59">
        <f t="shared" si="11"/>
        <v>98143.443202983195</v>
      </c>
      <c r="P98" s="230"/>
      <c r="Q98" s="231"/>
      <c r="R98" s="227"/>
      <c r="S98" s="227"/>
      <c r="T98" s="232"/>
    </row>
    <row r="99" spans="1:20" s="226" customFormat="1" x14ac:dyDescent="0.25">
      <c r="A99" s="340">
        <f>'A) Base RI'!A100</f>
        <v>5555</v>
      </c>
      <c r="B99" s="239" t="str">
        <f>'A) Base RI'!B100</f>
        <v>Corcelles-près-Concise</v>
      </c>
      <c r="C99" s="255">
        <v>0</v>
      </c>
      <c r="D99" s="228">
        <f>'B) D RI'!AR100</f>
        <v>377</v>
      </c>
      <c r="E99" s="229">
        <f>'B) D RI'!S100</f>
        <v>71</v>
      </c>
      <c r="F99" s="10">
        <f>'B) D RI'!R100</f>
        <v>968971.90999999992</v>
      </c>
      <c r="G99" s="10">
        <f>'B) D RI'!U100</f>
        <v>13647.491690140843</v>
      </c>
      <c r="H99" s="43">
        <f>'B) D RI'!T100</f>
        <v>885461.55999999994</v>
      </c>
      <c r="I99" s="10">
        <f t="shared" si="12"/>
        <v>24942.579154929575</v>
      </c>
      <c r="J99" s="33">
        <f t="shared" si="8"/>
        <v>32466.551698000072</v>
      </c>
      <c r="K99" s="10">
        <f t="shared" si="9"/>
        <v>24942.579154929575</v>
      </c>
      <c r="L99" s="10">
        <f t="shared" si="13"/>
        <v>7523.9725430704966</v>
      </c>
      <c r="M99" s="10">
        <f>'D) Ecrêtage'!M98</f>
        <v>13647.491690140843</v>
      </c>
      <c r="N99" s="10">
        <f t="shared" si="10"/>
        <v>16944.127239232512</v>
      </c>
      <c r="O99" s="59">
        <f t="shared" si="11"/>
        <v>41886.706394162087</v>
      </c>
      <c r="P99" s="230"/>
      <c r="Q99" s="231"/>
      <c r="R99" s="227"/>
      <c r="S99" s="227"/>
      <c r="T99" s="232"/>
    </row>
    <row r="100" spans="1:20" s="226" customFormat="1" x14ac:dyDescent="0.25">
      <c r="A100" s="340">
        <f>'A) Base RI'!A101</f>
        <v>5556</v>
      </c>
      <c r="B100" s="239" t="str">
        <f>'A) Base RI'!B101</f>
        <v>Fiez</v>
      </c>
      <c r="C100" s="255">
        <v>0</v>
      </c>
      <c r="D100" s="228">
        <f>'B) D RI'!AR101</f>
        <v>425</v>
      </c>
      <c r="E100" s="229">
        <f>'B) D RI'!S101</f>
        <v>69</v>
      </c>
      <c r="F100" s="10">
        <f>'B) D RI'!R101</f>
        <v>890956.96666666667</v>
      </c>
      <c r="G100" s="10">
        <f>'B) D RI'!U101</f>
        <v>12912.419806763286</v>
      </c>
      <c r="H100" s="43">
        <f>'B) D RI'!T101</f>
        <v>823114.65</v>
      </c>
      <c r="I100" s="10">
        <f t="shared" si="12"/>
        <v>23858.395652173913</v>
      </c>
      <c r="J100" s="33">
        <f t="shared" si="8"/>
        <v>36600.224062732173</v>
      </c>
      <c r="K100" s="10">
        <f t="shared" si="9"/>
        <v>23858.395652173913</v>
      </c>
      <c r="L100" s="10">
        <f t="shared" si="13"/>
        <v>12741.828410558261</v>
      </c>
      <c r="M100" s="10">
        <f>'D) Ecrêtage'!M99</f>
        <v>12912.419806763286</v>
      </c>
      <c r="N100" s="10">
        <f t="shared" si="10"/>
        <v>16031.494221772651</v>
      </c>
      <c r="O100" s="59">
        <f t="shared" si="11"/>
        <v>39889.889873946566</v>
      </c>
      <c r="P100" s="230"/>
      <c r="Q100" s="231"/>
      <c r="R100" s="227"/>
      <c r="S100" s="227"/>
      <c r="T100" s="232"/>
    </row>
    <row r="101" spans="1:20" s="226" customFormat="1" x14ac:dyDescent="0.25">
      <c r="A101" s="340">
        <f>'A) Base RI'!A102</f>
        <v>5557</v>
      </c>
      <c r="B101" s="239" t="str">
        <f>'A) Base RI'!B102</f>
        <v>Fontaines-sur-Grandson</v>
      </c>
      <c r="C101" s="255">
        <v>0</v>
      </c>
      <c r="D101" s="228">
        <f>'B) D RI'!AR102</f>
        <v>210</v>
      </c>
      <c r="E101" s="229">
        <f>'B) D RI'!S102</f>
        <v>69</v>
      </c>
      <c r="F101" s="10">
        <f>'B) D RI'!R102</f>
        <v>308580.16000000009</v>
      </c>
      <c r="G101" s="10">
        <f>'B) D RI'!U102</f>
        <v>4472.1762318840592</v>
      </c>
      <c r="H101" s="43">
        <f>'B) D RI'!T102</f>
        <v>277283.56000000006</v>
      </c>
      <c r="I101" s="10">
        <f t="shared" si="12"/>
        <v>8037.2046376811613</v>
      </c>
      <c r="J101" s="33">
        <f t="shared" si="8"/>
        <v>18084.816595702956</v>
      </c>
      <c r="K101" s="10">
        <f t="shared" si="9"/>
        <v>8037.2046376811613</v>
      </c>
      <c r="L101" s="10">
        <f t="shared" si="13"/>
        <v>10047.611958021795</v>
      </c>
      <c r="M101" s="10">
        <f>'D) Ecrêtage'!M100</f>
        <v>4472.1762318840592</v>
      </c>
      <c r="N101" s="10">
        <f t="shared" si="10"/>
        <v>5552.457904338381</v>
      </c>
      <c r="O101" s="59">
        <f t="shared" si="11"/>
        <v>13589.662542019541</v>
      </c>
      <c r="P101" s="230"/>
      <c r="Q101" s="231"/>
      <c r="R101" s="227"/>
      <c r="S101" s="227"/>
      <c r="T101" s="232"/>
    </row>
    <row r="102" spans="1:20" s="226" customFormat="1" x14ac:dyDescent="0.25">
      <c r="A102" s="340">
        <f>'A) Base RI'!A103</f>
        <v>5559</v>
      </c>
      <c r="B102" s="239" t="str">
        <f>'A) Base RI'!B103</f>
        <v>Giez</v>
      </c>
      <c r="C102" s="255">
        <v>0</v>
      </c>
      <c r="D102" s="228">
        <f>'B) D RI'!AR103</f>
        <v>421</v>
      </c>
      <c r="E102" s="229">
        <f>'B) D RI'!S103</f>
        <v>66</v>
      </c>
      <c r="F102" s="10">
        <f>'B) D RI'!R103</f>
        <v>949793.13000000012</v>
      </c>
      <c r="G102" s="10">
        <f>'B) D RI'!U103</f>
        <v>14390.805000000002</v>
      </c>
      <c r="H102" s="43">
        <f>'B) D RI'!T103</f>
        <v>861442.03</v>
      </c>
      <c r="I102" s="10">
        <f t="shared" si="12"/>
        <v>26104.30393939394</v>
      </c>
      <c r="J102" s="33">
        <f t="shared" ref="J102:J133" si="14">+$I$315/$D$315*D102</f>
        <v>36255.751365671167</v>
      </c>
      <c r="K102" s="10">
        <f t="shared" si="9"/>
        <v>26104.30393939394</v>
      </c>
      <c r="L102" s="10">
        <f t="shared" si="13"/>
        <v>10151.447426277227</v>
      </c>
      <c r="M102" s="10">
        <f>'D) Ecrêtage'!M101</f>
        <v>14390.805000000002</v>
      </c>
      <c r="N102" s="10">
        <f t="shared" si="10"/>
        <v>17866.992450424932</v>
      </c>
      <c r="O102" s="59">
        <f t="shared" si="11"/>
        <v>43971.296389818875</v>
      </c>
      <c r="P102" s="230"/>
      <c r="Q102" s="231"/>
      <c r="R102" s="227"/>
      <c r="S102" s="227"/>
      <c r="T102" s="232"/>
    </row>
    <row r="103" spans="1:20" s="226" customFormat="1" x14ac:dyDescent="0.25">
      <c r="A103" s="340">
        <f>'A) Base RI'!A104</f>
        <v>5560</v>
      </c>
      <c r="B103" s="239" t="str">
        <f>'A) Base RI'!B104</f>
        <v>Grandevent</v>
      </c>
      <c r="C103" s="255">
        <v>0</v>
      </c>
      <c r="D103" s="228">
        <f>'B) D RI'!AR104</f>
        <v>229</v>
      </c>
      <c r="E103" s="229">
        <f>'B) D RI'!S104</f>
        <v>68</v>
      </c>
      <c r="F103" s="10">
        <f>'B) D RI'!R104</f>
        <v>426238.31</v>
      </c>
      <c r="G103" s="10">
        <f>'B) D RI'!U104</f>
        <v>6268.2104411764703</v>
      </c>
      <c r="H103" s="43">
        <f>'B) D RI'!T104</f>
        <v>385845.06</v>
      </c>
      <c r="I103" s="10">
        <f t="shared" si="12"/>
        <v>11348.38411764706</v>
      </c>
      <c r="J103" s="33">
        <f t="shared" si="14"/>
        <v>19721.061906742751</v>
      </c>
      <c r="K103" s="10">
        <f t="shared" si="9"/>
        <v>11348.38411764706</v>
      </c>
      <c r="L103" s="10">
        <f t="shared" si="13"/>
        <v>8372.677789095691</v>
      </c>
      <c r="M103" s="10">
        <f>'D) Ecrêtage'!M102</f>
        <v>6268.2104411764703</v>
      </c>
      <c r="N103" s="10">
        <f t="shared" si="10"/>
        <v>7782.3352223989359</v>
      </c>
      <c r="O103" s="59">
        <f t="shared" si="11"/>
        <v>19130.719340045995</v>
      </c>
      <c r="P103" s="230"/>
      <c r="Q103" s="231"/>
      <c r="R103" s="227"/>
      <c r="S103" s="227"/>
      <c r="T103" s="232"/>
    </row>
    <row r="104" spans="1:20" s="226" customFormat="1" x14ac:dyDescent="0.25">
      <c r="A104" s="340">
        <f>'A) Base RI'!A105</f>
        <v>5561</v>
      </c>
      <c r="B104" s="239" t="str">
        <f>'A) Base RI'!B105</f>
        <v>Grandson</v>
      </c>
      <c r="C104" s="255">
        <v>0</v>
      </c>
      <c r="D104" s="228">
        <f>'B) D RI'!AR105</f>
        <v>3284</v>
      </c>
      <c r="E104" s="229">
        <f>'B) D RI'!S105</f>
        <v>69</v>
      </c>
      <c r="F104" s="10">
        <f>'B) D RI'!R105</f>
        <v>8069627.6900000004</v>
      </c>
      <c r="G104" s="10">
        <f>'B) D RI'!U105</f>
        <v>116951.12594202899</v>
      </c>
      <c r="H104" s="43">
        <f>'B) D RI'!T105</f>
        <v>7485180.7400000012</v>
      </c>
      <c r="I104" s="10">
        <f t="shared" si="12"/>
        <v>216961.76057971019</v>
      </c>
      <c r="J104" s="33">
        <f t="shared" si="14"/>
        <v>282812.08428708813</v>
      </c>
      <c r="K104" s="10">
        <f t="shared" si="9"/>
        <v>216961.76057971019</v>
      </c>
      <c r="L104" s="10">
        <f t="shared" si="13"/>
        <v>65850.323707377946</v>
      </c>
      <c r="M104" s="10">
        <f>'D) Ecrêtage'!M103</f>
        <v>116951.12594202899</v>
      </c>
      <c r="N104" s="10">
        <f t="shared" si="10"/>
        <v>145201.38965644571</v>
      </c>
      <c r="O104" s="59">
        <f t="shared" si="11"/>
        <v>362163.1502361559</v>
      </c>
      <c r="P104" s="230"/>
      <c r="Q104" s="231"/>
      <c r="R104" s="227"/>
      <c r="S104" s="227"/>
      <c r="T104" s="232"/>
    </row>
    <row r="105" spans="1:20" s="226" customFormat="1" x14ac:dyDescent="0.25">
      <c r="A105" s="340">
        <f>'A) Base RI'!A106</f>
        <v>5562</v>
      </c>
      <c r="B105" s="239" t="str">
        <f>'A) Base RI'!B106</f>
        <v>Mauborget</v>
      </c>
      <c r="C105" s="255">
        <v>0</v>
      </c>
      <c r="D105" s="228">
        <f>'B) D RI'!AR106</f>
        <v>119</v>
      </c>
      <c r="E105" s="229">
        <f>'B) D RI'!S106</f>
        <v>70</v>
      </c>
      <c r="F105" s="10">
        <f>'B) D RI'!R106</f>
        <v>414035.34500000003</v>
      </c>
      <c r="G105" s="10">
        <f>'B) D RI'!U106</f>
        <v>5914.7906428571432</v>
      </c>
      <c r="H105" s="43">
        <f>'B) D RI'!T106</f>
        <v>384800.72000000003</v>
      </c>
      <c r="I105" s="10">
        <f t="shared" si="12"/>
        <v>10994.306285714287</v>
      </c>
      <c r="J105" s="33">
        <f t="shared" si="14"/>
        <v>10248.062737565009</v>
      </c>
      <c r="K105" s="10">
        <f t="shared" si="9"/>
        <v>10248.062737565009</v>
      </c>
      <c r="L105" s="10">
        <f t="shared" si="13"/>
        <v>0</v>
      </c>
      <c r="M105" s="10">
        <f>'D) Ecrêtage'!M104</f>
        <v>5914.7906428571432</v>
      </c>
      <c r="N105" s="10">
        <f t="shared" si="10"/>
        <v>7343.5446982828689</v>
      </c>
      <c r="O105" s="59">
        <f t="shared" si="11"/>
        <v>17591.60743584788</v>
      </c>
      <c r="P105" s="230"/>
      <c r="Q105" s="231"/>
      <c r="R105" s="227"/>
      <c r="S105" s="227"/>
      <c r="T105" s="232"/>
    </row>
    <row r="106" spans="1:20" s="226" customFormat="1" x14ac:dyDescent="0.25">
      <c r="A106" s="340">
        <f>'A) Base RI'!A107</f>
        <v>5563</v>
      </c>
      <c r="B106" s="239" t="str">
        <f>'A) Base RI'!B107</f>
        <v>Mutrux</v>
      </c>
      <c r="C106" s="255">
        <v>0</v>
      </c>
      <c r="D106" s="228">
        <f>'B) D RI'!AR107</f>
        <v>163</v>
      </c>
      <c r="E106" s="229">
        <f>'B) D RI'!S107</f>
        <v>78.5</v>
      </c>
      <c r="F106" s="10">
        <f>'B) D RI'!R107</f>
        <v>244373.3</v>
      </c>
      <c r="G106" s="10">
        <f>'B) D RI'!U107</f>
        <v>3113.0356687898088</v>
      </c>
      <c r="H106" s="43">
        <f>'B) D RI'!T107</f>
        <v>223173.34999999998</v>
      </c>
      <c r="I106" s="10">
        <f t="shared" si="12"/>
        <v>5685.9452229299359</v>
      </c>
      <c r="J106" s="33">
        <f t="shared" si="14"/>
        <v>14037.262405236104</v>
      </c>
      <c r="K106" s="10">
        <f t="shared" si="9"/>
        <v>5685.9452229299359</v>
      </c>
      <c r="L106" s="10">
        <f t="shared" si="13"/>
        <v>8351.3171823061675</v>
      </c>
      <c r="M106" s="10">
        <f>'D) Ecrêtage'!M105</f>
        <v>3113.0356687898088</v>
      </c>
      <c r="N106" s="10">
        <f t="shared" si="10"/>
        <v>3865.0085795875239</v>
      </c>
      <c r="O106" s="59">
        <f t="shared" si="11"/>
        <v>9550.9538025174588</v>
      </c>
      <c r="P106" s="230"/>
      <c r="Q106" s="231"/>
      <c r="R106" s="227"/>
      <c r="S106" s="227"/>
      <c r="T106" s="232"/>
    </row>
    <row r="107" spans="1:20" s="226" customFormat="1" x14ac:dyDescent="0.25">
      <c r="A107" s="340">
        <f>'A) Base RI'!A108</f>
        <v>5564</v>
      </c>
      <c r="B107" s="239" t="str">
        <f>'A) Base RI'!B108</f>
        <v>Novalles</v>
      </c>
      <c r="C107" s="255">
        <v>0</v>
      </c>
      <c r="D107" s="228">
        <f>'B) D RI'!AR108</f>
        <v>101</v>
      </c>
      <c r="E107" s="229">
        <f>'B) D RI'!S108</f>
        <v>76</v>
      </c>
      <c r="F107" s="10">
        <f>'B) D RI'!R108</f>
        <v>199636.20749999999</v>
      </c>
      <c r="G107" s="10">
        <f>'B) D RI'!U108</f>
        <v>2626.7922039473683</v>
      </c>
      <c r="H107" s="43">
        <f>'B) D RI'!T108</f>
        <v>186774.02</v>
      </c>
      <c r="I107" s="10">
        <f t="shared" si="12"/>
        <v>4915.1057894736841</v>
      </c>
      <c r="J107" s="33">
        <f t="shared" si="14"/>
        <v>8697.9356007904698</v>
      </c>
      <c r="K107" s="10">
        <f t="shared" si="9"/>
        <v>4915.1057894736841</v>
      </c>
      <c r="L107" s="10">
        <f t="shared" si="13"/>
        <v>3782.8298113167857</v>
      </c>
      <c r="M107" s="10">
        <f>'D) Ecrêtage'!M106</f>
        <v>2626.7922039473683</v>
      </c>
      <c r="N107" s="10">
        <f t="shared" si="10"/>
        <v>3261.3100154412969</v>
      </c>
      <c r="O107" s="59">
        <f t="shared" si="11"/>
        <v>8176.415804914981</v>
      </c>
      <c r="P107" s="230"/>
      <c r="Q107" s="231"/>
      <c r="R107" s="227"/>
      <c r="S107" s="227"/>
      <c r="T107" s="232"/>
    </row>
    <row r="108" spans="1:20" s="226" customFormat="1" x14ac:dyDescent="0.25">
      <c r="A108" s="340">
        <f>'A) Base RI'!A109</f>
        <v>5565</v>
      </c>
      <c r="B108" s="239" t="str">
        <f>'A) Base RI'!B109</f>
        <v>Onnens</v>
      </c>
      <c r="C108" s="255">
        <v>0</v>
      </c>
      <c r="D108" s="228">
        <f>'B) D RI'!AR109</f>
        <v>477</v>
      </c>
      <c r="E108" s="229">
        <f>'B) D RI'!S109</f>
        <v>65</v>
      </c>
      <c r="F108" s="10">
        <f>'B) D RI'!R109</f>
        <v>1236076.5699999998</v>
      </c>
      <c r="G108" s="10">
        <f>'B) D RI'!U109</f>
        <v>19016.562615384613</v>
      </c>
      <c r="H108" s="43">
        <f>'B) D RI'!T109</f>
        <v>1114734.17</v>
      </c>
      <c r="I108" s="10">
        <f t="shared" si="12"/>
        <v>34299.512923076923</v>
      </c>
      <c r="J108" s="33">
        <f t="shared" si="14"/>
        <v>41078.369124525292</v>
      </c>
      <c r="K108" s="10">
        <f t="shared" si="9"/>
        <v>34299.512923076923</v>
      </c>
      <c r="L108" s="10">
        <f t="shared" si="13"/>
        <v>6778.8562014483687</v>
      </c>
      <c r="M108" s="10">
        <f>'D) Ecrêtage'!M107</f>
        <v>19016.562615384613</v>
      </c>
      <c r="N108" s="10">
        <f t="shared" si="10"/>
        <v>23610.130265965654</v>
      </c>
      <c r="O108" s="59">
        <f t="shared" si="11"/>
        <v>57909.643189042574</v>
      </c>
      <c r="P108" s="230"/>
      <c r="Q108" s="231"/>
      <c r="R108" s="227"/>
      <c r="S108" s="227"/>
      <c r="T108" s="232"/>
    </row>
    <row r="109" spans="1:20" s="226" customFormat="1" x14ac:dyDescent="0.25">
      <c r="A109" s="340">
        <f>'A) Base RI'!A110</f>
        <v>5566</v>
      </c>
      <c r="B109" s="239" t="str">
        <f>'A) Base RI'!B110</f>
        <v>Provence</v>
      </c>
      <c r="C109" s="255">
        <v>0</v>
      </c>
      <c r="D109" s="228">
        <f>'B) D RI'!AR110</f>
        <v>388</v>
      </c>
      <c r="E109" s="229">
        <f>'B) D RI'!S110</f>
        <v>81</v>
      </c>
      <c r="F109" s="10">
        <f>'B) D RI'!R110</f>
        <v>643512.18333333335</v>
      </c>
      <c r="G109" s="10">
        <f>'B) D RI'!U110</f>
        <v>7944.5948559670787</v>
      </c>
      <c r="H109" s="43">
        <f>'B) D RI'!T110</f>
        <v>590745.55000000005</v>
      </c>
      <c r="I109" s="10">
        <f t="shared" si="12"/>
        <v>14586.309876543211</v>
      </c>
      <c r="J109" s="33">
        <f t="shared" si="14"/>
        <v>33413.851614917847</v>
      </c>
      <c r="K109" s="10">
        <f t="shared" si="9"/>
        <v>14586.309876543211</v>
      </c>
      <c r="L109" s="10">
        <f t="shared" si="13"/>
        <v>18827.541738374635</v>
      </c>
      <c r="M109" s="10">
        <f>'D) Ecrêtage'!M108</f>
        <v>7944.5948559670787</v>
      </c>
      <c r="N109" s="10">
        <f t="shared" si="10"/>
        <v>9863.6606022559918</v>
      </c>
      <c r="O109" s="59">
        <f t="shared" si="11"/>
        <v>24449.970478799201</v>
      </c>
      <c r="P109" s="230"/>
      <c r="Q109" s="231"/>
      <c r="R109" s="227"/>
      <c r="S109" s="227"/>
      <c r="T109" s="232"/>
    </row>
    <row r="110" spans="1:20" s="226" customFormat="1" x14ac:dyDescent="0.25">
      <c r="A110" s="340">
        <f>'A) Base RI'!A111</f>
        <v>5568</v>
      </c>
      <c r="B110" s="239" t="str">
        <f>'A) Base RI'!B111</f>
        <v>Sainte-Croix</v>
      </c>
      <c r="C110" s="255">
        <v>0</v>
      </c>
      <c r="D110" s="228">
        <f>'B) D RI'!AR111</f>
        <v>4919</v>
      </c>
      <c r="E110" s="229">
        <f>'B) D RI'!S111</f>
        <v>70</v>
      </c>
      <c r="F110" s="10">
        <f>'B) D RI'!R111</f>
        <v>7055241.2799999984</v>
      </c>
      <c r="G110" s="10">
        <f>'B) D RI'!U111</f>
        <v>100789.16114285712</v>
      </c>
      <c r="H110" s="43">
        <f>'B) D RI'!T111</f>
        <v>6465547.8299999991</v>
      </c>
      <c r="I110" s="10">
        <f t="shared" si="12"/>
        <v>184729.93799999997</v>
      </c>
      <c r="J110" s="33">
        <f t="shared" si="14"/>
        <v>423615.29921077547</v>
      </c>
      <c r="K110" s="10">
        <f t="shared" si="9"/>
        <v>184729.93799999997</v>
      </c>
      <c r="L110" s="10">
        <f t="shared" si="13"/>
        <v>238885.3612107755</v>
      </c>
      <c r="M110" s="10">
        <f>'D) Ecrêtage'!M109</f>
        <v>100789.16114285712</v>
      </c>
      <c r="N110" s="10">
        <f t="shared" si="10"/>
        <v>125135.40286482166</v>
      </c>
      <c r="O110" s="59">
        <f t="shared" si="11"/>
        <v>309865.34086482163</v>
      </c>
      <c r="P110" s="230"/>
      <c r="Q110" s="231"/>
      <c r="R110" s="227"/>
      <c r="S110" s="227"/>
      <c r="T110" s="232"/>
    </row>
    <row r="111" spans="1:20" s="226" customFormat="1" x14ac:dyDescent="0.25">
      <c r="A111" s="340">
        <f>'A) Base RI'!A112</f>
        <v>5571</v>
      </c>
      <c r="B111" s="239" t="str">
        <f>'A) Base RI'!B112</f>
        <v>Tévenon</v>
      </c>
      <c r="C111" s="255">
        <v>0</v>
      </c>
      <c r="D111" s="228">
        <f>'B) D RI'!AR112</f>
        <v>843</v>
      </c>
      <c r="E111" s="229">
        <f>'B) D RI'!S112</f>
        <v>73</v>
      </c>
      <c r="F111" s="10">
        <f>'B) D RI'!R112</f>
        <v>1558966.5849999997</v>
      </c>
      <c r="G111" s="10">
        <f>'B) D RI'!U112</f>
        <v>21355.706643835612</v>
      </c>
      <c r="H111" s="43">
        <f>'B) D RI'!T112</f>
        <v>1406508.5099999998</v>
      </c>
      <c r="I111" s="10">
        <f t="shared" si="12"/>
        <v>38534.479726027392</v>
      </c>
      <c r="J111" s="33">
        <f t="shared" si="14"/>
        <v>72597.62090560759</v>
      </c>
      <c r="K111" s="10">
        <f t="shared" si="9"/>
        <v>38534.479726027392</v>
      </c>
      <c r="L111" s="10">
        <f t="shared" si="13"/>
        <v>34063.141179580198</v>
      </c>
      <c r="M111" s="10">
        <f>'D) Ecrêtage'!M110</f>
        <v>21355.706643835612</v>
      </c>
      <c r="N111" s="10">
        <f t="shared" si="10"/>
        <v>26514.308920098661</v>
      </c>
      <c r="O111" s="59">
        <f t="shared" si="11"/>
        <v>65048.78864612605</v>
      </c>
      <c r="P111" s="230"/>
      <c r="Q111" s="231"/>
      <c r="R111" s="227"/>
      <c r="S111" s="227"/>
      <c r="T111" s="232"/>
    </row>
    <row r="112" spans="1:20" s="226" customFormat="1" x14ac:dyDescent="0.25">
      <c r="A112" s="340">
        <f>'A) Base RI'!A113</f>
        <v>5581</v>
      </c>
      <c r="B112" s="239" t="str">
        <f>'A) Base RI'!B113</f>
        <v>Belmont-sur-Lausanne</v>
      </c>
      <c r="C112" s="255">
        <v>1</v>
      </c>
      <c r="D112" s="228">
        <f>'B) D RI'!AR113</f>
        <v>3662</v>
      </c>
      <c r="E112" s="229">
        <f>'B) D RI'!S113</f>
        <v>69.5</v>
      </c>
      <c r="F112" s="10">
        <f>'B) D RI'!R113</f>
        <v>13399489.866666671</v>
      </c>
      <c r="G112" s="10">
        <f>'B) D RI'!U113</f>
        <v>192798.41534772189</v>
      </c>
      <c r="H112" s="43">
        <f>'B) D RI'!T113</f>
        <v>12550066.000000004</v>
      </c>
      <c r="I112" s="10">
        <f t="shared" si="12"/>
        <v>361152.97841726628</v>
      </c>
      <c r="J112" s="33">
        <f t="shared" si="14"/>
        <v>315364.7541593535</v>
      </c>
      <c r="K112" s="10">
        <f t="shared" si="9"/>
        <v>0</v>
      </c>
      <c r="L112" s="10">
        <f t="shared" si="13"/>
        <v>315364.7541593535</v>
      </c>
      <c r="M112" s="10">
        <f>'D) Ecrêtage'!M111</f>
        <v>192798.41534772189</v>
      </c>
      <c r="N112" s="10">
        <f t="shared" si="10"/>
        <v>239370.05827482458</v>
      </c>
      <c r="O112" s="59">
        <f t="shared" si="11"/>
        <v>239370.05827482458</v>
      </c>
      <c r="P112" s="230"/>
      <c r="Q112" s="231"/>
      <c r="R112" s="227"/>
      <c r="S112" s="227"/>
      <c r="T112" s="232"/>
    </row>
    <row r="113" spans="1:20" s="226" customFormat="1" x14ac:dyDescent="0.25">
      <c r="A113" s="340">
        <f>'A) Base RI'!A114</f>
        <v>5582</v>
      </c>
      <c r="B113" s="239" t="str">
        <f>'A) Base RI'!B114</f>
        <v>Cheseaux-sur-Lausanne</v>
      </c>
      <c r="C113" s="255">
        <v>0</v>
      </c>
      <c r="D113" s="228">
        <f>'B) D RI'!AR114</f>
        <v>4357</v>
      </c>
      <c r="E113" s="229">
        <f>'B) D RI'!S114</f>
        <v>74.5</v>
      </c>
      <c r="F113" s="10">
        <f>'B) D RI'!R114</f>
        <v>13495363.73</v>
      </c>
      <c r="G113" s="10">
        <f>'B) D RI'!U114</f>
        <v>181145.82187919464</v>
      </c>
      <c r="H113" s="43">
        <f>'B) D RI'!T114</f>
        <v>12632410.48</v>
      </c>
      <c r="I113" s="10">
        <f t="shared" si="12"/>
        <v>339125.11355704698</v>
      </c>
      <c r="J113" s="33">
        <f t="shared" si="14"/>
        <v>375216.88527370372</v>
      </c>
      <c r="K113" s="10">
        <f t="shared" si="9"/>
        <v>339125.11355704698</v>
      </c>
      <c r="L113" s="10">
        <f t="shared" si="13"/>
        <v>36091.771716656745</v>
      </c>
      <c r="M113" s="10">
        <f>'D) Ecrêtage'!M112</f>
        <v>181145.82187919464</v>
      </c>
      <c r="N113" s="10">
        <f t="shared" si="10"/>
        <v>224902.70919115294</v>
      </c>
      <c r="O113" s="59">
        <f t="shared" si="11"/>
        <v>564027.82274819992</v>
      </c>
      <c r="P113" s="230"/>
      <c r="Q113" s="231"/>
      <c r="R113" s="227"/>
      <c r="S113" s="227"/>
      <c r="T113" s="232"/>
    </row>
    <row r="114" spans="1:20" s="226" customFormat="1" x14ac:dyDescent="0.25">
      <c r="A114" s="340">
        <f>'A) Base RI'!A115</f>
        <v>5583</v>
      </c>
      <c r="B114" s="239" t="str">
        <f>'A) Base RI'!B115</f>
        <v>Crissier</v>
      </c>
      <c r="C114" s="255">
        <v>1</v>
      </c>
      <c r="D114" s="228">
        <f>'B) D RI'!AR115</f>
        <v>8008</v>
      </c>
      <c r="E114" s="229">
        <f>'B) D RI'!S115</f>
        <v>65</v>
      </c>
      <c r="F114" s="10">
        <f>'B) D RI'!R115</f>
        <v>20526928.599999998</v>
      </c>
      <c r="G114" s="10">
        <f>'B) D RI'!U115</f>
        <v>315798.9015384615</v>
      </c>
      <c r="H114" s="43">
        <f>'B) D RI'!T115</f>
        <v>18054320.050000001</v>
      </c>
      <c r="I114" s="10">
        <f t="shared" si="12"/>
        <v>555517.54</v>
      </c>
      <c r="J114" s="33">
        <f t="shared" si="14"/>
        <v>689634.33951613947</v>
      </c>
      <c r="K114" s="10">
        <f t="shared" si="9"/>
        <v>0</v>
      </c>
      <c r="L114" s="10">
        <f t="shared" si="13"/>
        <v>689634.33951613947</v>
      </c>
      <c r="M114" s="10">
        <f>'D) Ecrêtage'!M113</f>
        <v>315798.9015384615</v>
      </c>
      <c r="N114" s="10">
        <f t="shared" si="10"/>
        <v>392082.06835129636</v>
      </c>
      <c r="O114" s="59">
        <f t="shared" si="11"/>
        <v>392082.06835129636</v>
      </c>
      <c r="P114" s="230"/>
      <c r="Q114" s="231"/>
      <c r="R114" s="227"/>
      <c r="S114" s="227"/>
      <c r="T114" s="232"/>
    </row>
    <row r="115" spans="1:20" s="226" customFormat="1" x14ac:dyDescent="0.25">
      <c r="A115" s="340">
        <f>'A) Base RI'!A116</f>
        <v>5584</v>
      </c>
      <c r="B115" s="239" t="str">
        <f>'A) Base RI'!B116</f>
        <v>Epalinges</v>
      </c>
      <c r="C115" s="255">
        <v>0</v>
      </c>
      <c r="D115" s="228">
        <f>'B) D RI'!AR116</f>
        <v>9335</v>
      </c>
      <c r="E115" s="229">
        <f>'B) D RI'!S116</f>
        <v>66</v>
      </c>
      <c r="F115" s="10">
        <f>'B) D RI'!R116</f>
        <v>28010943.57</v>
      </c>
      <c r="G115" s="10">
        <f>'B) D RI'!U116</f>
        <v>424408.2359090909</v>
      </c>
      <c r="H115" s="43">
        <f>'B) D RI'!T116</f>
        <v>25729393.57</v>
      </c>
      <c r="I115" s="10">
        <f t="shared" si="12"/>
        <v>779678.59303030302</v>
      </c>
      <c r="J115" s="33">
        <f t="shared" si="14"/>
        <v>803913.15676612908</v>
      </c>
      <c r="K115" s="10">
        <f t="shared" si="9"/>
        <v>779678.59303030302</v>
      </c>
      <c r="L115" s="10">
        <f t="shared" si="13"/>
        <v>24234.563735826057</v>
      </c>
      <c r="M115" s="10">
        <f>'D) Ecrêtage'!M114</f>
        <v>424408.2359090909</v>
      </c>
      <c r="N115" s="10">
        <f t="shared" si="10"/>
        <v>526926.65538070246</v>
      </c>
      <c r="O115" s="59">
        <f t="shared" si="11"/>
        <v>1306605.2484110054</v>
      </c>
      <c r="P115" s="230"/>
      <c r="Q115" s="231"/>
      <c r="R115" s="227"/>
      <c r="S115" s="227"/>
      <c r="T115" s="232"/>
    </row>
    <row r="116" spans="1:20" s="226" customFormat="1" x14ac:dyDescent="0.25">
      <c r="A116" s="340">
        <f>'A) Base RI'!A117</f>
        <v>5585</v>
      </c>
      <c r="B116" s="239" t="str">
        <f>'A) Base RI'!B117</f>
        <v>Jouxtens-Mézery</v>
      </c>
      <c r="C116" s="255">
        <v>0</v>
      </c>
      <c r="D116" s="228">
        <f>'B) D RI'!AR117</f>
        <v>1469</v>
      </c>
      <c r="E116" s="229">
        <f>'B) D RI'!S117</f>
        <v>53</v>
      </c>
      <c r="F116" s="10">
        <f>'B) D RI'!R117</f>
        <v>9098858.8100000005</v>
      </c>
      <c r="G116" s="10">
        <f>'B) D RI'!U117</f>
        <v>171676.58132075472</v>
      </c>
      <c r="H116" s="43">
        <f>'B) D RI'!T117</f>
        <v>8621942.0600000005</v>
      </c>
      <c r="I116" s="10">
        <f t="shared" si="12"/>
        <v>325356.30415094341</v>
      </c>
      <c r="J116" s="33">
        <f t="shared" si="14"/>
        <v>126507.59799565545</v>
      </c>
      <c r="K116" s="10">
        <f t="shared" si="9"/>
        <v>126507.59799565545</v>
      </c>
      <c r="L116" s="10">
        <f t="shared" si="13"/>
        <v>0</v>
      </c>
      <c r="M116" s="10">
        <f>'D) Ecrêtage'!M115</f>
        <v>143746.14069536969</v>
      </c>
      <c r="N116" s="10">
        <f t="shared" si="10"/>
        <v>178468.90501135204</v>
      </c>
      <c r="O116" s="59">
        <f t="shared" si="11"/>
        <v>304976.50300700747</v>
      </c>
      <c r="P116" s="230"/>
      <c r="Q116" s="231"/>
      <c r="R116" s="227"/>
      <c r="S116" s="227"/>
      <c r="T116" s="232"/>
    </row>
    <row r="117" spans="1:20" s="226" customFormat="1" x14ac:dyDescent="0.25">
      <c r="A117" s="340">
        <f>'A) Base RI'!A118</f>
        <v>5586</v>
      </c>
      <c r="B117" s="239" t="str">
        <f>'A) Base RI'!B118</f>
        <v>Lausanne</v>
      </c>
      <c r="C117" s="255">
        <v>1</v>
      </c>
      <c r="D117" s="228">
        <f>'B) D RI'!AR118</f>
        <v>139624</v>
      </c>
      <c r="E117" s="229">
        <f>'B) D RI'!S118</f>
        <v>79</v>
      </c>
      <c r="F117" s="10">
        <f>'B) D RI'!R118</f>
        <v>492036024.56000006</v>
      </c>
      <c r="G117" s="10">
        <f>'B) D RI'!U118</f>
        <v>6228304.1083544316</v>
      </c>
      <c r="H117" s="43">
        <f>'B) D RI'!T118</f>
        <v>463749832.46000004</v>
      </c>
      <c r="I117" s="10">
        <f t="shared" si="12"/>
        <v>11740502.087594938</v>
      </c>
      <c r="J117" s="33">
        <f t="shared" si="14"/>
        <v>12024163.963611571</v>
      </c>
      <c r="K117" s="10">
        <f t="shared" si="9"/>
        <v>0</v>
      </c>
      <c r="L117" s="10">
        <f t="shared" si="13"/>
        <v>12024163.963611571</v>
      </c>
      <c r="M117" s="10">
        <f>'D) Ecrêtage'!M116</f>
        <v>6228304.1083544316</v>
      </c>
      <c r="N117" s="10">
        <f t="shared" si="10"/>
        <v>7732789.2694619382</v>
      </c>
      <c r="O117" s="59">
        <f t="shared" si="11"/>
        <v>7732789.2694619382</v>
      </c>
      <c r="P117" s="230"/>
      <c r="Q117" s="231"/>
      <c r="R117" s="227"/>
      <c r="S117" s="227"/>
      <c r="T117" s="232"/>
    </row>
    <row r="118" spans="1:20" s="226" customFormat="1" x14ac:dyDescent="0.25">
      <c r="A118" s="340">
        <f>'A) Base RI'!A119</f>
        <v>5587</v>
      </c>
      <c r="B118" s="239" t="str">
        <f>'A) Base RI'!B119</f>
        <v>Le Mont-sur-Lausanne</v>
      </c>
      <c r="C118" s="255">
        <v>0</v>
      </c>
      <c r="D118" s="228">
        <f>'B) D RI'!AR119</f>
        <v>8093</v>
      </c>
      <c r="E118" s="229">
        <f>'B) D RI'!S119</f>
        <v>75</v>
      </c>
      <c r="F118" s="10">
        <f>'B) D RI'!R119</f>
        <v>31439961.474999998</v>
      </c>
      <c r="G118" s="10">
        <f>'B) D RI'!U119</f>
        <v>419199.48633333331</v>
      </c>
      <c r="H118" s="43">
        <f>'B) D RI'!T119</f>
        <v>29230956.049999997</v>
      </c>
      <c r="I118" s="10">
        <f t="shared" si="12"/>
        <v>779492.16133333324</v>
      </c>
      <c r="J118" s="33">
        <f t="shared" si="14"/>
        <v>696954.38432868593</v>
      </c>
      <c r="K118" s="10">
        <f t="shared" si="9"/>
        <v>696954.38432868593</v>
      </c>
      <c r="L118" s="10">
        <f t="shared" si="13"/>
        <v>0</v>
      </c>
      <c r="M118" s="10">
        <f>'D) Ecrêtage'!M117</f>
        <v>419199.48633333331</v>
      </c>
      <c r="N118" s="10">
        <f t="shared" si="10"/>
        <v>520459.70031139156</v>
      </c>
      <c r="O118" s="59">
        <f t="shared" si="11"/>
        <v>1217414.0846400775</v>
      </c>
      <c r="P118" s="230"/>
      <c r="Q118" s="231"/>
      <c r="R118" s="227"/>
      <c r="S118" s="227"/>
      <c r="T118" s="232"/>
    </row>
    <row r="119" spans="1:20" s="226" customFormat="1" x14ac:dyDescent="0.25">
      <c r="A119" s="340">
        <f>'A) Base RI'!A120</f>
        <v>5588</v>
      </c>
      <c r="B119" s="239" t="str">
        <f>'A) Base RI'!B120</f>
        <v>Paudex</v>
      </c>
      <c r="C119" s="255">
        <v>1</v>
      </c>
      <c r="D119" s="228">
        <f>'B) D RI'!AR120</f>
        <v>1480</v>
      </c>
      <c r="E119" s="229">
        <f>'B) D RI'!S120</f>
        <v>61.5</v>
      </c>
      <c r="F119" s="10">
        <f>'B) D RI'!R120</f>
        <v>8930754.1285714302</v>
      </c>
      <c r="G119" s="10">
        <f>'B) D RI'!U120</f>
        <v>145215.51428571431</v>
      </c>
      <c r="H119" s="43">
        <f>'B) D RI'!T120</f>
        <v>8396897.1500000004</v>
      </c>
      <c r="I119" s="10">
        <f t="shared" si="12"/>
        <v>273069.82601626019</v>
      </c>
      <c r="J119" s="33">
        <f t="shared" si="14"/>
        <v>127454.89791257323</v>
      </c>
      <c r="K119" s="10">
        <f t="shared" si="9"/>
        <v>0</v>
      </c>
      <c r="L119" s="10">
        <f t="shared" si="13"/>
        <v>127454.89791257323</v>
      </c>
      <c r="M119" s="10">
        <f>'D) Ecrêtage'!M118</f>
        <v>127175.68911671983</v>
      </c>
      <c r="N119" s="10">
        <f t="shared" si="10"/>
        <v>157895.75894649542</v>
      </c>
      <c r="O119" s="59">
        <f t="shared" si="11"/>
        <v>157895.75894649542</v>
      </c>
      <c r="P119" s="230"/>
      <c r="Q119" s="231"/>
      <c r="R119" s="227"/>
      <c r="S119" s="227"/>
      <c r="T119" s="232"/>
    </row>
    <row r="120" spans="1:20" s="226" customFormat="1" x14ac:dyDescent="0.25">
      <c r="A120" s="340">
        <f>'A) Base RI'!A121</f>
        <v>5589</v>
      </c>
      <c r="B120" s="239" t="str">
        <f>'A) Base RI'!B121</f>
        <v>Prilly</v>
      </c>
      <c r="C120" s="255">
        <v>1</v>
      </c>
      <c r="D120" s="228">
        <f>'B) D RI'!AR121</f>
        <v>12105</v>
      </c>
      <c r="E120" s="229">
        <f>'B) D RI'!S121</f>
        <v>73.5</v>
      </c>
      <c r="F120" s="10">
        <f>'B) D RI'!R121</f>
        <v>31831889</v>
      </c>
      <c r="G120" s="10">
        <f>'B) D RI'!U121</f>
        <v>433086.92517006805</v>
      </c>
      <c r="H120" s="43">
        <f>'B) D RI'!T121</f>
        <v>29560327.699999999</v>
      </c>
      <c r="I120" s="10">
        <f t="shared" si="12"/>
        <v>804362.65850340133</v>
      </c>
      <c r="J120" s="33">
        <f t="shared" si="14"/>
        <v>1042460.4994808777</v>
      </c>
      <c r="K120" s="10">
        <f t="shared" si="9"/>
        <v>0</v>
      </c>
      <c r="L120" s="10">
        <f t="shared" si="13"/>
        <v>1042460.4994808777</v>
      </c>
      <c r="M120" s="10">
        <f>'D) Ecrêtage'!M119</f>
        <v>433086.92517006805</v>
      </c>
      <c r="N120" s="10">
        <f t="shared" si="10"/>
        <v>537701.73540613975</v>
      </c>
      <c r="O120" s="59">
        <f t="shared" si="11"/>
        <v>537701.73540613975</v>
      </c>
      <c r="P120" s="230"/>
      <c r="Q120" s="231"/>
      <c r="R120" s="227"/>
      <c r="S120" s="227"/>
      <c r="T120" s="232"/>
    </row>
    <row r="121" spans="1:20" s="226" customFormat="1" x14ac:dyDescent="0.25">
      <c r="A121" s="340">
        <f>'A) Base RI'!A122</f>
        <v>5590</v>
      </c>
      <c r="B121" s="239" t="str">
        <f>'A) Base RI'!B122</f>
        <v>Pully</v>
      </c>
      <c r="C121" s="255">
        <v>1</v>
      </c>
      <c r="D121" s="228">
        <f>'B) D RI'!AR122</f>
        <v>18194</v>
      </c>
      <c r="E121" s="229">
        <f>'B) D RI'!S122</f>
        <v>61</v>
      </c>
      <c r="F121" s="10">
        <f>'B) D RI'!R122</f>
        <v>87643142.864285707</v>
      </c>
      <c r="G121" s="10">
        <f>'B) D RI'!U122</f>
        <v>1436772.8338407492</v>
      </c>
      <c r="H121" s="43">
        <f>'B) D RI'!T122</f>
        <v>82665690.349999994</v>
      </c>
      <c r="I121" s="10">
        <f t="shared" si="12"/>
        <v>2710350.5032786885</v>
      </c>
      <c r="J121" s="33">
        <f t="shared" si="14"/>
        <v>1566834.0625819981</v>
      </c>
      <c r="K121" s="10">
        <f t="shared" si="9"/>
        <v>0</v>
      </c>
      <c r="L121" s="10">
        <f t="shared" si="13"/>
        <v>1566834.0625819981</v>
      </c>
      <c r="M121" s="10">
        <f>'D) Ecrêtage'!M120</f>
        <v>1325739.9889937579</v>
      </c>
      <c r="N121" s="10">
        <f t="shared" si="10"/>
        <v>1645980.6365646606</v>
      </c>
      <c r="O121" s="59">
        <f t="shared" si="11"/>
        <v>1645980.6365646606</v>
      </c>
      <c r="P121" s="230"/>
      <c r="Q121" s="231"/>
      <c r="R121" s="227"/>
      <c r="S121" s="227"/>
      <c r="T121" s="232"/>
    </row>
    <row r="122" spans="1:20" s="226" customFormat="1" x14ac:dyDescent="0.25">
      <c r="A122" s="340">
        <f>'A) Base RI'!A123</f>
        <v>5591</v>
      </c>
      <c r="B122" s="239" t="str">
        <f>'A) Base RI'!B123</f>
        <v>Renens</v>
      </c>
      <c r="C122" s="255">
        <v>1</v>
      </c>
      <c r="D122" s="228">
        <f>'B) D RI'!AR123</f>
        <v>21114</v>
      </c>
      <c r="E122" s="229">
        <f>'B) D RI'!S123</f>
        <v>78.5</v>
      </c>
      <c r="F122" s="10">
        <f>'B) D RI'!R123</f>
        <v>42984726.017142855</v>
      </c>
      <c r="G122" s="10">
        <f>'B) D RI'!U123</f>
        <v>547576.12760691531</v>
      </c>
      <c r="H122" s="43">
        <f>'B) D RI'!T123</f>
        <v>39160552.509999998</v>
      </c>
      <c r="I122" s="10">
        <f t="shared" si="12"/>
        <v>997721.08305732475</v>
      </c>
      <c r="J122" s="33">
        <f t="shared" si="14"/>
        <v>1818299.1314365345</v>
      </c>
      <c r="K122" s="10">
        <f t="shared" si="9"/>
        <v>0</v>
      </c>
      <c r="L122" s="10">
        <f t="shared" si="13"/>
        <v>1818299.1314365345</v>
      </c>
      <c r="M122" s="10">
        <f>'D) Ecrêtage'!M121</f>
        <v>547576.12760691531</v>
      </c>
      <c r="N122" s="10">
        <f t="shared" si="10"/>
        <v>679846.50879403017</v>
      </c>
      <c r="O122" s="59">
        <f t="shared" si="11"/>
        <v>679846.50879403017</v>
      </c>
      <c r="P122" s="230"/>
      <c r="Q122" s="231"/>
      <c r="R122" s="227"/>
      <c r="S122" s="227"/>
      <c r="T122" s="232"/>
    </row>
    <row r="123" spans="1:20" s="226" customFormat="1" x14ac:dyDescent="0.25">
      <c r="A123" s="340">
        <f>'A) Base RI'!A124</f>
        <v>5592</v>
      </c>
      <c r="B123" s="239" t="str">
        <f>'A) Base RI'!B124</f>
        <v>Romanel-sur-Lausanne</v>
      </c>
      <c r="C123" s="255">
        <v>0</v>
      </c>
      <c r="D123" s="228">
        <f>'B) D RI'!AR124</f>
        <v>3300</v>
      </c>
      <c r="E123" s="229">
        <f>'B) D RI'!S124</f>
        <v>70</v>
      </c>
      <c r="F123" s="10">
        <f>'B) D RI'!R124</f>
        <v>8108092.2499999991</v>
      </c>
      <c r="G123" s="10">
        <f>'B) D RI'!U124</f>
        <v>115829.88928571428</v>
      </c>
      <c r="H123" s="43">
        <f>'B) D RI'!T124</f>
        <v>7307096.4999999991</v>
      </c>
      <c r="I123" s="10">
        <f t="shared" si="12"/>
        <v>208774.18571428568</v>
      </c>
      <c r="J123" s="33">
        <f t="shared" si="14"/>
        <v>284189.97507533222</v>
      </c>
      <c r="K123" s="10">
        <f t="shared" si="9"/>
        <v>208774.18571428568</v>
      </c>
      <c r="L123" s="10">
        <f t="shared" si="13"/>
        <v>75415.78936104654</v>
      </c>
      <c r="M123" s="10">
        <f>'D) Ecrêtage'!M122</f>
        <v>115829.88928571428</v>
      </c>
      <c r="N123" s="10">
        <f t="shared" si="10"/>
        <v>143809.31139025319</v>
      </c>
      <c r="O123" s="59">
        <f t="shared" si="11"/>
        <v>352583.49710453884</v>
      </c>
      <c r="P123" s="230"/>
      <c r="Q123" s="231"/>
      <c r="R123" s="227"/>
      <c r="S123" s="227"/>
      <c r="T123" s="232"/>
    </row>
    <row r="124" spans="1:20" s="226" customFormat="1" x14ac:dyDescent="0.25">
      <c r="A124" s="340">
        <f>'A) Base RI'!A125</f>
        <v>5601</v>
      </c>
      <c r="B124" s="239" t="str">
        <f>'A) Base RI'!B125</f>
        <v>Chexbres</v>
      </c>
      <c r="C124" s="255">
        <v>1</v>
      </c>
      <c r="D124" s="228">
        <f>'B) D RI'!AR125</f>
        <v>2250</v>
      </c>
      <c r="E124" s="229">
        <f>'B) D RI'!S125</f>
        <v>64</v>
      </c>
      <c r="F124" s="10">
        <f>'B) D RI'!R125</f>
        <v>7520552.3600000003</v>
      </c>
      <c r="G124" s="10">
        <f>'B) D RI'!U125</f>
        <v>117508.63062500001</v>
      </c>
      <c r="H124" s="43">
        <f>'B) D RI'!T125</f>
        <v>7072980.71</v>
      </c>
      <c r="I124" s="10">
        <f t="shared" si="12"/>
        <v>221030.6471875</v>
      </c>
      <c r="J124" s="33">
        <f t="shared" si="14"/>
        <v>193765.89209681741</v>
      </c>
      <c r="K124" s="10">
        <f t="shared" si="9"/>
        <v>0</v>
      </c>
      <c r="L124" s="10">
        <f t="shared" si="13"/>
        <v>193765.89209681741</v>
      </c>
      <c r="M124" s="10">
        <f>'D) Ecrêtage'!M123</f>
        <v>117508.63062500001</v>
      </c>
      <c r="N124" s="10">
        <f t="shared" si="10"/>
        <v>145893.56302421211</v>
      </c>
      <c r="O124" s="59">
        <f t="shared" si="11"/>
        <v>145893.56302421211</v>
      </c>
      <c r="P124" s="230"/>
      <c r="Q124" s="231"/>
      <c r="R124" s="227"/>
      <c r="S124" s="227"/>
      <c r="T124" s="232"/>
    </row>
    <row r="125" spans="1:20" s="226" customFormat="1" x14ac:dyDescent="0.25">
      <c r="A125" s="340">
        <f>'A) Base RI'!A126</f>
        <v>5604</v>
      </c>
      <c r="B125" s="239" t="str">
        <f>'A) Base RI'!B126</f>
        <v>Forel (Lavaux)</v>
      </c>
      <c r="C125" s="255">
        <v>0</v>
      </c>
      <c r="D125" s="228">
        <f>'B) D RI'!AR126</f>
        <v>2084</v>
      </c>
      <c r="E125" s="229">
        <f>'B) D RI'!S126</f>
        <v>68</v>
      </c>
      <c r="F125" s="10">
        <f>'B) D RI'!R126</f>
        <v>4870944.3899999997</v>
      </c>
      <c r="G125" s="10">
        <f>'B) D RI'!U126</f>
        <v>71631.535147058821</v>
      </c>
      <c r="H125" s="43">
        <f>'B) D RI'!T126</f>
        <v>4493615.1899999995</v>
      </c>
      <c r="I125" s="10">
        <f t="shared" si="12"/>
        <v>132165.1526470588</v>
      </c>
      <c r="J125" s="33">
        <f t="shared" si="14"/>
        <v>179470.27516878553</v>
      </c>
      <c r="K125" s="10">
        <f t="shared" si="9"/>
        <v>132165.1526470588</v>
      </c>
      <c r="L125" s="10">
        <f t="shared" si="13"/>
        <v>47305.122521726735</v>
      </c>
      <c r="M125" s="10">
        <f>'D) Ecrêtage'!M124</f>
        <v>71631.535147058821</v>
      </c>
      <c r="N125" s="10">
        <f t="shared" si="10"/>
        <v>88934.572991910318</v>
      </c>
      <c r="O125" s="59">
        <f t="shared" si="11"/>
        <v>221099.7256389691</v>
      </c>
      <c r="P125" s="230"/>
      <c r="Q125" s="231"/>
      <c r="R125" s="227"/>
      <c r="S125" s="227"/>
      <c r="T125" s="232"/>
    </row>
    <row r="126" spans="1:20" s="226" customFormat="1" x14ac:dyDescent="0.25">
      <c r="A126" s="340">
        <f>'A) Base RI'!A127</f>
        <v>5606</v>
      </c>
      <c r="B126" s="239" t="str">
        <f>'A) Base RI'!B127</f>
        <v>Lutry</v>
      </c>
      <c r="C126" s="255">
        <v>1</v>
      </c>
      <c r="D126" s="228">
        <f>'B) D RI'!AR127</f>
        <v>10001</v>
      </c>
      <c r="E126" s="229">
        <f>'B) D RI'!S127</f>
        <v>55.5</v>
      </c>
      <c r="F126" s="10">
        <f>'B) D RI'!R127</f>
        <v>46205633.321428575</v>
      </c>
      <c r="G126" s="10">
        <f>'B) D RI'!U127</f>
        <v>832533.93371943373</v>
      </c>
      <c r="H126" s="43">
        <f>'B) D RI'!T127</f>
        <v>43268147.25</v>
      </c>
      <c r="I126" s="10">
        <f t="shared" si="12"/>
        <v>1559212.5135135136</v>
      </c>
      <c r="J126" s="33">
        <f t="shared" si="14"/>
        <v>861267.86082678707</v>
      </c>
      <c r="K126" s="10">
        <f t="shared" si="9"/>
        <v>0</v>
      </c>
      <c r="L126" s="10">
        <f t="shared" si="13"/>
        <v>861267.86082678707</v>
      </c>
      <c r="M126" s="10">
        <f>'D) Ecrêtage'!M125</f>
        <v>758715.71300431201</v>
      </c>
      <c r="N126" s="10">
        <f t="shared" si="10"/>
        <v>941988.15954123554</v>
      </c>
      <c r="O126" s="59">
        <f t="shared" si="11"/>
        <v>941988.15954123554</v>
      </c>
      <c r="P126" s="230"/>
      <c r="Q126" s="231"/>
      <c r="R126" s="227"/>
      <c r="S126" s="227"/>
      <c r="T126" s="232"/>
    </row>
    <row r="127" spans="1:20" s="226" customFormat="1" x14ac:dyDescent="0.25">
      <c r="A127" s="340">
        <f>'A) Base RI'!A128</f>
        <v>5607</v>
      </c>
      <c r="B127" s="239" t="str">
        <f>'A) Base RI'!B128</f>
        <v>Puidoux</v>
      </c>
      <c r="C127" s="255">
        <v>1</v>
      </c>
      <c r="D127" s="228">
        <f>'B) D RI'!AR128</f>
        <v>2904</v>
      </c>
      <c r="E127" s="229">
        <f>'B) D RI'!S128</f>
        <v>70</v>
      </c>
      <c r="F127" s="10">
        <f>'B) D RI'!R128</f>
        <v>7596757.2173913047</v>
      </c>
      <c r="G127" s="10">
        <f>'B) D RI'!U128</f>
        <v>108525.10310559007</v>
      </c>
      <c r="H127" s="43">
        <f>'B) D RI'!T128</f>
        <v>6939878.9500000002</v>
      </c>
      <c r="I127" s="10">
        <f t="shared" si="12"/>
        <v>198282.25571428571</v>
      </c>
      <c r="J127" s="33">
        <f t="shared" si="14"/>
        <v>250087.17806629234</v>
      </c>
      <c r="K127" s="10">
        <f t="shared" si="9"/>
        <v>0</v>
      </c>
      <c r="L127" s="10">
        <f t="shared" si="13"/>
        <v>250087.17806629234</v>
      </c>
      <c r="M127" s="10">
        <f>'D) Ecrêtage'!M126</f>
        <v>108525.10310559007</v>
      </c>
      <c r="N127" s="10">
        <f t="shared" si="10"/>
        <v>134740.00918427878</v>
      </c>
      <c r="O127" s="59">
        <f t="shared" si="11"/>
        <v>134740.00918427878</v>
      </c>
      <c r="P127" s="230"/>
      <c r="Q127" s="231"/>
      <c r="R127" s="227"/>
      <c r="S127" s="227"/>
      <c r="T127" s="232"/>
    </row>
    <row r="128" spans="1:20" s="226" customFormat="1" x14ac:dyDescent="0.25">
      <c r="A128" s="340">
        <f>'A) Base RI'!A129</f>
        <v>5609</v>
      </c>
      <c r="B128" s="239" t="str">
        <f>'A) Base RI'!B129</f>
        <v>Rivaz</v>
      </c>
      <c r="C128" s="255">
        <v>1</v>
      </c>
      <c r="D128" s="228">
        <f>'B) D RI'!AR129</f>
        <v>351</v>
      </c>
      <c r="E128" s="229">
        <f>'B) D RI'!S129</f>
        <v>63.5</v>
      </c>
      <c r="F128" s="10">
        <f>'B) D RI'!R129</f>
        <v>989374.40000000014</v>
      </c>
      <c r="G128" s="10">
        <f>'B) D RI'!U129</f>
        <v>15580.699212598427</v>
      </c>
      <c r="H128" s="43">
        <f>'B) D RI'!T129</f>
        <v>935152.50000000012</v>
      </c>
      <c r="I128" s="10">
        <f t="shared" si="12"/>
        <v>29453.622047244098</v>
      </c>
      <c r="J128" s="33">
        <f t="shared" si="14"/>
        <v>30227.479167103516</v>
      </c>
      <c r="K128" s="10">
        <f t="shared" si="9"/>
        <v>0</v>
      </c>
      <c r="L128" s="10">
        <f t="shared" si="13"/>
        <v>30227.479167103516</v>
      </c>
      <c r="M128" s="10">
        <f>'D) Ecrêtage'!M127</f>
        <v>15580.699212598427</v>
      </c>
      <c r="N128" s="10">
        <f t="shared" si="10"/>
        <v>19344.312927861767</v>
      </c>
      <c r="O128" s="59">
        <f t="shared" si="11"/>
        <v>19344.312927861767</v>
      </c>
      <c r="P128" s="230"/>
      <c r="Q128" s="231"/>
      <c r="R128" s="227"/>
      <c r="S128" s="227"/>
      <c r="T128" s="232"/>
    </row>
    <row r="129" spans="1:20" s="226" customFormat="1" x14ac:dyDescent="0.25">
      <c r="A129" s="340">
        <f>'A) Base RI'!A130</f>
        <v>5610</v>
      </c>
      <c r="B129" s="239" t="str">
        <f>'A) Base RI'!B130</f>
        <v>St-Saphorin (Lavaux)</v>
      </c>
      <c r="C129" s="255">
        <v>1</v>
      </c>
      <c r="D129" s="228">
        <f>'B) D RI'!AR130</f>
        <v>389</v>
      </c>
      <c r="E129" s="229">
        <f>'B) D RI'!S130</f>
        <v>67</v>
      </c>
      <c r="F129" s="10">
        <f>'B) D RI'!R130</f>
        <v>1479016.1999999997</v>
      </c>
      <c r="G129" s="10">
        <f>'B) D RI'!U130</f>
        <v>22074.868656716415</v>
      </c>
      <c r="H129" s="43">
        <f>'B) D RI'!T130</f>
        <v>1388954.1499999997</v>
      </c>
      <c r="I129" s="10">
        <f t="shared" si="12"/>
        <v>41461.317910447753</v>
      </c>
      <c r="J129" s="33">
        <f t="shared" si="14"/>
        <v>33499.969789183095</v>
      </c>
      <c r="K129" s="10">
        <f t="shared" si="9"/>
        <v>0</v>
      </c>
      <c r="L129" s="10">
        <f t="shared" si="13"/>
        <v>33499.969789183095</v>
      </c>
      <c r="M129" s="10">
        <f>'D) Ecrêtage'!M128</f>
        <v>21964.993093148194</v>
      </c>
      <c r="N129" s="10">
        <f t="shared" si="10"/>
        <v>27270.772258321515</v>
      </c>
      <c r="O129" s="59">
        <f t="shared" si="11"/>
        <v>27270.772258321515</v>
      </c>
      <c r="P129" s="230"/>
      <c r="Q129" s="231"/>
      <c r="R129" s="227"/>
      <c r="S129" s="227"/>
      <c r="T129" s="232"/>
    </row>
    <row r="130" spans="1:20" s="226" customFormat="1" x14ac:dyDescent="0.25">
      <c r="A130" s="340">
        <f>'A) Base RI'!A131</f>
        <v>5611</v>
      </c>
      <c r="B130" s="239" t="str">
        <f>'A) Base RI'!B131</f>
        <v>Savigny</v>
      </c>
      <c r="C130" s="255">
        <v>1</v>
      </c>
      <c r="D130" s="228">
        <f>'B) D RI'!AR131</f>
        <v>3352</v>
      </c>
      <c r="E130" s="229">
        <f>'B) D RI'!S131</f>
        <v>69</v>
      </c>
      <c r="F130" s="10">
        <f>'B) D RI'!R131</f>
        <v>9281254.5983333346</v>
      </c>
      <c r="G130" s="10">
        <f>'B) D RI'!U131</f>
        <v>134510.93620772948</v>
      </c>
      <c r="H130" s="43">
        <f>'B) D RI'!T131</f>
        <v>8651890.290000001</v>
      </c>
      <c r="I130" s="10">
        <f t="shared" si="12"/>
        <v>250779.4286956522</v>
      </c>
      <c r="J130" s="33">
        <f t="shared" si="14"/>
        <v>288668.12013712531</v>
      </c>
      <c r="K130" s="10">
        <f t="shared" si="9"/>
        <v>0</v>
      </c>
      <c r="L130" s="10">
        <f t="shared" si="13"/>
        <v>288668.12013712531</v>
      </c>
      <c r="M130" s="10">
        <f>'D) Ecrêtage'!M129</f>
        <v>134510.93620772948</v>
      </c>
      <c r="N130" s="10">
        <f t="shared" si="10"/>
        <v>167002.88008371263</v>
      </c>
      <c r="O130" s="59">
        <f t="shared" si="11"/>
        <v>167002.88008371263</v>
      </c>
      <c r="P130" s="230"/>
      <c r="Q130" s="231"/>
      <c r="R130" s="227"/>
      <c r="S130" s="227"/>
      <c r="T130" s="232"/>
    </row>
    <row r="131" spans="1:20" s="226" customFormat="1" x14ac:dyDescent="0.25">
      <c r="A131" s="340">
        <f>'A) Base RI'!A132</f>
        <v>5613</v>
      </c>
      <c r="B131" s="239" t="str">
        <f>'A) Base RI'!B132</f>
        <v>Bourg-en-Lavaux</v>
      </c>
      <c r="C131" s="255">
        <v>1</v>
      </c>
      <c r="D131" s="228">
        <f>'B) D RI'!AR132</f>
        <v>5288</v>
      </c>
      <c r="E131" s="229">
        <f>'B) D RI'!S132</f>
        <v>61</v>
      </c>
      <c r="F131" s="10">
        <f>'B) D RI'!R132</f>
        <v>20171495.436666664</v>
      </c>
      <c r="G131" s="10">
        <f>'B) D RI'!U132</f>
        <v>330680.25306010921</v>
      </c>
      <c r="H131" s="43">
        <f>'B) D RI'!T132</f>
        <v>18862786.77</v>
      </c>
      <c r="I131" s="10">
        <f t="shared" si="12"/>
        <v>618452.02524590166</v>
      </c>
      <c r="J131" s="33">
        <f t="shared" si="14"/>
        <v>455392.90551465354</v>
      </c>
      <c r="K131" s="10">
        <f t="shared" si="9"/>
        <v>0</v>
      </c>
      <c r="L131" s="10">
        <f t="shared" si="13"/>
        <v>455392.90551465354</v>
      </c>
      <c r="M131" s="10">
        <f>'D) Ecrêtage'!M130</f>
        <v>322026.63656055502</v>
      </c>
      <c r="N131" s="10">
        <f t="shared" si="10"/>
        <v>399814.15106821124</v>
      </c>
      <c r="O131" s="59">
        <f t="shared" si="11"/>
        <v>399814.15106821124</v>
      </c>
      <c r="P131" s="230"/>
      <c r="Q131" s="231"/>
      <c r="R131" s="227"/>
      <c r="S131" s="227"/>
      <c r="T131" s="232"/>
    </row>
    <row r="132" spans="1:20" s="226" customFormat="1" x14ac:dyDescent="0.25">
      <c r="A132" s="340">
        <f>'A) Base RI'!A133</f>
        <v>5621</v>
      </c>
      <c r="B132" s="239" t="str">
        <f>'A) Base RI'!B133</f>
        <v>Aclens</v>
      </c>
      <c r="C132" s="255">
        <v>0</v>
      </c>
      <c r="D132" s="228">
        <f>'B) D RI'!AR133</f>
        <v>545</v>
      </c>
      <c r="E132" s="229">
        <f>'B) D RI'!S133</f>
        <v>62</v>
      </c>
      <c r="F132" s="10">
        <f>'B) D RI'!R133</f>
        <v>2053040.1963636363</v>
      </c>
      <c r="G132" s="10">
        <f>'B) D RI'!U133</f>
        <v>33113.551554252197</v>
      </c>
      <c r="H132" s="43">
        <f>'B) D RI'!T133</f>
        <v>1781883.9100000001</v>
      </c>
      <c r="I132" s="10">
        <f t="shared" si="12"/>
        <v>57480.126129032265</v>
      </c>
      <c r="J132" s="33">
        <f t="shared" si="14"/>
        <v>46934.404974562436</v>
      </c>
      <c r="K132" s="10">
        <f t="shared" si="9"/>
        <v>46934.404974562436</v>
      </c>
      <c r="L132" s="10">
        <f t="shared" si="13"/>
        <v>0</v>
      </c>
      <c r="M132" s="10">
        <f>'D) Ecrêtage'!M131</f>
        <v>32448.080278851183</v>
      </c>
      <c r="N132" s="10">
        <f t="shared" si="10"/>
        <v>40286.113624152102</v>
      </c>
      <c r="O132" s="59">
        <f t="shared" si="11"/>
        <v>87220.518598714538</v>
      </c>
      <c r="P132" s="230"/>
      <c r="Q132" s="231"/>
      <c r="R132" s="227"/>
      <c r="S132" s="227"/>
      <c r="T132" s="232"/>
    </row>
    <row r="133" spans="1:20" s="226" customFormat="1" x14ac:dyDescent="0.25">
      <c r="A133" s="340">
        <f>'A) Base RI'!A134</f>
        <v>5622</v>
      </c>
      <c r="B133" s="239" t="str">
        <f>'A) Base RI'!B134</f>
        <v>Bremblens</v>
      </c>
      <c r="C133" s="255">
        <v>0</v>
      </c>
      <c r="D133" s="228">
        <f>'B) D RI'!AR134</f>
        <v>547</v>
      </c>
      <c r="E133" s="229">
        <f>'B) D RI'!S134</f>
        <v>66</v>
      </c>
      <c r="F133" s="10">
        <f>'B) D RI'!R134</f>
        <v>2062195.15</v>
      </c>
      <c r="G133" s="10">
        <f>'B) D RI'!U134</f>
        <v>31245.381060606058</v>
      </c>
      <c r="H133" s="43">
        <f>'B) D RI'!T134</f>
        <v>1922087.15</v>
      </c>
      <c r="I133" s="10">
        <f t="shared" si="12"/>
        <v>58245.065151515148</v>
      </c>
      <c r="J133" s="33">
        <f t="shared" si="14"/>
        <v>47106.641323092939</v>
      </c>
      <c r="K133" s="10">
        <f t="shared" si="9"/>
        <v>47106.641323092939</v>
      </c>
      <c r="L133" s="10">
        <f t="shared" si="13"/>
        <v>0</v>
      </c>
      <c r="M133" s="10">
        <f>'D) Ecrêtage'!M132</f>
        <v>31043.054707464271</v>
      </c>
      <c r="N133" s="10">
        <f t="shared" si="10"/>
        <v>38541.695485165161</v>
      </c>
      <c r="O133" s="59">
        <f t="shared" si="11"/>
        <v>85648.3368082581</v>
      </c>
      <c r="P133" s="230"/>
      <c r="Q133" s="231"/>
      <c r="R133" s="227"/>
      <c r="S133" s="227"/>
      <c r="T133" s="232"/>
    </row>
    <row r="134" spans="1:20" s="226" customFormat="1" x14ac:dyDescent="0.25">
      <c r="A134" s="340">
        <f>'A) Base RI'!A135</f>
        <v>5623</v>
      </c>
      <c r="B134" s="239" t="str">
        <f>'A) Base RI'!B135</f>
        <v>Buchillon</v>
      </c>
      <c r="C134" s="255">
        <v>1</v>
      </c>
      <c r="D134" s="228">
        <f>'B) D RI'!AR135</f>
        <v>638</v>
      </c>
      <c r="E134" s="229">
        <f>'B) D RI'!S135</f>
        <v>53</v>
      </c>
      <c r="F134" s="10">
        <f>'B) D RI'!R135</f>
        <v>3933456.61</v>
      </c>
      <c r="G134" s="10">
        <f>'B) D RI'!U135</f>
        <v>74216.162452830191</v>
      </c>
      <c r="H134" s="43">
        <f>'B) D RI'!T135</f>
        <v>3615949.31</v>
      </c>
      <c r="I134" s="10">
        <f t="shared" si="12"/>
        <v>136450.91735849058</v>
      </c>
      <c r="J134" s="33">
        <f t="shared" ref="J134:J169" si="15">+$I$315/$D$315*D134</f>
        <v>54943.395181230888</v>
      </c>
      <c r="K134" s="10">
        <f t="shared" ref="K134:K192" si="16">IF(C134=1,0,IF(J134&gt;I134,I134,J134))</f>
        <v>0</v>
      </c>
      <c r="L134" s="10">
        <f t="shared" si="13"/>
        <v>54943.395181230888</v>
      </c>
      <c r="M134" s="10">
        <f>'D) Ecrêtage'!M133</f>
        <v>62211.128546879416</v>
      </c>
      <c r="N134" s="10">
        <f t="shared" ref="N134:N192" si="17">+$N$5*M134</f>
        <v>77238.609242464852</v>
      </c>
      <c r="O134" s="59">
        <f t="shared" ref="O134:O192" si="18">+N134+K134</f>
        <v>77238.609242464852</v>
      </c>
      <c r="P134" s="230"/>
      <c r="Q134" s="231"/>
      <c r="R134" s="227"/>
      <c r="S134" s="227"/>
      <c r="T134" s="232"/>
    </row>
    <row r="135" spans="1:20" s="226" customFormat="1" x14ac:dyDescent="0.25">
      <c r="A135" s="340">
        <f>'A) Base RI'!A136</f>
        <v>5624</v>
      </c>
      <c r="B135" s="239" t="str">
        <f>'A) Base RI'!B136</f>
        <v>Bussigny</v>
      </c>
      <c r="C135" s="255">
        <v>1</v>
      </c>
      <c r="D135" s="228">
        <f>'B) D RI'!AR136</f>
        <v>8677</v>
      </c>
      <c r="E135" s="229">
        <f>'B) D RI'!S136</f>
        <v>62</v>
      </c>
      <c r="F135" s="10">
        <f>'B) D RI'!R136</f>
        <v>20875199.010000002</v>
      </c>
      <c r="G135" s="10">
        <f>'B) D RI'!U136</f>
        <v>336696.75822580646</v>
      </c>
      <c r="H135" s="43">
        <f>'B) D RI'!T136</f>
        <v>18811435.66</v>
      </c>
      <c r="I135" s="10">
        <f t="shared" ref="I135:I193" si="19">+H135/E135*$I$5</f>
        <v>606820.50516129029</v>
      </c>
      <c r="J135" s="33">
        <f t="shared" si="15"/>
        <v>747247.39809959312</v>
      </c>
      <c r="K135" s="10">
        <f t="shared" si="16"/>
        <v>0</v>
      </c>
      <c r="L135" s="10">
        <f t="shared" ref="L135:L193" si="20">+J135-K135</f>
        <v>747247.39809959312</v>
      </c>
      <c r="M135" s="10">
        <f>'D) Ecrêtage'!M134</f>
        <v>336696.75822580646</v>
      </c>
      <c r="N135" s="10">
        <f t="shared" si="17"/>
        <v>418027.93084216153</v>
      </c>
      <c r="O135" s="59">
        <f t="shared" si="18"/>
        <v>418027.93084216153</v>
      </c>
      <c r="P135" s="230"/>
      <c r="Q135" s="231"/>
      <c r="R135" s="227"/>
      <c r="S135" s="227"/>
      <c r="T135" s="232"/>
    </row>
    <row r="136" spans="1:20" s="226" customFormat="1" x14ac:dyDescent="0.25">
      <c r="A136" s="340">
        <f>'A) Base RI'!A137</f>
        <v>5625</v>
      </c>
      <c r="B136" s="239" t="str">
        <f>'A) Base RI'!B137</f>
        <v>Bussy-Chardonney</v>
      </c>
      <c r="C136" s="255">
        <v>0</v>
      </c>
      <c r="D136" s="228">
        <f>'B) D RI'!AR137</f>
        <v>371</v>
      </c>
      <c r="E136" s="229">
        <f>'B) D RI'!S137</f>
        <v>78</v>
      </c>
      <c r="F136" s="10">
        <f>'B) D RI'!R137</f>
        <v>1075804.1333333333</v>
      </c>
      <c r="G136" s="10">
        <f>'B) D RI'!U137</f>
        <v>13792.360683760684</v>
      </c>
      <c r="H136" s="43">
        <f>'B) D RI'!T137</f>
        <v>978885.3</v>
      </c>
      <c r="I136" s="10">
        <f t="shared" si="19"/>
        <v>25099.623076923079</v>
      </c>
      <c r="J136" s="33">
        <f t="shared" si="15"/>
        <v>31949.842652408559</v>
      </c>
      <c r="K136" s="10">
        <f t="shared" si="16"/>
        <v>25099.623076923079</v>
      </c>
      <c r="L136" s="10">
        <f t="shared" si="20"/>
        <v>6850.2195754854802</v>
      </c>
      <c r="M136" s="10">
        <f>'D) Ecrêtage'!M135</f>
        <v>13792.360683760684</v>
      </c>
      <c r="N136" s="10">
        <f t="shared" si="17"/>
        <v>17123.990229197727</v>
      </c>
      <c r="O136" s="59">
        <f t="shared" si="18"/>
        <v>42223.613306120809</v>
      </c>
      <c r="P136" s="230"/>
      <c r="Q136" s="231"/>
      <c r="R136" s="227"/>
      <c r="S136" s="227"/>
      <c r="T136" s="232"/>
    </row>
    <row r="137" spans="1:20" s="226" customFormat="1" x14ac:dyDescent="0.25">
      <c r="A137" s="340">
        <f>'A) Base RI'!A138</f>
        <v>5627</v>
      </c>
      <c r="B137" s="239" t="str">
        <f>'A) Base RI'!B138</f>
        <v>Chavannes-près-Renens</v>
      </c>
      <c r="C137" s="255">
        <v>1</v>
      </c>
      <c r="D137" s="228">
        <f>'B) D RI'!AR138</f>
        <v>7653</v>
      </c>
      <c r="E137" s="229">
        <f>'B) D RI'!S138</f>
        <v>79</v>
      </c>
      <c r="F137" s="10">
        <f>'B) D RI'!R138</f>
        <v>13840322.883333331</v>
      </c>
      <c r="G137" s="10">
        <f>'B) D RI'!U138</f>
        <v>175193.96054852317</v>
      </c>
      <c r="H137" s="43">
        <f>'B) D RI'!T138</f>
        <v>12760611.499999996</v>
      </c>
      <c r="I137" s="10">
        <f t="shared" si="19"/>
        <v>323053.45569620247</v>
      </c>
      <c r="J137" s="33">
        <f t="shared" si="15"/>
        <v>659062.38765197492</v>
      </c>
      <c r="K137" s="10">
        <f t="shared" si="16"/>
        <v>0</v>
      </c>
      <c r="L137" s="10">
        <f t="shared" si="20"/>
        <v>659062.38765197492</v>
      </c>
      <c r="M137" s="10">
        <f>'D) Ecrêtage'!M136</f>
        <v>175193.96054852317</v>
      </c>
      <c r="N137" s="10">
        <f t="shared" si="17"/>
        <v>217513.13915243148</v>
      </c>
      <c r="O137" s="59">
        <f t="shared" si="18"/>
        <v>217513.13915243148</v>
      </c>
      <c r="P137" s="230"/>
      <c r="Q137" s="231"/>
      <c r="R137" s="227"/>
      <c r="S137" s="227"/>
      <c r="T137" s="232"/>
    </row>
    <row r="138" spans="1:20" s="226" customFormat="1" x14ac:dyDescent="0.25">
      <c r="A138" s="340">
        <f>'A) Base RI'!A139</f>
        <v>5628</v>
      </c>
      <c r="B138" s="239" t="str">
        <f>'A) Base RI'!B139</f>
        <v>Chigny</v>
      </c>
      <c r="C138" s="255">
        <v>0</v>
      </c>
      <c r="D138" s="228">
        <f>'B) D RI'!AR139</f>
        <v>338</v>
      </c>
      <c r="E138" s="229">
        <f>'B) D RI'!S139</f>
        <v>62</v>
      </c>
      <c r="F138" s="10">
        <f>'B) D RI'!R139</f>
        <v>1208649.58</v>
      </c>
      <c r="G138" s="10">
        <f>'B) D RI'!U139</f>
        <v>19494.348064516129</v>
      </c>
      <c r="H138" s="43">
        <f>'B) D RI'!T139</f>
        <v>1125522.3800000001</v>
      </c>
      <c r="I138" s="10">
        <f t="shared" si="19"/>
        <v>36307.173548387102</v>
      </c>
      <c r="J138" s="33">
        <f t="shared" si="15"/>
        <v>29107.942901655235</v>
      </c>
      <c r="K138" s="10">
        <f t="shared" si="16"/>
        <v>29107.942901655235</v>
      </c>
      <c r="L138" s="10">
        <f t="shared" si="20"/>
        <v>0</v>
      </c>
      <c r="M138" s="10">
        <f>'D) Ecrêtage'!M137</f>
        <v>19325.492137498935</v>
      </c>
      <c r="N138" s="10">
        <f t="shared" si="17"/>
        <v>23993.683614046597</v>
      </c>
      <c r="O138" s="59">
        <f t="shared" si="18"/>
        <v>53101.626515701835</v>
      </c>
      <c r="P138" s="230"/>
      <c r="Q138" s="231"/>
      <c r="R138" s="227"/>
      <c r="S138" s="227"/>
      <c r="T138" s="232"/>
    </row>
    <row r="139" spans="1:20" s="226" customFormat="1" x14ac:dyDescent="0.25">
      <c r="A139" s="340">
        <f>'A) Base RI'!A140</f>
        <v>5629</v>
      </c>
      <c r="B139" s="239" t="str">
        <f>'A) Base RI'!B140</f>
        <v>Clarmont</v>
      </c>
      <c r="C139" s="255">
        <v>0</v>
      </c>
      <c r="D139" s="228">
        <f>'B) D RI'!AR140</f>
        <v>189</v>
      </c>
      <c r="E139" s="229">
        <f>'B) D RI'!S140</f>
        <v>75</v>
      </c>
      <c r="F139" s="10">
        <f>'B) D RI'!R140</f>
        <v>563389.38</v>
      </c>
      <c r="G139" s="10">
        <f>'B) D RI'!U140</f>
        <v>7511.8584000000001</v>
      </c>
      <c r="H139" s="43">
        <f>'B) D RI'!T140</f>
        <v>525751.73</v>
      </c>
      <c r="I139" s="10">
        <f t="shared" si="19"/>
        <v>14020.046133333333</v>
      </c>
      <c r="J139" s="33">
        <f t="shared" si="15"/>
        <v>16276.334936132662</v>
      </c>
      <c r="K139" s="10">
        <f t="shared" si="16"/>
        <v>14020.046133333333</v>
      </c>
      <c r="L139" s="10">
        <f t="shared" si="20"/>
        <v>2256.2888027993286</v>
      </c>
      <c r="M139" s="10">
        <f>'D) Ecrêtage'!M138</f>
        <v>7511.8584000000001</v>
      </c>
      <c r="N139" s="10">
        <f t="shared" si="17"/>
        <v>9326.3939940441905</v>
      </c>
      <c r="O139" s="59">
        <f t="shared" si="18"/>
        <v>23346.440127377522</v>
      </c>
      <c r="P139" s="230"/>
      <c r="Q139" s="231"/>
      <c r="R139" s="227"/>
      <c r="S139" s="227"/>
      <c r="T139" s="232"/>
    </row>
    <row r="140" spans="1:20" s="226" customFormat="1" x14ac:dyDescent="0.25">
      <c r="A140" s="340">
        <f>'A) Base RI'!A141</f>
        <v>5631</v>
      </c>
      <c r="B140" s="239" t="str">
        <f>'A) Base RI'!B141</f>
        <v>Denens</v>
      </c>
      <c r="C140" s="255">
        <v>0</v>
      </c>
      <c r="D140" s="228">
        <f>'B) D RI'!AR141</f>
        <v>774</v>
      </c>
      <c r="E140" s="229">
        <f>'B) D RI'!S141</f>
        <v>70</v>
      </c>
      <c r="F140" s="10">
        <f>'B) D RI'!R141</f>
        <v>3180252.08</v>
      </c>
      <c r="G140" s="10">
        <f>'B) D RI'!U141</f>
        <v>45432.172571428571</v>
      </c>
      <c r="H140" s="43">
        <f>'B) D RI'!T141</f>
        <v>2987111.5300000003</v>
      </c>
      <c r="I140" s="10">
        <f t="shared" si="19"/>
        <v>85346.043714285726</v>
      </c>
      <c r="J140" s="33">
        <f t="shared" si="15"/>
        <v>66655.466881305183</v>
      </c>
      <c r="K140" s="10">
        <f t="shared" si="16"/>
        <v>66655.466881305183</v>
      </c>
      <c r="L140" s="10">
        <f t="shared" si="20"/>
        <v>0</v>
      </c>
      <c r="M140" s="10">
        <f>'D) Ecrêtage'!M139</f>
        <v>44860.345540429065</v>
      </c>
      <c r="N140" s="10">
        <f t="shared" si="17"/>
        <v>55696.63789442632</v>
      </c>
      <c r="O140" s="59">
        <f t="shared" si="18"/>
        <v>122352.10477573151</v>
      </c>
      <c r="P140" s="230"/>
      <c r="Q140" s="231"/>
      <c r="R140" s="227"/>
      <c r="S140" s="227"/>
      <c r="T140" s="232"/>
    </row>
    <row r="141" spans="1:20" s="226" customFormat="1" x14ac:dyDescent="0.25">
      <c r="A141" s="340">
        <f>'A) Base RI'!A142</f>
        <v>5632</v>
      </c>
      <c r="B141" s="239" t="str">
        <f>'A) Base RI'!B142</f>
        <v>Denges</v>
      </c>
      <c r="C141" s="255">
        <v>0</v>
      </c>
      <c r="D141" s="228">
        <f>'B) D RI'!AR142</f>
        <v>1614</v>
      </c>
      <c r="E141" s="229">
        <f>'B) D RI'!S142</f>
        <v>62</v>
      </c>
      <c r="F141" s="10">
        <f>'B) D RI'!R142</f>
        <v>4209489.4300000006</v>
      </c>
      <c r="G141" s="10">
        <f>'B) D RI'!U142</f>
        <v>67894.99080645162</v>
      </c>
      <c r="H141" s="43">
        <f>'B) D RI'!T142</f>
        <v>3863470.2300000004</v>
      </c>
      <c r="I141" s="10">
        <f t="shared" si="19"/>
        <v>124628.07193548388</v>
      </c>
      <c r="J141" s="33">
        <f t="shared" si="15"/>
        <v>138994.73326411701</v>
      </c>
      <c r="K141" s="10">
        <f t="shared" si="16"/>
        <v>124628.07193548388</v>
      </c>
      <c r="L141" s="10">
        <f t="shared" si="20"/>
        <v>14366.661328633127</v>
      </c>
      <c r="M141" s="10">
        <f>'D) Ecrêtage'!M140</f>
        <v>67894.99080645162</v>
      </c>
      <c r="N141" s="10">
        <f t="shared" si="17"/>
        <v>84295.443386283194</v>
      </c>
      <c r="O141" s="59">
        <f t="shared" si="18"/>
        <v>208923.51532176707</v>
      </c>
      <c r="P141" s="230"/>
      <c r="Q141" s="231"/>
      <c r="R141" s="227"/>
      <c r="S141" s="227"/>
      <c r="T141" s="232"/>
    </row>
    <row r="142" spans="1:20" s="226" customFormat="1" x14ac:dyDescent="0.25">
      <c r="A142" s="340">
        <f>'A) Base RI'!A143</f>
        <v>5633</v>
      </c>
      <c r="B142" s="239" t="str">
        <f>'A) Base RI'!B143</f>
        <v>Echandens</v>
      </c>
      <c r="C142" s="255">
        <v>0</v>
      </c>
      <c r="D142" s="228">
        <f>'B) D RI'!AR143</f>
        <v>2757</v>
      </c>
      <c r="E142" s="229">
        <f>'B) D RI'!S143</f>
        <v>62</v>
      </c>
      <c r="F142" s="10">
        <f>'B) D RI'!R143</f>
        <v>8177172.1699999999</v>
      </c>
      <c r="G142" s="10">
        <f>'B) D RI'!U143</f>
        <v>131889.87370967743</v>
      </c>
      <c r="H142" s="43">
        <f>'B) D RI'!T143</f>
        <v>7558643.0200000005</v>
      </c>
      <c r="I142" s="10">
        <f t="shared" si="19"/>
        <v>243827.19419354841</v>
      </c>
      <c r="J142" s="33">
        <f t="shared" si="15"/>
        <v>237427.80644930026</v>
      </c>
      <c r="K142" s="10">
        <f t="shared" si="16"/>
        <v>237427.80644930026</v>
      </c>
      <c r="L142" s="10">
        <f t="shared" si="20"/>
        <v>0</v>
      </c>
      <c r="M142" s="10">
        <f>'D) Ecrêtage'!M141</f>
        <v>131889.87370967743</v>
      </c>
      <c r="N142" s="10">
        <f t="shared" si="17"/>
        <v>163748.68381986304</v>
      </c>
      <c r="O142" s="59">
        <f t="shared" si="18"/>
        <v>401176.49026916327</v>
      </c>
      <c r="P142" s="230"/>
      <c r="Q142" s="231"/>
      <c r="R142" s="227"/>
      <c r="S142" s="227"/>
      <c r="T142" s="232"/>
    </row>
    <row r="143" spans="1:20" s="226" customFormat="1" x14ac:dyDescent="0.25">
      <c r="A143" s="340">
        <f>'A) Base RI'!A144</f>
        <v>5634</v>
      </c>
      <c r="B143" s="239" t="str">
        <f>'A) Base RI'!B144</f>
        <v>Echichens</v>
      </c>
      <c r="C143" s="255">
        <v>0</v>
      </c>
      <c r="D143" s="228">
        <f>'B) D RI'!AR144</f>
        <v>2712</v>
      </c>
      <c r="E143" s="229">
        <f>'B) D RI'!S144</f>
        <v>68</v>
      </c>
      <c r="F143" s="10">
        <f>'B) D RI'!R144</f>
        <v>8647411.6699999981</v>
      </c>
      <c r="G143" s="10">
        <f>'B) D RI'!U144</f>
        <v>127167.81867647056</v>
      </c>
      <c r="H143" s="43">
        <f>'B) D RI'!T144</f>
        <v>8061997.8699999982</v>
      </c>
      <c r="I143" s="10">
        <f t="shared" si="19"/>
        <v>237117.58441176466</v>
      </c>
      <c r="J143" s="33">
        <f t="shared" si="15"/>
        <v>233552.48860736392</v>
      </c>
      <c r="K143" s="10">
        <f t="shared" si="16"/>
        <v>233552.48860736392</v>
      </c>
      <c r="L143" s="10">
        <f t="shared" si="20"/>
        <v>0</v>
      </c>
      <c r="M143" s="10">
        <f>'D) Ecrêtage'!M142</f>
        <v>127167.81867647056</v>
      </c>
      <c r="N143" s="10">
        <f t="shared" si="17"/>
        <v>157885.98735300117</v>
      </c>
      <c r="O143" s="59">
        <f t="shared" si="18"/>
        <v>391438.47596036509</v>
      </c>
      <c r="P143" s="230"/>
      <c r="Q143" s="231"/>
      <c r="R143" s="227"/>
      <c r="S143" s="227"/>
      <c r="T143" s="232"/>
    </row>
    <row r="144" spans="1:20" s="226" customFormat="1" x14ac:dyDescent="0.25">
      <c r="A144" s="340">
        <f>'A) Base RI'!A145</f>
        <v>5635</v>
      </c>
      <c r="B144" s="239" t="str">
        <f>'A) Base RI'!B145</f>
        <v>Ecublens</v>
      </c>
      <c r="C144" s="255">
        <v>1</v>
      </c>
      <c r="D144" s="228">
        <f>'B) D RI'!AR145</f>
        <v>12560</v>
      </c>
      <c r="E144" s="229">
        <f>'B) D RI'!S145</f>
        <v>62</v>
      </c>
      <c r="F144" s="10">
        <f>'B) D RI'!R145</f>
        <v>28145147.521578949</v>
      </c>
      <c r="G144" s="10">
        <f>'B) D RI'!U145</f>
        <v>453953.99228353141</v>
      </c>
      <c r="H144" s="43">
        <f>'B) D RI'!T145</f>
        <v>25564590.59</v>
      </c>
      <c r="I144" s="10">
        <f t="shared" si="19"/>
        <v>824664.21258064511</v>
      </c>
      <c r="J144" s="33">
        <f t="shared" si="15"/>
        <v>1081644.2687715674</v>
      </c>
      <c r="K144" s="10">
        <f t="shared" si="16"/>
        <v>0</v>
      </c>
      <c r="L144" s="10">
        <f t="shared" si="20"/>
        <v>1081644.2687715674</v>
      </c>
      <c r="M144" s="10">
        <f>'D) Ecrêtage'!M143</f>
        <v>453953.99228353141</v>
      </c>
      <c r="N144" s="10">
        <f t="shared" si="17"/>
        <v>563609.37091219798</v>
      </c>
      <c r="O144" s="59">
        <f t="shared" si="18"/>
        <v>563609.37091219798</v>
      </c>
      <c r="P144" s="230"/>
      <c r="Q144" s="231"/>
      <c r="R144" s="227"/>
      <c r="S144" s="227"/>
      <c r="T144" s="232"/>
    </row>
    <row r="145" spans="1:20" s="226" customFormat="1" x14ac:dyDescent="0.25">
      <c r="A145" s="340">
        <f>'A) Base RI'!A146</f>
        <v>5636</v>
      </c>
      <c r="B145" s="239" t="str">
        <f>'A) Base RI'!B146</f>
        <v>Etoy</v>
      </c>
      <c r="C145" s="255">
        <v>0</v>
      </c>
      <c r="D145" s="228">
        <f>'B) D RI'!AR146</f>
        <v>2908</v>
      </c>
      <c r="E145" s="229">
        <f>'B) D RI'!S146</f>
        <v>61</v>
      </c>
      <c r="F145" s="10">
        <f>'B) D RI'!R146</f>
        <v>9595507.7100000009</v>
      </c>
      <c r="G145" s="10">
        <f>'B) D RI'!U146</f>
        <v>157303.40508196724</v>
      </c>
      <c r="H145" s="43">
        <f>'B) D RI'!T146</f>
        <v>8526883.0600000005</v>
      </c>
      <c r="I145" s="10">
        <f t="shared" si="19"/>
        <v>279569.93639344262</v>
      </c>
      <c r="J145" s="33">
        <f t="shared" si="15"/>
        <v>250431.65076335333</v>
      </c>
      <c r="K145" s="10">
        <f t="shared" si="16"/>
        <v>250431.65076335333</v>
      </c>
      <c r="L145" s="10">
        <f t="shared" si="20"/>
        <v>0</v>
      </c>
      <c r="M145" s="10">
        <f>'D) Ecrêtage'!M144</f>
        <v>157303.40508196724</v>
      </c>
      <c r="N145" s="10">
        <f t="shared" si="17"/>
        <v>195301.00998697733</v>
      </c>
      <c r="O145" s="59">
        <f t="shared" si="18"/>
        <v>445732.66075033066</v>
      </c>
      <c r="P145" s="230"/>
      <c r="Q145" s="231"/>
      <c r="R145" s="227"/>
      <c r="S145" s="227"/>
      <c r="T145" s="232"/>
    </row>
    <row r="146" spans="1:20" s="226" customFormat="1" x14ac:dyDescent="0.25">
      <c r="A146" s="340">
        <f>'A) Base RI'!A147</f>
        <v>5637</v>
      </c>
      <c r="B146" s="239" t="str">
        <f>'A) Base RI'!B147</f>
        <v>Lavigny</v>
      </c>
      <c r="C146" s="255">
        <v>0</v>
      </c>
      <c r="D146" s="228">
        <f>'B) D RI'!AR147</f>
        <v>1007</v>
      </c>
      <c r="E146" s="229">
        <f>'B) D RI'!S147</f>
        <v>74.5</v>
      </c>
      <c r="F146" s="10">
        <f>'B) D RI'!R147</f>
        <v>2701337.3733333331</v>
      </c>
      <c r="G146" s="10">
        <f>'B) D RI'!U147</f>
        <v>36259.562058165546</v>
      </c>
      <c r="H146" s="43">
        <f>'B) D RI'!T147</f>
        <v>2510557.5399999996</v>
      </c>
      <c r="I146" s="10">
        <f t="shared" si="19"/>
        <v>67397.517852348989</v>
      </c>
      <c r="J146" s="33">
        <f t="shared" si="15"/>
        <v>86721.001485108951</v>
      </c>
      <c r="K146" s="10">
        <f t="shared" si="16"/>
        <v>67397.517852348989</v>
      </c>
      <c r="L146" s="10">
        <f t="shared" si="20"/>
        <v>19323.483632759962</v>
      </c>
      <c r="M146" s="10">
        <f>'D) Ecrêtage'!M145</f>
        <v>36259.562058165546</v>
      </c>
      <c r="N146" s="10">
        <f t="shared" si="17"/>
        <v>45018.282267667309</v>
      </c>
      <c r="O146" s="59">
        <f t="shared" si="18"/>
        <v>112415.8001200163</v>
      </c>
      <c r="P146" s="230"/>
      <c r="Q146" s="231"/>
      <c r="R146" s="227"/>
      <c r="S146" s="227"/>
      <c r="T146" s="232"/>
    </row>
    <row r="147" spans="1:20" s="226" customFormat="1" x14ac:dyDescent="0.25">
      <c r="A147" s="340">
        <f>'A) Base RI'!A148</f>
        <v>5638</v>
      </c>
      <c r="B147" s="239" t="str">
        <f>'A) Base RI'!B148</f>
        <v>Lonay</v>
      </c>
      <c r="C147" s="255">
        <v>0</v>
      </c>
      <c r="D147" s="228">
        <f>'B) D RI'!AR148</f>
        <v>2492</v>
      </c>
      <c r="E147" s="229">
        <f>'B) D RI'!S148</f>
        <v>55</v>
      </c>
      <c r="F147" s="10">
        <f>'B) D RI'!R148</f>
        <v>8467868.7899999991</v>
      </c>
      <c r="G147" s="10">
        <f>'B) D RI'!U148</f>
        <v>153961.25072727271</v>
      </c>
      <c r="H147" s="43">
        <f>'B) D RI'!T148</f>
        <v>7798097.9899999993</v>
      </c>
      <c r="I147" s="10">
        <f t="shared" si="19"/>
        <v>283567.1996363636</v>
      </c>
      <c r="J147" s="33">
        <f t="shared" si="15"/>
        <v>214606.49026900844</v>
      </c>
      <c r="K147" s="10">
        <f t="shared" si="16"/>
        <v>214606.49026900844</v>
      </c>
      <c r="L147" s="10">
        <f t="shared" si="20"/>
        <v>0</v>
      </c>
      <c r="M147" s="10">
        <f>'D) Ecrêtage'!M146</f>
        <v>150321.62938264804</v>
      </c>
      <c r="N147" s="10">
        <f t="shared" si="17"/>
        <v>186632.74342994342</v>
      </c>
      <c r="O147" s="59">
        <f t="shared" si="18"/>
        <v>401239.2336989519</v>
      </c>
      <c r="P147" s="230"/>
      <c r="Q147" s="231"/>
      <c r="R147" s="227"/>
      <c r="S147" s="227"/>
      <c r="T147" s="232"/>
    </row>
    <row r="148" spans="1:20" s="226" customFormat="1" x14ac:dyDescent="0.25">
      <c r="A148" s="340">
        <f>'A) Base RI'!A149</f>
        <v>5639</v>
      </c>
      <c r="B148" s="239" t="str">
        <f>'A) Base RI'!B149</f>
        <v>Lully</v>
      </c>
      <c r="C148" s="255">
        <v>0</v>
      </c>
      <c r="D148" s="228">
        <f>'B) D RI'!AR149</f>
        <v>795</v>
      </c>
      <c r="E148" s="229">
        <f>'B) D RI'!S149</f>
        <v>61</v>
      </c>
      <c r="F148" s="10">
        <f>'B) D RI'!R149</f>
        <v>3156936.17</v>
      </c>
      <c r="G148" s="10">
        <f>'B) D RI'!U149</f>
        <v>51753.051967213112</v>
      </c>
      <c r="H148" s="43">
        <f>'B) D RI'!T149</f>
        <v>2967741.1999999997</v>
      </c>
      <c r="I148" s="10">
        <f t="shared" si="19"/>
        <v>97302.990163934417</v>
      </c>
      <c r="J148" s="33">
        <f t="shared" si="15"/>
        <v>68463.948540875484</v>
      </c>
      <c r="K148" s="10">
        <f t="shared" si="16"/>
        <v>68463.948540875484</v>
      </c>
      <c r="L148" s="10">
        <f t="shared" si="20"/>
        <v>0</v>
      </c>
      <c r="M148" s="10">
        <f>'D) Ecrêtage'!M147</f>
        <v>49975.06593843337</v>
      </c>
      <c r="N148" s="10">
        <f t="shared" si="17"/>
        <v>62046.850459823276</v>
      </c>
      <c r="O148" s="59">
        <f t="shared" si="18"/>
        <v>130510.79900069875</v>
      </c>
      <c r="P148" s="230"/>
      <c r="Q148" s="231"/>
      <c r="R148" s="227"/>
      <c r="S148" s="227"/>
      <c r="T148" s="232"/>
    </row>
    <row r="149" spans="1:20" s="226" customFormat="1" x14ac:dyDescent="0.25">
      <c r="A149" s="340">
        <f>'A) Base RI'!A150</f>
        <v>5640</v>
      </c>
      <c r="B149" s="239" t="str">
        <f>'A) Base RI'!B150</f>
        <v>Lussy-sur-Morges</v>
      </c>
      <c r="C149" s="255">
        <v>1</v>
      </c>
      <c r="D149" s="228">
        <f>'B) D RI'!AR150</f>
        <v>667</v>
      </c>
      <c r="E149" s="229">
        <f>'B) D RI'!S150</f>
        <v>66</v>
      </c>
      <c r="F149" s="10">
        <f>'B) D RI'!R150</f>
        <v>3669362.39</v>
      </c>
      <c r="G149" s="10">
        <f>'B) D RI'!U150</f>
        <v>55596.399848484849</v>
      </c>
      <c r="H149" s="43">
        <f>'B) D RI'!T150</f>
        <v>3488956.5900000003</v>
      </c>
      <c r="I149" s="10">
        <f t="shared" si="19"/>
        <v>105725.95727272728</v>
      </c>
      <c r="J149" s="33">
        <f t="shared" si="15"/>
        <v>57440.822234923202</v>
      </c>
      <c r="K149" s="10">
        <f t="shared" si="16"/>
        <v>0</v>
      </c>
      <c r="L149" s="10">
        <f t="shared" si="20"/>
        <v>57440.822234923202</v>
      </c>
      <c r="M149" s="10">
        <f>'D) Ecrêtage'!M148</f>
        <v>50651.70710935448</v>
      </c>
      <c r="N149" s="10">
        <f t="shared" si="17"/>
        <v>62886.938466887106</v>
      </c>
      <c r="O149" s="59">
        <f t="shared" si="18"/>
        <v>62886.938466887106</v>
      </c>
      <c r="P149" s="230"/>
      <c r="Q149" s="231"/>
      <c r="R149" s="227"/>
      <c r="S149" s="227"/>
      <c r="T149" s="232"/>
    </row>
    <row r="150" spans="1:20" s="226" customFormat="1" x14ac:dyDescent="0.25">
      <c r="A150" s="340">
        <f>'A) Base RI'!A151</f>
        <v>5642</v>
      </c>
      <c r="B150" s="239" t="str">
        <f>'A) Base RI'!B151</f>
        <v>Morges</v>
      </c>
      <c r="C150" s="255">
        <v>1</v>
      </c>
      <c r="D150" s="228">
        <f>'B) D RI'!AR151</f>
        <v>15839</v>
      </c>
      <c r="E150" s="229">
        <f>'B) D RI'!S151</f>
        <v>68.5</v>
      </c>
      <c r="F150" s="10">
        <f>'B) D RI'!R151</f>
        <v>53292213.479999989</v>
      </c>
      <c r="G150" s="10">
        <f>'B) D RI'!U151</f>
        <v>777988.51795620425</v>
      </c>
      <c r="H150" s="43">
        <f>'B) D RI'!T151</f>
        <v>49855722.429999992</v>
      </c>
      <c r="I150" s="10">
        <f t="shared" si="19"/>
        <v>1455641.5308029195</v>
      </c>
      <c r="J150" s="33">
        <f t="shared" si="15"/>
        <v>1364025.7621873294</v>
      </c>
      <c r="K150" s="10">
        <f t="shared" si="16"/>
        <v>0</v>
      </c>
      <c r="L150" s="10">
        <f t="shared" si="20"/>
        <v>1364025.7621873294</v>
      </c>
      <c r="M150" s="10">
        <f>'D) Ecrêtage'!M149</f>
        <v>777988.51795620425</v>
      </c>
      <c r="N150" s="10">
        <f t="shared" si="17"/>
        <v>965916.42905596888</v>
      </c>
      <c r="O150" s="59">
        <f t="shared" si="18"/>
        <v>965916.42905596888</v>
      </c>
      <c r="P150" s="230"/>
      <c r="Q150" s="231"/>
      <c r="R150" s="227"/>
      <c r="S150" s="227"/>
      <c r="T150" s="232"/>
    </row>
    <row r="151" spans="1:20" s="226" customFormat="1" x14ac:dyDescent="0.25">
      <c r="A151" s="340">
        <f>'A) Base RI'!A152</f>
        <v>5643</v>
      </c>
      <c r="B151" s="239" t="str">
        <f>'A) Base RI'!B152</f>
        <v>Préverenges</v>
      </c>
      <c r="C151" s="255">
        <v>1</v>
      </c>
      <c r="D151" s="228">
        <f>'B) D RI'!AR152</f>
        <v>5291</v>
      </c>
      <c r="E151" s="229">
        <f>'B) D RI'!S152</f>
        <v>64</v>
      </c>
      <c r="F151" s="10">
        <f>'B) D RI'!R152</f>
        <v>16943110.209999997</v>
      </c>
      <c r="G151" s="10">
        <f>'B) D RI'!U152</f>
        <v>264736.09703124996</v>
      </c>
      <c r="H151" s="43">
        <f>'B) D RI'!T152</f>
        <v>15764906.409999996</v>
      </c>
      <c r="I151" s="10">
        <f t="shared" si="19"/>
        <v>492653.32531249989</v>
      </c>
      <c r="J151" s="33">
        <f t="shared" si="15"/>
        <v>455651.2600374493</v>
      </c>
      <c r="K151" s="10">
        <f t="shared" si="16"/>
        <v>0</v>
      </c>
      <c r="L151" s="10">
        <f t="shared" si="20"/>
        <v>455651.2600374493</v>
      </c>
      <c r="M151" s="10">
        <f>'D) Ecrêtage'!M150</f>
        <v>264736.09703124996</v>
      </c>
      <c r="N151" s="10">
        <f t="shared" si="17"/>
        <v>328684.72938187298</v>
      </c>
      <c r="O151" s="59">
        <f t="shared" si="18"/>
        <v>328684.72938187298</v>
      </c>
      <c r="P151" s="230"/>
      <c r="Q151" s="231"/>
      <c r="R151" s="227"/>
      <c r="S151" s="227"/>
      <c r="T151" s="232"/>
    </row>
    <row r="152" spans="1:20" s="226" customFormat="1" x14ac:dyDescent="0.25">
      <c r="A152" s="340">
        <f>'A) Base RI'!A153</f>
        <v>5644</v>
      </c>
      <c r="B152" s="239" t="str">
        <f>'A) Base RI'!B153</f>
        <v>Reverolle</v>
      </c>
      <c r="C152" s="255">
        <v>0</v>
      </c>
      <c r="D152" s="228">
        <f>'B) D RI'!AR153</f>
        <v>382</v>
      </c>
      <c r="E152" s="229">
        <f>'B) D RI'!S153</f>
        <v>76</v>
      </c>
      <c r="F152" s="10">
        <f>'B) D RI'!R153</f>
        <v>1150445.6099999999</v>
      </c>
      <c r="G152" s="10">
        <f>'B) D RI'!U153</f>
        <v>15137.442236842104</v>
      </c>
      <c r="H152" s="43">
        <f>'B) D RI'!T153</f>
        <v>1078215.1599999999</v>
      </c>
      <c r="I152" s="10">
        <f t="shared" si="19"/>
        <v>28374.083157894736</v>
      </c>
      <c r="J152" s="33">
        <f t="shared" si="15"/>
        <v>32897.14256932633</v>
      </c>
      <c r="K152" s="10">
        <f t="shared" si="16"/>
        <v>28374.083157894736</v>
      </c>
      <c r="L152" s="10">
        <f t="shared" si="20"/>
        <v>4523.0594114315936</v>
      </c>
      <c r="M152" s="10">
        <f>'D) Ecrêtage'!M151</f>
        <v>15137.442236842104</v>
      </c>
      <c r="N152" s="10">
        <f t="shared" si="17"/>
        <v>18793.984503604999</v>
      </c>
      <c r="O152" s="59">
        <f t="shared" si="18"/>
        <v>47168.067661499736</v>
      </c>
      <c r="P152" s="230"/>
      <c r="Q152" s="231"/>
      <c r="R152" s="227"/>
      <c r="S152" s="227"/>
      <c r="T152" s="232"/>
    </row>
    <row r="153" spans="1:20" s="226" customFormat="1" x14ac:dyDescent="0.25">
      <c r="A153" s="340">
        <f>'A) Base RI'!A154</f>
        <v>5645</v>
      </c>
      <c r="B153" s="239" t="str">
        <f>'A) Base RI'!B154</f>
        <v>Romanel-sur-Morges</v>
      </c>
      <c r="C153" s="255">
        <v>0</v>
      </c>
      <c r="D153" s="228">
        <f>'B) D RI'!AR154</f>
        <v>470</v>
      </c>
      <c r="E153" s="229">
        <f>'B) D RI'!S154</f>
        <v>56</v>
      </c>
      <c r="F153" s="10">
        <f>'B) D RI'!R154</f>
        <v>1508352.1675000002</v>
      </c>
      <c r="G153" s="10">
        <f>'B) D RI'!U154</f>
        <v>26934.860133928574</v>
      </c>
      <c r="H153" s="43">
        <f>'B) D RI'!T154</f>
        <v>1357618.8800000001</v>
      </c>
      <c r="I153" s="10">
        <f t="shared" si="19"/>
        <v>48486.388571428579</v>
      </c>
      <c r="J153" s="33">
        <f t="shared" si="15"/>
        <v>40475.541904668527</v>
      </c>
      <c r="K153" s="10">
        <f t="shared" si="16"/>
        <v>40475.541904668527</v>
      </c>
      <c r="L153" s="10">
        <f t="shared" si="20"/>
        <v>0</v>
      </c>
      <c r="M153" s="10">
        <f>'D) Ecrêtage'!M152</f>
        <v>26740.464147907049</v>
      </c>
      <c r="N153" s="10">
        <f t="shared" si="17"/>
        <v>33199.787715246908</v>
      </c>
      <c r="O153" s="59">
        <f t="shared" si="18"/>
        <v>73675.329619915428</v>
      </c>
      <c r="P153" s="230"/>
      <c r="Q153" s="231"/>
      <c r="R153" s="227"/>
      <c r="S153" s="227"/>
      <c r="T153" s="232"/>
    </row>
    <row r="154" spans="1:20" s="226" customFormat="1" x14ac:dyDescent="0.25">
      <c r="A154" s="340">
        <f>'A) Base RI'!A155</f>
        <v>5646</v>
      </c>
      <c r="B154" s="239" t="str">
        <f>'A) Base RI'!B155</f>
        <v>Saint-Prex</v>
      </c>
      <c r="C154" s="255">
        <v>1</v>
      </c>
      <c r="D154" s="228">
        <f>'B) D RI'!AR155</f>
        <v>5695</v>
      </c>
      <c r="E154" s="229">
        <f>'B) D RI'!S155</f>
        <v>55</v>
      </c>
      <c r="F154" s="10">
        <f>'B) D RI'!R155</f>
        <v>21238407.589999996</v>
      </c>
      <c r="G154" s="10">
        <f>'B) D RI'!U155</f>
        <v>386152.86527272721</v>
      </c>
      <c r="H154" s="43">
        <f>'B) D RI'!T155</f>
        <v>19606664.739999998</v>
      </c>
      <c r="I154" s="10">
        <f t="shared" si="19"/>
        <v>712969.6269090909</v>
      </c>
      <c r="J154" s="33">
        <f t="shared" si="15"/>
        <v>490443.00244061113</v>
      </c>
      <c r="K154" s="10">
        <f t="shared" si="16"/>
        <v>0</v>
      </c>
      <c r="L154" s="10">
        <f t="shared" si="20"/>
        <v>490443.00244061113</v>
      </c>
      <c r="M154" s="10">
        <f>'D) Ecrêtage'!M153</f>
        <v>369808.23845823808</v>
      </c>
      <c r="N154" s="10">
        <f t="shared" si="17"/>
        <v>459137.69275855535</v>
      </c>
      <c r="O154" s="59">
        <f t="shared" si="18"/>
        <v>459137.69275855535</v>
      </c>
      <c r="P154" s="230"/>
      <c r="Q154" s="231"/>
      <c r="R154" s="227"/>
      <c r="S154" s="227"/>
      <c r="T154" s="232"/>
    </row>
    <row r="155" spans="1:20" s="226" customFormat="1" x14ac:dyDescent="0.25">
      <c r="A155" s="340">
        <f>'A) Base RI'!A156</f>
        <v>5648</v>
      </c>
      <c r="B155" s="239" t="str">
        <f>'A) Base RI'!B156</f>
        <v>Saint-Sulpice</v>
      </c>
      <c r="C155" s="255">
        <v>1</v>
      </c>
      <c r="D155" s="228">
        <f>'B) D RI'!AR156</f>
        <v>4524</v>
      </c>
      <c r="E155" s="229">
        <f>'B) D RI'!S156</f>
        <v>55</v>
      </c>
      <c r="F155" s="10">
        <f>'B) D RI'!R156</f>
        <v>20006628.310000002</v>
      </c>
      <c r="G155" s="10">
        <f>'B) D RI'!U156</f>
        <v>363756.87836363638</v>
      </c>
      <c r="H155" s="43">
        <f>'B) D RI'!T156</f>
        <v>18605840.760000002</v>
      </c>
      <c r="I155" s="10">
        <f t="shared" si="19"/>
        <v>676576.02763636375</v>
      </c>
      <c r="J155" s="33">
        <f t="shared" si="15"/>
        <v>389598.62037600088</v>
      </c>
      <c r="K155" s="10">
        <f t="shared" si="16"/>
        <v>0</v>
      </c>
      <c r="L155" s="10">
        <f t="shared" si="20"/>
        <v>389598.62037600088</v>
      </c>
      <c r="M155" s="10">
        <f>'D) Ecrêtage'!M154</f>
        <v>334205.15465588256</v>
      </c>
      <c r="N155" s="10">
        <f t="shared" si="17"/>
        <v>414934.46510669484</v>
      </c>
      <c r="O155" s="59">
        <f t="shared" si="18"/>
        <v>414934.46510669484</v>
      </c>
      <c r="P155" s="230"/>
      <c r="Q155" s="231"/>
      <c r="R155" s="227"/>
      <c r="S155" s="227"/>
      <c r="T155" s="232"/>
    </row>
    <row r="156" spans="1:20" s="226" customFormat="1" x14ac:dyDescent="0.25">
      <c r="A156" s="340">
        <f>'A) Base RI'!A157</f>
        <v>5649</v>
      </c>
      <c r="B156" s="239" t="str">
        <f>'A) Base RI'!B157</f>
        <v>Tolochenaz</v>
      </c>
      <c r="C156" s="255">
        <v>1</v>
      </c>
      <c r="D156" s="228">
        <f>'B) D RI'!AR157</f>
        <v>1883</v>
      </c>
      <c r="E156" s="229">
        <f>'B) D RI'!S157</f>
        <v>65</v>
      </c>
      <c r="F156" s="10">
        <f>'B) D RI'!R157</f>
        <v>15488529.069999998</v>
      </c>
      <c r="G156" s="10">
        <f>'B) D RI'!U157</f>
        <v>238285.06261538458</v>
      </c>
      <c r="H156" s="43">
        <f>'B) D RI'!T157</f>
        <v>14884842.77</v>
      </c>
      <c r="I156" s="10">
        <f t="shared" si="19"/>
        <v>457995.16215384612</v>
      </c>
      <c r="J156" s="33">
        <f t="shared" si="15"/>
        <v>162160.52214146985</v>
      </c>
      <c r="K156" s="10">
        <f t="shared" si="16"/>
        <v>0</v>
      </c>
      <c r="L156" s="10">
        <f t="shared" si="20"/>
        <v>162160.52214146985</v>
      </c>
      <c r="M156" s="10">
        <f>'D) Ecrêtage'!M155</f>
        <v>195848.93852904905</v>
      </c>
      <c r="N156" s="10">
        <f t="shared" si="17"/>
        <v>243157.45409115442</v>
      </c>
      <c r="O156" s="59">
        <f t="shared" si="18"/>
        <v>243157.45409115442</v>
      </c>
      <c r="P156" s="230"/>
      <c r="Q156" s="231"/>
      <c r="R156" s="227"/>
      <c r="S156" s="227"/>
      <c r="T156" s="232"/>
    </row>
    <row r="157" spans="1:20" s="226" customFormat="1" x14ac:dyDescent="0.25">
      <c r="A157" s="340">
        <f>'A) Base RI'!A158</f>
        <v>5650</v>
      </c>
      <c r="B157" s="239" t="str">
        <f>'A) Base RI'!B158</f>
        <v>Vaux-sur-Morges</v>
      </c>
      <c r="C157" s="255">
        <v>0</v>
      </c>
      <c r="D157" s="228">
        <f>'B) D RI'!AR158</f>
        <v>199</v>
      </c>
      <c r="E157" s="229">
        <f>'B) D RI'!S158</f>
        <v>56</v>
      </c>
      <c r="F157" s="10">
        <f>'B) D RI'!R158</f>
        <v>9507928.5800000019</v>
      </c>
      <c r="G157" s="10">
        <f>'B) D RI'!U158</f>
        <v>169784.43892857147</v>
      </c>
      <c r="H157" s="43">
        <f>'B) D RI'!T158</f>
        <v>9464321.620000001</v>
      </c>
      <c r="I157" s="10">
        <f t="shared" si="19"/>
        <v>338011.48642857146</v>
      </c>
      <c r="J157" s="33">
        <f t="shared" si="15"/>
        <v>17137.516678785185</v>
      </c>
      <c r="K157" s="10">
        <f t="shared" si="16"/>
        <v>17137.516678785185</v>
      </c>
      <c r="L157" s="10">
        <f t="shared" si="20"/>
        <v>0</v>
      </c>
      <c r="M157" s="10">
        <f>'D) Ecrêtage'!M156</f>
        <v>103424.65367092534</v>
      </c>
      <c r="N157" s="10">
        <f t="shared" si="17"/>
        <v>128407.51482118173</v>
      </c>
      <c r="O157" s="59">
        <f t="shared" si="18"/>
        <v>145545.03149996692</v>
      </c>
      <c r="P157" s="230"/>
      <c r="Q157" s="231"/>
      <c r="R157" s="227"/>
      <c r="S157" s="227"/>
      <c r="T157" s="232"/>
    </row>
    <row r="158" spans="1:20" s="226" customFormat="1" x14ac:dyDescent="0.25">
      <c r="A158" s="340">
        <f>'A) Base RI'!A159</f>
        <v>5651</v>
      </c>
      <c r="B158" s="239" t="str">
        <f>'A) Base RI'!B159</f>
        <v>Villars-Sainte-Croix</v>
      </c>
      <c r="C158" s="255">
        <v>1</v>
      </c>
      <c r="D158" s="228">
        <f>'B) D RI'!AR159</f>
        <v>935</v>
      </c>
      <c r="E158" s="229">
        <f>'B) D RI'!S159</f>
        <v>59</v>
      </c>
      <c r="F158" s="10">
        <f>'B) D RI'!R159</f>
        <v>3136448.9899999998</v>
      </c>
      <c r="G158" s="10">
        <f>'B) D RI'!U159</f>
        <v>53160.152372881355</v>
      </c>
      <c r="H158" s="43">
        <f>'B) D RI'!T159</f>
        <v>2853322.8899999997</v>
      </c>
      <c r="I158" s="10">
        <f t="shared" si="19"/>
        <v>96722.809830508457</v>
      </c>
      <c r="J158" s="33">
        <f t="shared" si="15"/>
        <v>80520.492938010793</v>
      </c>
      <c r="K158" s="10">
        <f t="shared" si="16"/>
        <v>0</v>
      </c>
      <c r="L158" s="10">
        <f t="shared" si="20"/>
        <v>80520.492938010793</v>
      </c>
      <c r="M158" s="10">
        <f>'D) Ecrêtage'!M157</f>
        <v>52872.416721397552</v>
      </c>
      <c r="N158" s="10">
        <f t="shared" si="17"/>
        <v>65644.074142963567</v>
      </c>
      <c r="O158" s="59">
        <f t="shared" si="18"/>
        <v>65644.074142963567</v>
      </c>
      <c r="P158" s="230"/>
      <c r="Q158" s="231"/>
      <c r="R158" s="227"/>
      <c r="S158" s="227"/>
      <c r="T158" s="232"/>
    </row>
    <row r="159" spans="1:20" s="226" customFormat="1" x14ac:dyDescent="0.25">
      <c r="A159" s="340">
        <f>'A) Base RI'!A160</f>
        <v>5652</v>
      </c>
      <c r="B159" s="239" t="str">
        <f>'A) Base RI'!B160</f>
        <v>Villars-sous-Yens</v>
      </c>
      <c r="C159" s="255">
        <v>0</v>
      </c>
      <c r="D159" s="228">
        <f>'B) D RI'!AR160</f>
        <v>614</v>
      </c>
      <c r="E159" s="229">
        <f>'B) D RI'!S160</f>
        <v>76</v>
      </c>
      <c r="F159" s="10">
        <f>'B) D RI'!R160</f>
        <v>1967817.468333333</v>
      </c>
      <c r="G159" s="10">
        <f>'B) D RI'!U160</f>
        <v>25892.335109649121</v>
      </c>
      <c r="H159" s="43">
        <f>'B) D RI'!T160</f>
        <v>1861084.1099999999</v>
      </c>
      <c r="I159" s="10">
        <f t="shared" si="19"/>
        <v>48975.89763157894</v>
      </c>
      <c r="J159" s="33">
        <f t="shared" si="15"/>
        <v>52876.558998864835</v>
      </c>
      <c r="K159" s="10">
        <f t="shared" si="16"/>
        <v>48975.89763157894</v>
      </c>
      <c r="L159" s="10">
        <f t="shared" si="20"/>
        <v>3900.6613672858948</v>
      </c>
      <c r="M159" s="10">
        <f>'D) Ecrêtage'!M158</f>
        <v>25892.335109649121</v>
      </c>
      <c r="N159" s="10">
        <f t="shared" si="17"/>
        <v>32146.787891849912</v>
      </c>
      <c r="O159" s="59">
        <f t="shared" si="18"/>
        <v>81122.685523428852</v>
      </c>
      <c r="P159" s="230"/>
      <c r="Q159" s="231"/>
      <c r="R159" s="227"/>
      <c r="S159" s="227"/>
      <c r="T159" s="232"/>
    </row>
    <row r="160" spans="1:20" s="226" customFormat="1" x14ac:dyDescent="0.25">
      <c r="A160" s="340">
        <f>'A) Base RI'!A161</f>
        <v>5653</v>
      </c>
      <c r="B160" s="239" t="str">
        <f>'A) Base RI'!B161</f>
        <v>Vufflens-le-Château</v>
      </c>
      <c r="C160" s="255">
        <v>0</v>
      </c>
      <c r="D160" s="228">
        <f>'B) D RI'!AR161</f>
        <v>884</v>
      </c>
      <c r="E160" s="229">
        <f>'B) D RI'!S161</f>
        <v>55</v>
      </c>
      <c r="F160" s="10">
        <f>'B) D RI'!R161</f>
        <v>3197292.8599999994</v>
      </c>
      <c r="G160" s="10">
        <f>'B) D RI'!U161</f>
        <v>58132.597454545445</v>
      </c>
      <c r="H160" s="43">
        <f>'B) D RI'!T161</f>
        <v>2964148.8599999994</v>
      </c>
      <c r="I160" s="10">
        <f t="shared" si="19"/>
        <v>107787.23127272725</v>
      </c>
      <c r="J160" s="33">
        <f t="shared" si="15"/>
        <v>76128.466050482923</v>
      </c>
      <c r="K160" s="10">
        <f t="shared" si="16"/>
        <v>76128.466050482923</v>
      </c>
      <c r="L160" s="10">
        <f t="shared" si="20"/>
        <v>0</v>
      </c>
      <c r="M160" s="10">
        <f>'D) Ecrêtage'!M159</f>
        <v>56018.487471928405</v>
      </c>
      <c r="N160" s="10">
        <f t="shared" si="17"/>
        <v>69550.09763145067</v>
      </c>
      <c r="O160" s="59">
        <f t="shared" si="18"/>
        <v>145678.56368193359</v>
      </c>
      <c r="P160" s="230"/>
      <c r="Q160" s="231"/>
      <c r="R160" s="227"/>
      <c r="S160" s="227"/>
      <c r="T160" s="232"/>
    </row>
    <row r="161" spans="1:20" s="226" customFormat="1" x14ac:dyDescent="0.25">
      <c r="A161" s="340">
        <f>'A) Base RI'!A162</f>
        <v>5654</v>
      </c>
      <c r="B161" s="239" t="str">
        <f>'A) Base RI'!B162</f>
        <v>Vullierens</v>
      </c>
      <c r="C161" s="255">
        <v>0</v>
      </c>
      <c r="D161" s="228">
        <f>'B) D RI'!AR162</f>
        <v>499</v>
      </c>
      <c r="E161" s="229">
        <f>'B) D RI'!S162</f>
        <v>76</v>
      </c>
      <c r="F161" s="10">
        <f>'B) D RI'!R162</f>
        <v>1420574.32</v>
      </c>
      <c r="G161" s="10">
        <f>'B) D RI'!U162</f>
        <v>18691.767368421053</v>
      </c>
      <c r="H161" s="43">
        <f>'B) D RI'!T162</f>
        <v>1329987.02</v>
      </c>
      <c r="I161" s="10">
        <f t="shared" si="19"/>
        <v>34999.658421052634</v>
      </c>
      <c r="J161" s="33">
        <f t="shared" si="15"/>
        <v>42972.968958360834</v>
      </c>
      <c r="K161" s="10">
        <f t="shared" si="16"/>
        <v>34999.658421052634</v>
      </c>
      <c r="L161" s="10">
        <f t="shared" si="20"/>
        <v>7973.3105373081999</v>
      </c>
      <c r="M161" s="10">
        <f>'D) Ecrêtage'!M160</f>
        <v>18691.767368421053</v>
      </c>
      <c r="N161" s="10">
        <f t="shared" si="17"/>
        <v>23206.878729624787</v>
      </c>
      <c r="O161" s="59">
        <f t="shared" si="18"/>
        <v>58206.537150677425</v>
      </c>
      <c r="P161" s="230"/>
      <c r="Q161" s="231"/>
      <c r="R161" s="227"/>
      <c r="S161" s="227"/>
      <c r="T161" s="232"/>
    </row>
    <row r="162" spans="1:20" s="226" customFormat="1" x14ac:dyDescent="0.25">
      <c r="A162" s="340">
        <f>'A) Base RI'!A163</f>
        <v>5655</v>
      </c>
      <c r="B162" s="239" t="str">
        <f>'A) Base RI'!B163</f>
        <v>Yens</v>
      </c>
      <c r="C162" s="255">
        <v>0</v>
      </c>
      <c r="D162" s="228">
        <f>'B) D RI'!AR163</f>
        <v>1395</v>
      </c>
      <c r="E162" s="229">
        <f>'B) D RI'!S163</f>
        <v>73</v>
      </c>
      <c r="F162" s="10">
        <f>'B) D RI'!R163</f>
        <v>5279549.2399999993</v>
      </c>
      <c r="G162" s="10">
        <f>'B) D RI'!U163</f>
        <v>72322.592328767118</v>
      </c>
      <c r="H162" s="43">
        <f>'B) D RI'!T163</f>
        <v>4899594.3899999997</v>
      </c>
      <c r="I162" s="10">
        <f t="shared" si="19"/>
        <v>134235.462739726</v>
      </c>
      <c r="J162" s="33">
        <f t="shared" si="15"/>
        <v>120134.85310002678</v>
      </c>
      <c r="K162" s="10">
        <f t="shared" si="16"/>
        <v>120134.85310002678</v>
      </c>
      <c r="L162" s="10">
        <f t="shared" si="20"/>
        <v>0</v>
      </c>
      <c r="M162" s="10">
        <f>'D) Ecrêtage'!M161</f>
        <v>72322.592328767118</v>
      </c>
      <c r="N162" s="10">
        <f t="shared" si="17"/>
        <v>89792.559285824667</v>
      </c>
      <c r="O162" s="59">
        <f t="shared" si="18"/>
        <v>209927.41238585144</v>
      </c>
      <c r="P162" s="230"/>
      <c r="Q162" s="231"/>
      <c r="R162" s="227"/>
      <c r="S162" s="227"/>
      <c r="T162" s="232"/>
    </row>
    <row r="163" spans="1:20" s="226" customFormat="1" x14ac:dyDescent="0.25">
      <c r="A163" s="340">
        <f>'A) Base RI'!A164</f>
        <v>5661</v>
      </c>
      <c r="B163" s="239" t="str">
        <f>'A) Base RI'!B164</f>
        <v>Boulens</v>
      </c>
      <c r="C163" s="255">
        <v>0</v>
      </c>
      <c r="D163" s="228">
        <f>'B) D RI'!AR164</f>
        <v>377</v>
      </c>
      <c r="E163" s="229">
        <f>'B) D RI'!S164</f>
        <v>79</v>
      </c>
      <c r="F163" s="10">
        <f>'B) D RI'!R164</f>
        <v>715684.56</v>
      </c>
      <c r="G163" s="10">
        <f>'B) D RI'!U164</f>
        <v>9059.2982278481013</v>
      </c>
      <c r="H163" s="43">
        <f>'B) D RI'!T164</f>
        <v>669342.46000000008</v>
      </c>
      <c r="I163" s="10">
        <f t="shared" si="19"/>
        <v>16945.378734177219</v>
      </c>
      <c r="J163" s="33">
        <f t="shared" si="15"/>
        <v>32466.551698000072</v>
      </c>
      <c r="K163" s="10">
        <f t="shared" si="16"/>
        <v>16945.378734177219</v>
      </c>
      <c r="L163" s="10">
        <f t="shared" si="20"/>
        <v>15521.172963822853</v>
      </c>
      <c r="M163" s="10">
        <f>'D) Ecrêtage'!M162</f>
        <v>9059.2982278481013</v>
      </c>
      <c r="N163" s="10">
        <f t="shared" si="17"/>
        <v>11247.627428980517</v>
      </c>
      <c r="O163" s="59">
        <f t="shared" si="18"/>
        <v>28193.006163157734</v>
      </c>
      <c r="P163" s="230"/>
      <c r="Q163" s="231"/>
      <c r="R163" s="227"/>
      <c r="S163" s="227"/>
      <c r="T163" s="232"/>
    </row>
    <row r="164" spans="1:20" s="226" customFormat="1" x14ac:dyDescent="0.25">
      <c r="A164" s="340">
        <f>'A) Base RI'!A165</f>
        <v>5663</v>
      </c>
      <c r="B164" s="239" t="str">
        <f>'A) Base RI'!B165</f>
        <v>Bussy-sur-Moudon</v>
      </c>
      <c r="C164" s="255">
        <v>0</v>
      </c>
      <c r="D164" s="228">
        <f>'B) D RI'!AR165</f>
        <v>209</v>
      </c>
      <c r="E164" s="229">
        <f>'B) D RI'!S165</f>
        <v>80</v>
      </c>
      <c r="F164" s="10">
        <f>'B) D RI'!R165</f>
        <v>454371.32999999996</v>
      </c>
      <c r="G164" s="10">
        <f>'B) D RI'!U165</f>
        <v>5679.6416249999993</v>
      </c>
      <c r="H164" s="43">
        <f>'B) D RI'!T165</f>
        <v>422322.87999999995</v>
      </c>
      <c r="I164" s="10">
        <f t="shared" si="19"/>
        <v>10558.071999999998</v>
      </c>
      <c r="J164" s="33">
        <f t="shared" si="15"/>
        <v>17998.698421437704</v>
      </c>
      <c r="K164" s="10">
        <f t="shared" si="16"/>
        <v>10558.071999999998</v>
      </c>
      <c r="L164" s="10">
        <f t="shared" si="20"/>
        <v>7440.6264214377061</v>
      </c>
      <c r="M164" s="10">
        <f>'D) Ecrêtage'!M163</f>
        <v>5679.6416249999993</v>
      </c>
      <c r="N164" s="10">
        <f t="shared" si="17"/>
        <v>7051.5939890085492</v>
      </c>
      <c r="O164" s="59">
        <f t="shared" si="18"/>
        <v>17609.665989008547</v>
      </c>
      <c r="P164" s="230"/>
      <c r="Q164" s="231"/>
      <c r="R164" s="227"/>
      <c r="S164" s="227"/>
      <c r="T164" s="232"/>
    </row>
    <row r="165" spans="1:20" s="226" customFormat="1" x14ac:dyDescent="0.25">
      <c r="A165" s="340">
        <f>'A) Base RI'!A166</f>
        <v>5665</v>
      </c>
      <c r="B165" s="239" t="str">
        <f>'A) Base RI'!B166</f>
        <v>Chavannes-sur-Moudon</v>
      </c>
      <c r="C165" s="255">
        <v>0</v>
      </c>
      <c r="D165" s="228">
        <f>'B) D RI'!AR166</f>
        <v>220</v>
      </c>
      <c r="E165" s="229">
        <f>'B) D RI'!S166</f>
        <v>73</v>
      </c>
      <c r="F165" s="10">
        <f>'B) D RI'!R166</f>
        <v>368058.5</v>
      </c>
      <c r="G165" s="10">
        <f>'B) D RI'!U166</f>
        <v>5041.8972602739723</v>
      </c>
      <c r="H165" s="43">
        <f>'B) D RI'!T166</f>
        <v>344163.2</v>
      </c>
      <c r="I165" s="10">
        <f t="shared" si="19"/>
        <v>9429.1287671232876</v>
      </c>
      <c r="J165" s="33">
        <f t="shared" si="15"/>
        <v>18945.998338355479</v>
      </c>
      <c r="K165" s="10">
        <f t="shared" si="16"/>
        <v>9429.1287671232876</v>
      </c>
      <c r="L165" s="10">
        <f t="shared" si="20"/>
        <v>9516.8695712321914</v>
      </c>
      <c r="M165" s="10">
        <f>'D) Ecrêtage'!M164</f>
        <v>5041.8972602739723</v>
      </c>
      <c r="N165" s="10">
        <f t="shared" si="17"/>
        <v>6259.7985508894881</v>
      </c>
      <c r="O165" s="59">
        <f t="shared" si="18"/>
        <v>15688.927318012775</v>
      </c>
      <c r="P165" s="230"/>
      <c r="Q165" s="231"/>
      <c r="R165" s="227"/>
      <c r="S165" s="227"/>
      <c r="T165" s="232"/>
    </row>
    <row r="166" spans="1:20" s="226" customFormat="1" x14ac:dyDescent="0.25">
      <c r="A166" s="340">
        <f>'A) Base RI'!A167</f>
        <v>5669</v>
      </c>
      <c r="B166" s="239" t="str">
        <f>'A) Base RI'!B167</f>
        <v>Curtilles</v>
      </c>
      <c r="C166" s="255">
        <v>0</v>
      </c>
      <c r="D166" s="228">
        <f>'B) D RI'!AR167</f>
        <v>318</v>
      </c>
      <c r="E166" s="229">
        <f>'B) D RI'!S167</f>
        <v>75</v>
      </c>
      <c r="F166" s="10">
        <f>'B) D RI'!R167</f>
        <v>675192.27999999991</v>
      </c>
      <c r="G166" s="10">
        <f>'B) D RI'!U167</f>
        <v>9002.5637333333325</v>
      </c>
      <c r="H166" s="43">
        <f>'B) D RI'!T167</f>
        <v>629988.77999999991</v>
      </c>
      <c r="I166" s="10">
        <f t="shared" si="19"/>
        <v>16799.700799999999</v>
      </c>
      <c r="J166" s="33">
        <f t="shared" si="15"/>
        <v>27385.579416350192</v>
      </c>
      <c r="K166" s="10">
        <f t="shared" si="16"/>
        <v>16799.700799999999</v>
      </c>
      <c r="L166" s="10">
        <f t="shared" si="20"/>
        <v>10585.878616350194</v>
      </c>
      <c r="M166" s="10">
        <f>'D) Ecrêtage'!M165</f>
        <v>9002.5637333333325</v>
      </c>
      <c r="N166" s="10">
        <f t="shared" si="17"/>
        <v>11177.188368401623</v>
      </c>
      <c r="O166" s="59">
        <f t="shared" si="18"/>
        <v>27976.88916840162</v>
      </c>
      <c r="P166" s="230"/>
      <c r="Q166" s="231"/>
      <c r="R166" s="227"/>
      <c r="S166" s="227"/>
      <c r="T166" s="232"/>
    </row>
    <row r="167" spans="1:20" s="226" customFormat="1" x14ac:dyDescent="0.25">
      <c r="A167" s="340">
        <f>'A) Base RI'!A168</f>
        <v>5671</v>
      </c>
      <c r="B167" s="239" t="str">
        <f>'A) Base RI'!B168</f>
        <v>Dompierre</v>
      </c>
      <c r="C167" s="255">
        <v>0</v>
      </c>
      <c r="D167" s="228">
        <f>'B) D RI'!AR168</f>
        <v>259</v>
      </c>
      <c r="E167" s="229">
        <f>'B) D RI'!S168</f>
        <v>80</v>
      </c>
      <c r="F167" s="10">
        <f>'B) D RI'!R168</f>
        <v>510021.23000000004</v>
      </c>
      <c r="G167" s="10">
        <f>'B) D RI'!U168</f>
        <v>6375.2653750000009</v>
      </c>
      <c r="H167" s="43">
        <f>'B) D RI'!T168</f>
        <v>475473.53</v>
      </c>
      <c r="I167" s="10">
        <f t="shared" si="19"/>
        <v>11886.838250000001</v>
      </c>
      <c r="J167" s="33">
        <f t="shared" si="15"/>
        <v>22304.607134700313</v>
      </c>
      <c r="K167" s="10">
        <f t="shared" si="16"/>
        <v>11886.838250000001</v>
      </c>
      <c r="L167" s="10">
        <f t="shared" si="20"/>
        <v>10417.768884700312</v>
      </c>
      <c r="M167" s="10">
        <f>'D) Ecrêtage'!M166</f>
        <v>6375.2653750000009</v>
      </c>
      <c r="N167" s="10">
        <f t="shared" si="17"/>
        <v>7915.2499338696116</v>
      </c>
      <c r="O167" s="59">
        <f t="shared" si="18"/>
        <v>19802.088183869611</v>
      </c>
      <c r="P167" s="230"/>
      <c r="Q167" s="231"/>
      <c r="R167" s="227"/>
      <c r="S167" s="227"/>
      <c r="T167" s="232"/>
    </row>
    <row r="168" spans="1:20" s="226" customFormat="1" x14ac:dyDescent="0.25">
      <c r="A168" s="340">
        <f>'A) Base RI'!A169</f>
        <v>5673</v>
      </c>
      <c r="B168" s="239" t="str">
        <f>'A) Base RI'!B169</f>
        <v>Hermenches</v>
      </c>
      <c r="C168" s="255">
        <v>0</v>
      </c>
      <c r="D168" s="228">
        <f>'B) D RI'!AR169</f>
        <v>379</v>
      </c>
      <c r="E168" s="229">
        <f>'B) D RI'!S169</f>
        <v>75</v>
      </c>
      <c r="F168" s="10">
        <f>'B) D RI'!R169</f>
        <v>666765.18333333335</v>
      </c>
      <c r="G168" s="10">
        <f>'B) D RI'!U169</f>
        <v>8890.2024444444451</v>
      </c>
      <c r="H168" s="43">
        <f>'B) D RI'!T169</f>
        <v>620768.1</v>
      </c>
      <c r="I168" s="10">
        <f t="shared" si="19"/>
        <v>16553.815999999999</v>
      </c>
      <c r="J168" s="33">
        <f t="shared" si="15"/>
        <v>32638.788046530575</v>
      </c>
      <c r="K168" s="10">
        <f t="shared" si="16"/>
        <v>16553.815999999999</v>
      </c>
      <c r="L168" s="10">
        <f t="shared" si="20"/>
        <v>16084.972046530576</v>
      </c>
      <c r="M168" s="10">
        <f>'D) Ecrêtage'!M167</f>
        <v>8890.2024444444451</v>
      </c>
      <c r="N168" s="10">
        <f t="shared" si="17"/>
        <v>11037.685519165756</v>
      </c>
      <c r="O168" s="59">
        <f t="shared" si="18"/>
        <v>27591.501519165755</v>
      </c>
      <c r="P168" s="230"/>
      <c r="Q168" s="231"/>
      <c r="R168" s="227"/>
      <c r="S168" s="227"/>
      <c r="T168" s="232"/>
    </row>
    <row r="169" spans="1:20" s="226" customFormat="1" x14ac:dyDescent="0.25">
      <c r="A169" s="340">
        <f>'A) Base RI'!A170</f>
        <v>5674</v>
      </c>
      <c r="B169" s="239" t="str">
        <f>'A) Base RI'!B170</f>
        <v>Lovatens</v>
      </c>
      <c r="C169" s="255">
        <v>0</v>
      </c>
      <c r="D169" s="228">
        <f>'B) D RI'!AR170</f>
        <v>141</v>
      </c>
      <c r="E169" s="229">
        <f>'B) D RI'!S170</f>
        <v>75</v>
      </c>
      <c r="F169" s="10">
        <f>'B) D RI'!R170</f>
        <v>271922.33</v>
      </c>
      <c r="G169" s="10">
        <f>'B) D RI'!U170</f>
        <v>3625.6310666666668</v>
      </c>
      <c r="H169" s="43">
        <f>'B) D RI'!T170</f>
        <v>252306.33000000002</v>
      </c>
      <c r="I169" s="10">
        <f t="shared" si="19"/>
        <v>6728.1688000000004</v>
      </c>
      <c r="J169" s="33">
        <f t="shared" si="15"/>
        <v>12142.662571400557</v>
      </c>
      <c r="K169" s="10">
        <f t="shared" si="16"/>
        <v>6728.1688000000004</v>
      </c>
      <c r="L169" s="10">
        <f t="shared" si="20"/>
        <v>5414.4937714005564</v>
      </c>
      <c r="M169" s="10">
        <f>'D) Ecrêtage'!M168</f>
        <v>3625.6310666666668</v>
      </c>
      <c r="N169" s="10">
        <f t="shared" si="17"/>
        <v>4501.4245482555998</v>
      </c>
      <c r="O169" s="59">
        <f t="shared" si="18"/>
        <v>11229.593348255599</v>
      </c>
      <c r="P169" s="230"/>
      <c r="Q169" s="231"/>
      <c r="R169" s="227"/>
      <c r="S169" s="227"/>
      <c r="T169" s="232"/>
    </row>
    <row r="170" spans="1:20" s="226" customFormat="1" x14ac:dyDescent="0.25">
      <c r="A170" s="340">
        <f>'A) Base RI'!A171</f>
        <v>5675</v>
      </c>
      <c r="B170" s="239" t="str">
        <f>'A) Base RI'!B171</f>
        <v>Lucens</v>
      </c>
      <c r="C170" s="255">
        <v>0</v>
      </c>
      <c r="D170" s="228">
        <f>'B) D RI'!AR171</f>
        <v>4157</v>
      </c>
      <c r="E170" s="229">
        <f>'B) D RI'!S171</f>
        <v>66</v>
      </c>
      <c r="F170" s="10">
        <f>'B) D RI'!R171</f>
        <v>5698447.7063636351</v>
      </c>
      <c r="G170" s="10">
        <f>'B) D RI'!U171</f>
        <v>86340.116763085374</v>
      </c>
      <c r="H170" s="43">
        <f>'B) D RI'!T171</f>
        <v>5084517.7699999986</v>
      </c>
      <c r="I170" s="10">
        <f t="shared" ref="I170" si="21">+H170/E170*$I$5</f>
        <v>154076.29606060602</v>
      </c>
      <c r="J170" s="33">
        <f t="shared" ref="J170" si="22">+$I$315/$D$315*D170</f>
        <v>357993.25042065332</v>
      </c>
      <c r="K170" s="10">
        <f t="shared" ref="K170" si="23">IF(C170=1,0,IF(J170&gt;I170,I170,J170))</f>
        <v>154076.29606060602</v>
      </c>
      <c r="L170" s="10">
        <f t="shared" ref="L170" si="24">+J170-K170</f>
        <v>203916.9543600473</v>
      </c>
      <c r="M170" s="10">
        <f>'D) Ecrêtage'!M169</f>
        <v>86340.116763085374</v>
      </c>
      <c r="N170" s="10">
        <f t="shared" ref="N170" si="25">+$N$5*M170</f>
        <v>107196.10295427208</v>
      </c>
      <c r="O170" s="59">
        <f t="shared" ref="O170" si="26">+N170+K170</f>
        <v>261272.39901487809</v>
      </c>
      <c r="P170" s="230"/>
      <c r="Q170" s="231"/>
      <c r="R170" s="227"/>
      <c r="S170" s="227"/>
      <c r="T170" s="232"/>
    </row>
    <row r="171" spans="1:20" s="226" customFormat="1" x14ac:dyDescent="0.25">
      <c r="A171" s="340">
        <f>'A) Base RI'!A172</f>
        <v>5678</v>
      </c>
      <c r="B171" s="239" t="str">
        <f>'A) Base RI'!B172</f>
        <v>Moudon</v>
      </c>
      <c r="C171" s="255">
        <v>0</v>
      </c>
      <c r="D171" s="228">
        <f>'B) D RI'!AR172</f>
        <v>6185</v>
      </c>
      <c r="E171" s="229">
        <f>'B) D RI'!S172</f>
        <v>75</v>
      </c>
      <c r="F171" s="10">
        <f>'B) D RI'!R172</f>
        <v>8991527.5700000003</v>
      </c>
      <c r="G171" s="10">
        <f>'B) D RI'!U172</f>
        <v>119887.03426666667</v>
      </c>
      <c r="H171" s="43">
        <f>'B) D RI'!T172</f>
        <v>8178878.75</v>
      </c>
      <c r="I171" s="10">
        <f t="shared" si="19"/>
        <v>218103.43333333332</v>
      </c>
      <c r="J171" s="33">
        <f t="shared" ref="J171:J218" si="27">+$I$315/$D$315*D171</f>
        <v>532640.90783058468</v>
      </c>
      <c r="K171" s="10">
        <f t="shared" si="16"/>
        <v>218103.43333333332</v>
      </c>
      <c r="L171" s="10">
        <f t="shared" si="20"/>
        <v>314537.47449725133</v>
      </c>
      <c r="M171" s="10">
        <f>'D) Ecrêtage'!M170</f>
        <v>119887.03426666667</v>
      </c>
      <c r="N171" s="10">
        <f t="shared" si="17"/>
        <v>148846.48469257753</v>
      </c>
      <c r="O171" s="59">
        <f t="shared" si="18"/>
        <v>366949.91802591085</v>
      </c>
      <c r="P171" s="230"/>
      <c r="Q171" s="231"/>
      <c r="R171" s="227"/>
      <c r="S171" s="227"/>
      <c r="T171" s="232"/>
    </row>
    <row r="172" spans="1:20" s="226" customFormat="1" x14ac:dyDescent="0.25">
      <c r="A172" s="340">
        <f>'A) Base RI'!A173</f>
        <v>5680</v>
      </c>
      <c r="B172" s="239" t="str">
        <f>'A) Base RI'!B173</f>
        <v>Ogens</v>
      </c>
      <c r="C172" s="255">
        <v>0</v>
      </c>
      <c r="D172" s="228">
        <f>'B) D RI'!AR173</f>
        <v>304</v>
      </c>
      <c r="E172" s="229">
        <f>'B) D RI'!S173</f>
        <v>78</v>
      </c>
      <c r="F172" s="10">
        <f>'B) D RI'!R173</f>
        <v>580378.72333333327</v>
      </c>
      <c r="G172" s="10">
        <f>'B) D RI'!U173</f>
        <v>7440.7528632478625</v>
      </c>
      <c r="H172" s="43">
        <f>'B) D RI'!T173</f>
        <v>537609.18999999994</v>
      </c>
      <c r="I172" s="10">
        <f t="shared" si="19"/>
        <v>13784.851025641025</v>
      </c>
      <c r="J172" s="33">
        <f t="shared" si="27"/>
        <v>26179.924976636663</v>
      </c>
      <c r="K172" s="10">
        <f t="shared" si="16"/>
        <v>13784.851025641025</v>
      </c>
      <c r="L172" s="10">
        <f t="shared" si="20"/>
        <v>12395.073950995638</v>
      </c>
      <c r="M172" s="10">
        <f>'D) Ecrêtage'!M171</f>
        <v>7440.7528632478625</v>
      </c>
      <c r="N172" s="10">
        <f t="shared" si="17"/>
        <v>9238.1124775943554</v>
      </c>
      <c r="O172" s="59">
        <f t="shared" si="18"/>
        <v>23022.96350323538</v>
      </c>
      <c r="P172" s="230"/>
      <c r="Q172" s="231"/>
      <c r="R172" s="227"/>
      <c r="S172" s="227"/>
      <c r="T172" s="232"/>
    </row>
    <row r="173" spans="1:20" s="226" customFormat="1" x14ac:dyDescent="0.25">
      <c r="A173" s="340">
        <f>'A) Base RI'!A174</f>
        <v>5683</v>
      </c>
      <c r="B173" s="239" t="str">
        <f>'A) Base RI'!B174</f>
        <v>Prévonloup</v>
      </c>
      <c r="C173" s="255">
        <v>0</v>
      </c>
      <c r="D173" s="228">
        <f>'B) D RI'!AR174</f>
        <v>160</v>
      </c>
      <c r="E173" s="229">
        <f>'B) D RI'!S174</f>
        <v>74</v>
      </c>
      <c r="F173" s="10">
        <f>'B) D RI'!R174</f>
        <v>288307.40999999997</v>
      </c>
      <c r="G173" s="10">
        <f>'B) D RI'!U174</f>
        <v>3896.046081081081</v>
      </c>
      <c r="H173" s="43">
        <f>'B) D RI'!T174</f>
        <v>265656.40999999997</v>
      </c>
      <c r="I173" s="10">
        <f t="shared" si="19"/>
        <v>7179.9029729729718</v>
      </c>
      <c r="J173" s="33">
        <f t="shared" si="27"/>
        <v>13778.907882440348</v>
      </c>
      <c r="K173" s="10">
        <f t="shared" si="16"/>
        <v>7179.9029729729718</v>
      </c>
      <c r="L173" s="10">
        <f t="shared" si="20"/>
        <v>6599.0049094673759</v>
      </c>
      <c r="M173" s="10">
        <f>'D) Ecrêtage'!M172</f>
        <v>3896.046081081081</v>
      </c>
      <c r="N173" s="10">
        <f t="shared" si="17"/>
        <v>4837.1599724395755</v>
      </c>
      <c r="O173" s="59">
        <f t="shared" si="18"/>
        <v>12017.062945412548</v>
      </c>
      <c r="P173" s="230"/>
      <c r="Q173" s="231"/>
      <c r="R173" s="227"/>
      <c r="S173" s="227"/>
      <c r="T173" s="232"/>
    </row>
    <row r="174" spans="1:20" s="226" customFormat="1" x14ac:dyDescent="0.25">
      <c r="A174" s="340">
        <f>'A) Base RI'!A175</f>
        <v>5684</v>
      </c>
      <c r="B174" s="239" t="str">
        <f>'A) Base RI'!B175</f>
        <v>Rossenges</v>
      </c>
      <c r="C174" s="255">
        <v>0</v>
      </c>
      <c r="D174" s="228">
        <f>'B) D RI'!AR175</f>
        <v>63</v>
      </c>
      <c r="E174" s="229">
        <f>'B) D RI'!S175</f>
        <v>60</v>
      </c>
      <c r="F174" s="10">
        <f>'B) D RI'!R175</f>
        <v>176157.13999999998</v>
      </c>
      <c r="G174" s="10">
        <f>'B) D RI'!U175</f>
        <v>2935.9523333333332</v>
      </c>
      <c r="H174" s="43">
        <f>'B) D RI'!T175</f>
        <v>167752.13999999998</v>
      </c>
      <c r="I174" s="10">
        <f t="shared" si="19"/>
        <v>5591.7379999999994</v>
      </c>
      <c r="J174" s="33">
        <f t="shared" si="27"/>
        <v>5425.444978710887</v>
      </c>
      <c r="K174" s="10">
        <f t="shared" si="16"/>
        <v>5425.444978710887</v>
      </c>
      <c r="L174" s="10">
        <f t="shared" si="20"/>
        <v>0</v>
      </c>
      <c r="M174" s="10">
        <f>'D) Ecrêtage'!M173</f>
        <v>2935.9523333333332</v>
      </c>
      <c r="N174" s="10">
        <f t="shared" si="17"/>
        <v>3645.1496753985703</v>
      </c>
      <c r="O174" s="59">
        <f t="shared" si="18"/>
        <v>9070.5946541094563</v>
      </c>
      <c r="P174" s="230"/>
      <c r="Q174" s="231"/>
      <c r="R174" s="227"/>
      <c r="S174" s="227"/>
      <c r="T174" s="232"/>
    </row>
    <row r="175" spans="1:20" s="226" customFormat="1" x14ac:dyDescent="0.25">
      <c r="A175" s="340">
        <f>'A) Base RI'!A176</f>
        <v>5688</v>
      </c>
      <c r="B175" s="239" t="str">
        <f>'A) Base RI'!B176</f>
        <v>Syens</v>
      </c>
      <c r="C175" s="255">
        <v>0</v>
      </c>
      <c r="D175" s="228">
        <f>'B) D RI'!AR176</f>
        <v>150</v>
      </c>
      <c r="E175" s="229">
        <f>'B) D RI'!S176</f>
        <v>75.599999999999994</v>
      </c>
      <c r="F175" s="10">
        <f>'B) D RI'!R176</f>
        <v>475413.76000000007</v>
      </c>
      <c r="G175" s="10">
        <f>'B) D RI'!U176</f>
        <v>6288.5417989418002</v>
      </c>
      <c r="H175" s="43">
        <f>'B) D RI'!T176</f>
        <v>452683.86000000004</v>
      </c>
      <c r="I175" s="10">
        <f t="shared" si="19"/>
        <v>11975.763492063494</v>
      </c>
      <c r="J175" s="33">
        <f t="shared" si="27"/>
        <v>12917.726139787826</v>
      </c>
      <c r="K175" s="10">
        <f t="shared" si="16"/>
        <v>11975.763492063494</v>
      </c>
      <c r="L175" s="10">
        <f t="shared" si="20"/>
        <v>941.96264772433278</v>
      </c>
      <c r="M175" s="10">
        <f>'D) Ecrêtage'!M174</f>
        <v>6288.5417989418002</v>
      </c>
      <c r="N175" s="10">
        <f t="shared" si="17"/>
        <v>7807.5777446692355</v>
      </c>
      <c r="O175" s="59">
        <f t="shared" si="18"/>
        <v>19783.341236732729</v>
      </c>
      <c r="P175" s="230"/>
      <c r="Q175" s="231"/>
      <c r="R175" s="227"/>
      <c r="S175" s="227"/>
      <c r="T175" s="232"/>
    </row>
    <row r="176" spans="1:20" s="226" customFormat="1" x14ac:dyDescent="0.25">
      <c r="A176" s="340">
        <f>'A) Base RI'!A177</f>
        <v>5690</v>
      </c>
      <c r="B176" s="239" t="str">
        <f>'A) Base RI'!B177</f>
        <v>Villars-le-Comte</v>
      </c>
      <c r="C176" s="255">
        <v>0</v>
      </c>
      <c r="D176" s="228">
        <f>'B) D RI'!AR177</f>
        <v>142</v>
      </c>
      <c r="E176" s="229">
        <f>'B) D RI'!S177</f>
        <v>70</v>
      </c>
      <c r="F176" s="10">
        <f>'B) D RI'!R177</f>
        <v>250780.82166666668</v>
      </c>
      <c r="G176" s="10">
        <f>'B) D RI'!U177</f>
        <v>3582.5831666666668</v>
      </c>
      <c r="H176" s="43">
        <f>'B) D RI'!T177</f>
        <v>229989.43000000002</v>
      </c>
      <c r="I176" s="10">
        <f t="shared" si="19"/>
        <v>6571.1265714285719</v>
      </c>
      <c r="J176" s="33">
        <f t="shared" si="27"/>
        <v>12228.78074566581</v>
      </c>
      <c r="K176" s="10">
        <f t="shared" si="16"/>
        <v>6571.1265714285719</v>
      </c>
      <c r="L176" s="10">
        <f t="shared" si="20"/>
        <v>5657.6541742372383</v>
      </c>
      <c r="M176" s="10">
        <f>'D) Ecrêtage'!M175</f>
        <v>3582.5831666666668</v>
      </c>
      <c r="N176" s="10">
        <f t="shared" si="17"/>
        <v>4447.9781632683353</v>
      </c>
      <c r="O176" s="59">
        <f t="shared" si="18"/>
        <v>11019.104734696906</v>
      </c>
      <c r="P176" s="230"/>
      <c r="Q176" s="231"/>
      <c r="R176" s="227"/>
      <c r="S176" s="227"/>
      <c r="T176" s="232"/>
    </row>
    <row r="177" spans="1:20" s="226" customFormat="1" x14ac:dyDescent="0.25">
      <c r="A177" s="340">
        <f>'A) Base RI'!A178</f>
        <v>5692</v>
      </c>
      <c r="B177" s="239" t="str">
        <f>'A) Base RI'!B178</f>
        <v>Vucherens</v>
      </c>
      <c r="C177" s="255">
        <v>0</v>
      </c>
      <c r="D177" s="228">
        <f>'B) D RI'!AR178</f>
        <v>583</v>
      </c>
      <c r="E177" s="229">
        <f>'B) D RI'!S178</f>
        <v>79</v>
      </c>
      <c r="F177" s="10">
        <f>'B) D RI'!R178</f>
        <v>1369727.9299999997</v>
      </c>
      <c r="G177" s="10">
        <f>'B) D RI'!U178</f>
        <v>17338.328227848098</v>
      </c>
      <c r="H177" s="43">
        <f>'B) D RI'!T178</f>
        <v>1283433.2799999998</v>
      </c>
      <c r="I177" s="10">
        <f t="shared" si="19"/>
        <v>32491.981772151892</v>
      </c>
      <c r="J177" s="33">
        <f t="shared" si="27"/>
        <v>50206.895596642018</v>
      </c>
      <c r="K177" s="10">
        <f t="shared" si="16"/>
        <v>32491.981772151892</v>
      </c>
      <c r="L177" s="10">
        <f t="shared" si="20"/>
        <v>17714.913824490126</v>
      </c>
      <c r="M177" s="10">
        <f>'D) Ecrêtage'!M176</f>
        <v>17338.328227848098</v>
      </c>
      <c r="N177" s="10">
        <f t="shared" si="17"/>
        <v>21526.508041068686</v>
      </c>
      <c r="O177" s="59">
        <f t="shared" si="18"/>
        <v>54018.489813220578</v>
      </c>
      <c r="P177" s="230"/>
      <c r="Q177" s="231"/>
      <c r="R177" s="227"/>
      <c r="S177" s="227"/>
      <c r="T177" s="232"/>
    </row>
    <row r="178" spans="1:20" s="226" customFormat="1" x14ac:dyDescent="0.25">
      <c r="A178" s="340">
        <f>'A) Base RI'!A179</f>
        <v>5693</v>
      </c>
      <c r="B178" s="239" t="str">
        <f>'A) Base RI'!B179</f>
        <v>Montanaire</v>
      </c>
      <c r="C178" s="255">
        <v>0</v>
      </c>
      <c r="D178" s="228">
        <f>'B) D RI'!AR179</f>
        <v>2606</v>
      </c>
      <c r="E178" s="229">
        <f>'B) D RI'!S179</f>
        <v>72</v>
      </c>
      <c r="F178" s="10">
        <f>'B) D RI'!R179</f>
        <v>5113723.2700000005</v>
      </c>
      <c r="G178" s="10">
        <f>'B) D RI'!U179</f>
        <v>71023.934305555566</v>
      </c>
      <c r="H178" s="43">
        <f>'B) D RI'!T179</f>
        <v>4770059.07</v>
      </c>
      <c r="I178" s="10">
        <f t="shared" si="19"/>
        <v>132501.64083333334</v>
      </c>
      <c r="J178" s="33">
        <f t="shared" si="27"/>
        <v>224423.96213524719</v>
      </c>
      <c r="K178" s="10">
        <f t="shared" si="16"/>
        <v>132501.64083333334</v>
      </c>
      <c r="L178" s="10">
        <f t="shared" si="20"/>
        <v>91922.321301913849</v>
      </c>
      <c r="M178" s="10">
        <f>'D) Ecrêtage'!M177</f>
        <v>71023.934305555566</v>
      </c>
      <c r="N178" s="10">
        <f t="shared" si="17"/>
        <v>88180.202430429534</v>
      </c>
      <c r="O178" s="59">
        <f t="shared" si="18"/>
        <v>220681.84326376289</v>
      </c>
      <c r="P178" s="230"/>
      <c r="Q178" s="231"/>
      <c r="R178" s="227"/>
      <c r="S178" s="227"/>
      <c r="T178" s="232"/>
    </row>
    <row r="179" spans="1:20" s="226" customFormat="1" x14ac:dyDescent="0.25">
      <c r="A179" s="340">
        <f>'A) Base RI'!A180</f>
        <v>5701</v>
      </c>
      <c r="B179" s="239" t="str">
        <f>'A) Base RI'!B180</f>
        <v>Arnex-sur-Nyon</v>
      </c>
      <c r="C179" s="255">
        <v>0</v>
      </c>
      <c r="D179" s="228">
        <f>'B) D RI'!AR180</f>
        <v>224</v>
      </c>
      <c r="E179" s="229">
        <f>'B) D RI'!S180</f>
        <v>70</v>
      </c>
      <c r="F179" s="10">
        <f>'B) D RI'!R180</f>
        <v>1018995.4200000002</v>
      </c>
      <c r="G179" s="10">
        <f>'B) D RI'!U180</f>
        <v>14557.077428571431</v>
      </c>
      <c r="H179" s="43">
        <f>'B) D RI'!T180</f>
        <v>956405.02000000014</v>
      </c>
      <c r="I179" s="10">
        <f t="shared" si="19"/>
        <v>27325.857714285718</v>
      </c>
      <c r="J179" s="33">
        <f t="shared" si="27"/>
        <v>19290.471035416489</v>
      </c>
      <c r="K179" s="10">
        <f t="shared" si="16"/>
        <v>19290.471035416489</v>
      </c>
      <c r="L179" s="10">
        <f t="shared" si="20"/>
        <v>0</v>
      </c>
      <c r="M179" s="10">
        <f>'D) Ecrêtage'!M178</f>
        <v>14061.940305841415</v>
      </c>
      <c r="N179" s="10">
        <f t="shared" si="17"/>
        <v>17458.688466892199</v>
      </c>
      <c r="O179" s="59">
        <f t="shared" si="18"/>
        <v>36749.159502308685</v>
      </c>
      <c r="P179" s="230"/>
      <c r="Q179" s="231"/>
      <c r="R179" s="227"/>
      <c r="S179" s="227"/>
      <c r="T179" s="232"/>
    </row>
    <row r="180" spans="1:20" s="226" customFormat="1" x14ac:dyDescent="0.25">
      <c r="A180" s="340">
        <f>'A) Base RI'!A181</f>
        <v>5702</v>
      </c>
      <c r="B180" s="239" t="str">
        <f>'A) Base RI'!B181</f>
        <v>Arzier-Le Muids</v>
      </c>
      <c r="C180" s="255">
        <v>0</v>
      </c>
      <c r="D180" s="228">
        <f>'B) D RI'!AR181</f>
        <v>2653</v>
      </c>
      <c r="E180" s="229">
        <f>'B) D RI'!S181</f>
        <v>64</v>
      </c>
      <c r="F180" s="10">
        <f>'B) D RI'!R181</f>
        <v>9999704.5300000012</v>
      </c>
      <c r="G180" s="10">
        <f>'B) D RI'!U181</f>
        <v>156245.38328125002</v>
      </c>
      <c r="H180" s="43">
        <f>'B) D RI'!T181</f>
        <v>9275062.1300000008</v>
      </c>
      <c r="I180" s="10">
        <f t="shared" si="19"/>
        <v>289845.69156250003</v>
      </c>
      <c r="J180" s="33">
        <f t="shared" si="27"/>
        <v>228471.51632571404</v>
      </c>
      <c r="K180" s="10">
        <f t="shared" si="16"/>
        <v>228471.51632571404</v>
      </c>
      <c r="L180" s="10">
        <f t="shared" si="20"/>
        <v>0</v>
      </c>
      <c r="M180" s="10">
        <f>'D) Ecrêtage'!M179</f>
        <v>154163.71357205033</v>
      </c>
      <c r="N180" s="10">
        <f t="shared" si="17"/>
        <v>191402.90668390648</v>
      </c>
      <c r="O180" s="59">
        <f t="shared" si="18"/>
        <v>419874.42300962051</v>
      </c>
      <c r="P180" s="230"/>
      <c r="Q180" s="231"/>
      <c r="R180" s="227"/>
      <c r="S180" s="227"/>
      <c r="T180" s="232"/>
    </row>
    <row r="181" spans="1:20" s="226" customFormat="1" x14ac:dyDescent="0.25">
      <c r="A181" s="340">
        <f>'A) Base RI'!A182</f>
        <v>5703</v>
      </c>
      <c r="B181" s="239" t="str">
        <f>'A) Base RI'!B182</f>
        <v>Bassins</v>
      </c>
      <c r="C181" s="255">
        <v>0</v>
      </c>
      <c r="D181" s="228">
        <f>'B) D RI'!AR182</f>
        <v>1356</v>
      </c>
      <c r="E181" s="229">
        <f>'B) D RI'!S182</f>
        <v>74</v>
      </c>
      <c r="F181" s="10">
        <f>'B) D RI'!R182</f>
        <v>4190458.1485714284</v>
      </c>
      <c r="G181" s="10">
        <f>'B) D RI'!U182</f>
        <v>56627.812818532817</v>
      </c>
      <c r="H181" s="43">
        <f>'B) D RI'!T182</f>
        <v>3899675.92</v>
      </c>
      <c r="I181" s="10">
        <f t="shared" si="19"/>
        <v>105396.64648648648</v>
      </c>
      <c r="J181" s="33">
        <f t="shared" si="27"/>
        <v>116776.24430368196</v>
      </c>
      <c r="K181" s="10">
        <f t="shared" si="16"/>
        <v>105396.64648648648</v>
      </c>
      <c r="L181" s="10">
        <f t="shared" si="20"/>
        <v>11379.597817195478</v>
      </c>
      <c r="M181" s="10">
        <f>'D) Ecrêtage'!M180</f>
        <v>56627.812818532817</v>
      </c>
      <c r="N181" s="10">
        <f t="shared" si="17"/>
        <v>70306.609262845406</v>
      </c>
      <c r="O181" s="59">
        <f t="shared" si="18"/>
        <v>175703.2557493319</v>
      </c>
      <c r="P181" s="230"/>
      <c r="Q181" s="231"/>
      <c r="R181" s="227"/>
      <c r="S181" s="227"/>
      <c r="T181" s="232"/>
    </row>
    <row r="182" spans="1:20" s="226" customFormat="1" x14ac:dyDescent="0.25">
      <c r="A182" s="340">
        <f>'A) Base RI'!A183</f>
        <v>5704</v>
      </c>
      <c r="B182" s="239" t="str">
        <f>'A) Base RI'!B183</f>
        <v>Begnins</v>
      </c>
      <c r="C182" s="255">
        <v>0</v>
      </c>
      <c r="D182" s="228">
        <f>'B) D RI'!AR183</f>
        <v>1910</v>
      </c>
      <c r="E182" s="229">
        <f>'B) D RI'!S183</f>
        <v>67</v>
      </c>
      <c r="F182" s="10">
        <f>'B) D RI'!R183</f>
        <v>8594812.4199999999</v>
      </c>
      <c r="G182" s="10">
        <f>'B) D RI'!U183</f>
        <v>128280.7823880597</v>
      </c>
      <c r="H182" s="43">
        <f>'B) D RI'!T183</f>
        <v>8129777.7200000007</v>
      </c>
      <c r="I182" s="10">
        <f t="shared" si="19"/>
        <v>242679.93194029853</v>
      </c>
      <c r="J182" s="33">
        <f t="shared" si="27"/>
        <v>164485.71284663165</v>
      </c>
      <c r="K182" s="10">
        <f t="shared" si="16"/>
        <v>164485.71284663165</v>
      </c>
      <c r="L182" s="10">
        <f t="shared" si="20"/>
        <v>0</v>
      </c>
      <c r="M182" s="10">
        <f>'D) Ecrêtage'!M181</f>
        <v>123086.41985171527</v>
      </c>
      <c r="N182" s="10">
        <f t="shared" si="17"/>
        <v>152818.7015417435</v>
      </c>
      <c r="O182" s="59">
        <f t="shared" si="18"/>
        <v>317304.41438837512</v>
      </c>
      <c r="P182" s="230"/>
      <c r="Q182" s="231"/>
      <c r="R182" s="227"/>
      <c r="S182" s="227"/>
      <c r="T182" s="232"/>
    </row>
    <row r="183" spans="1:20" s="226" customFormat="1" x14ac:dyDescent="0.25">
      <c r="A183" s="340">
        <f>'A) Base RI'!A184</f>
        <v>5705</v>
      </c>
      <c r="B183" s="239" t="str">
        <f>'A) Base RI'!B184</f>
        <v>Bogis-Bossey</v>
      </c>
      <c r="C183" s="255">
        <v>0</v>
      </c>
      <c r="D183" s="228">
        <f>'B) D RI'!AR184</f>
        <v>893</v>
      </c>
      <c r="E183" s="229">
        <f>'B) D RI'!S184</f>
        <v>70</v>
      </c>
      <c r="F183" s="10">
        <f>'B) D RI'!R184</f>
        <v>3854902.72</v>
      </c>
      <c r="G183" s="10">
        <f>'B) D RI'!U184</f>
        <v>55070.038857142863</v>
      </c>
      <c r="H183" s="43">
        <f>'B) D RI'!T184</f>
        <v>3637288.3200000003</v>
      </c>
      <c r="I183" s="10">
        <f t="shared" si="19"/>
        <v>103922.52342857144</v>
      </c>
      <c r="J183" s="33">
        <f t="shared" si="27"/>
        <v>76903.52961887019</v>
      </c>
      <c r="K183" s="10">
        <f t="shared" si="16"/>
        <v>76903.52961887019</v>
      </c>
      <c r="L183" s="10">
        <f t="shared" si="20"/>
        <v>0</v>
      </c>
      <c r="M183" s="10">
        <f>'D) Ecrêtage'!M182</f>
        <v>53789.536206675177</v>
      </c>
      <c r="N183" s="10">
        <f t="shared" si="17"/>
        <v>66782.729480145397</v>
      </c>
      <c r="O183" s="59">
        <f t="shared" si="18"/>
        <v>143686.25909901559</v>
      </c>
      <c r="P183" s="230"/>
      <c r="Q183" s="231"/>
      <c r="R183" s="227"/>
      <c r="S183" s="227"/>
      <c r="T183" s="232"/>
    </row>
    <row r="184" spans="1:20" s="226" customFormat="1" x14ac:dyDescent="0.25">
      <c r="A184" s="340">
        <f>'A) Base RI'!A185</f>
        <v>5706</v>
      </c>
      <c r="B184" s="239" t="str">
        <f>'A) Base RI'!B185</f>
        <v>Borex</v>
      </c>
      <c r="C184" s="255">
        <v>0</v>
      </c>
      <c r="D184" s="228">
        <f>'B) D RI'!AR185</f>
        <v>1126</v>
      </c>
      <c r="E184" s="229">
        <f>'B) D RI'!S185</f>
        <v>58</v>
      </c>
      <c r="F184" s="10">
        <f>'B) D RI'!R185</f>
        <v>4166653.0066666668</v>
      </c>
      <c r="G184" s="10">
        <f>'B) D RI'!U185</f>
        <v>71838.84494252874</v>
      </c>
      <c r="H184" s="43">
        <f>'B) D RI'!T185</f>
        <v>3916962.14</v>
      </c>
      <c r="I184" s="10">
        <f t="shared" si="19"/>
        <v>135067.66</v>
      </c>
      <c r="J184" s="33">
        <f t="shared" si="27"/>
        <v>96969.064222673958</v>
      </c>
      <c r="K184" s="10">
        <f t="shared" si="16"/>
        <v>96969.064222673958</v>
      </c>
      <c r="L184" s="10">
        <f t="shared" si="20"/>
        <v>0</v>
      </c>
      <c r="M184" s="10">
        <f>'D) Ecrêtage'!M183</f>
        <v>69662.629283993607</v>
      </c>
      <c r="N184" s="10">
        <f t="shared" si="17"/>
        <v>86490.065808956788</v>
      </c>
      <c r="O184" s="59">
        <f t="shared" si="18"/>
        <v>183459.13003163075</v>
      </c>
      <c r="P184" s="230"/>
      <c r="Q184" s="231"/>
      <c r="R184" s="227"/>
      <c r="S184" s="227"/>
      <c r="T184" s="232"/>
    </row>
    <row r="185" spans="1:20" s="226" customFormat="1" x14ac:dyDescent="0.25">
      <c r="A185" s="340">
        <f>'A) Base RI'!A186</f>
        <v>5707</v>
      </c>
      <c r="B185" s="239" t="str">
        <f>'A) Base RI'!B186</f>
        <v>Chavannes-de-Bogis</v>
      </c>
      <c r="C185" s="255">
        <v>0</v>
      </c>
      <c r="D185" s="228">
        <f>'B) D RI'!AR186</f>
        <v>1290</v>
      </c>
      <c r="E185" s="229">
        <f>'B) D RI'!S186</f>
        <v>59</v>
      </c>
      <c r="F185" s="10">
        <f>'B) D RI'!R186</f>
        <v>5019281.8566666674</v>
      </c>
      <c r="G185" s="10">
        <f>'B) D RI'!U186</f>
        <v>85072.573841807927</v>
      </c>
      <c r="H185" s="43">
        <f>'B) D RI'!T186</f>
        <v>4509493.79</v>
      </c>
      <c r="I185" s="10">
        <f t="shared" si="19"/>
        <v>152864.19627118643</v>
      </c>
      <c r="J185" s="33">
        <f t="shared" si="27"/>
        <v>111092.44480217531</v>
      </c>
      <c r="K185" s="10">
        <f t="shared" si="16"/>
        <v>111092.44480217531</v>
      </c>
      <c r="L185" s="10">
        <f t="shared" si="20"/>
        <v>0</v>
      </c>
      <c r="M185" s="10">
        <f>'D) Ecrêtage'!M184</f>
        <v>81931.09381401616</v>
      </c>
      <c r="N185" s="10">
        <f t="shared" si="17"/>
        <v>101722.05339660175</v>
      </c>
      <c r="O185" s="59">
        <f t="shared" si="18"/>
        <v>212814.49819877706</v>
      </c>
      <c r="P185" s="230"/>
      <c r="Q185" s="231"/>
      <c r="R185" s="227"/>
      <c r="S185" s="227"/>
      <c r="T185" s="232"/>
    </row>
    <row r="186" spans="1:20" s="226" customFormat="1" x14ac:dyDescent="0.25">
      <c r="A186" s="340">
        <f>'A) Base RI'!A187</f>
        <v>5708</v>
      </c>
      <c r="B186" s="239" t="str">
        <f>'A) Base RI'!B187</f>
        <v>Chavannes-des-Bois</v>
      </c>
      <c r="C186" s="255">
        <v>0</v>
      </c>
      <c r="D186" s="228">
        <f>'B) D RI'!AR187</f>
        <v>942</v>
      </c>
      <c r="E186" s="229">
        <f>'B) D RI'!S187</f>
        <v>59</v>
      </c>
      <c r="F186" s="10">
        <f>'B) D RI'!R187</f>
        <v>3381572.2199999997</v>
      </c>
      <c r="G186" s="10">
        <f>'B) D RI'!U187</f>
        <v>57314.783389830503</v>
      </c>
      <c r="H186" s="43">
        <f>'B) D RI'!T187</f>
        <v>3116461.57</v>
      </c>
      <c r="I186" s="10">
        <f t="shared" si="19"/>
        <v>105642.76508474576</v>
      </c>
      <c r="J186" s="33">
        <f t="shared" si="27"/>
        <v>81123.320157867551</v>
      </c>
      <c r="K186" s="10">
        <f t="shared" si="16"/>
        <v>81123.320157867551</v>
      </c>
      <c r="L186" s="10">
        <f t="shared" si="20"/>
        <v>0</v>
      </c>
      <c r="M186" s="10">
        <f>'D) Ecrêtage'!M185</f>
        <v>56145.839673991715</v>
      </c>
      <c r="N186" s="10">
        <f t="shared" si="17"/>
        <v>69708.212541131536</v>
      </c>
      <c r="O186" s="59">
        <f t="shared" si="18"/>
        <v>150831.5326989991</v>
      </c>
      <c r="P186" s="230"/>
      <c r="Q186" s="231"/>
      <c r="R186" s="227"/>
      <c r="S186" s="227"/>
      <c r="T186" s="232"/>
    </row>
    <row r="187" spans="1:20" s="226" customFormat="1" x14ac:dyDescent="0.25">
      <c r="A187" s="340">
        <f>'A) Base RI'!A188</f>
        <v>5709</v>
      </c>
      <c r="B187" s="239" t="str">
        <f>'A) Base RI'!B188</f>
        <v>Chéserex</v>
      </c>
      <c r="C187" s="255">
        <v>0</v>
      </c>
      <c r="D187" s="228">
        <f>'B) D RI'!AR188</f>
        <v>1219</v>
      </c>
      <c r="E187" s="229">
        <f>'B) D RI'!S188</f>
        <v>57</v>
      </c>
      <c r="F187" s="10">
        <f>'B) D RI'!R188</f>
        <v>4106710.4899999998</v>
      </c>
      <c r="G187" s="10">
        <f>'B) D RI'!U188</f>
        <v>72047.552456140344</v>
      </c>
      <c r="H187" s="43">
        <f>'B) D RI'!T188</f>
        <v>3778653.9899999998</v>
      </c>
      <c r="I187" s="10">
        <f t="shared" si="19"/>
        <v>132584.35052631577</v>
      </c>
      <c r="J187" s="33">
        <f t="shared" si="27"/>
        <v>104978.0544293424</v>
      </c>
      <c r="K187" s="10">
        <f t="shared" si="16"/>
        <v>104978.0544293424</v>
      </c>
      <c r="L187" s="10">
        <f t="shared" si="20"/>
        <v>0</v>
      </c>
      <c r="M187" s="10">
        <f>'D) Ecrêtage'!M186</f>
        <v>71031.174983110643</v>
      </c>
      <c r="N187" s="10">
        <f t="shared" si="17"/>
        <v>88189.192138177823</v>
      </c>
      <c r="O187" s="59">
        <f t="shared" si="18"/>
        <v>193167.24656752023</v>
      </c>
      <c r="P187" s="230"/>
      <c r="Q187" s="231"/>
      <c r="R187" s="227"/>
      <c r="S187" s="227"/>
      <c r="T187" s="232"/>
    </row>
    <row r="188" spans="1:20" s="226" customFormat="1" x14ac:dyDescent="0.25">
      <c r="A188" s="340">
        <f>'A) Base RI'!A189</f>
        <v>5710</v>
      </c>
      <c r="B188" s="239" t="str">
        <f>'A) Base RI'!B189</f>
        <v>Coinsins</v>
      </c>
      <c r="C188" s="255">
        <v>0</v>
      </c>
      <c r="D188" s="228">
        <f>'B) D RI'!AR189</f>
        <v>484</v>
      </c>
      <c r="E188" s="229">
        <f>'B) D RI'!S189</f>
        <v>51</v>
      </c>
      <c r="F188" s="10">
        <f>'B) D RI'!R189</f>
        <v>4183641.3300000005</v>
      </c>
      <c r="G188" s="10">
        <f>'B) D RI'!U189</f>
        <v>82032.182941176477</v>
      </c>
      <c r="H188" s="43">
        <f>'B) D RI'!T189</f>
        <v>4058222.5800000005</v>
      </c>
      <c r="I188" s="10">
        <f t="shared" si="19"/>
        <v>159145.98352941178</v>
      </c>
      <c r="J188" s="33">
        <f t="shared" si="27"/>
        <v>41681.196344382057</v>
      </c>
      <c r="K188" s="10">
        <f t="shared" si="16"/>
        <v>41681.196344382057</v>
      </c>
      <c r="L188" s="10">
        <f t="shared" si="20"/>
        <v>0</v>
      </c>
      <c r="M188" s="10">
        <f>'D) Ecrêtage'!M187</f>
        <v>62595.279457764242</v>
      </c>
      <c r="N188" s="10">
        <f t="shared" si="17"/>
        <v>77715.554168381292</v>
      </c>
      <c r="O188" s="59">
        <f t="shared" si="18"/>
        <v>119396.75051276335</v>
      </c>
      <c r="P188" s="230"/>
      <c r="Q188" s="231"/>
      <c r="R188" s="227"/>
      <c r="S188" s="227"/>
      <c r="T188" s="232"/>
    </row>
    <row r="189" spans="1:20" s="226" customFormat="1" x14ac:dyDescent="0.25">
      <c r="A189" s="340">
        <f>'A) Base RI'!A190</f>
        <v>5711</v>
      </c>
      <c r="B189" s="239" t="str">
        <f>'A) Base RI'!B190</f>
        <v>Commugny</v>
      </c>
      <c r="C189" s="255">
        <v>0</v>
      </c>
      <c r="D189" s="228">
        <f>'B) D RI'!AR190</f>
        <v>2858</v>
      </c>
      <c r="E189" s="229">
        <f>'B) D RI'!S190</f>
        <v>57</v>
      </c>
      <c r="F189" s="10">
        <f>'B) D RI'!R190</f>
        <v>14429879.843846152</v>
      </c>
      <c r="G189" s="10">
        <f>'B) D RI'!U190</f>
        <v>253155.78673414301</v>
      </c>
      <c r="H189" s="43">
        <f>'B) D RI'!T190</f>
        <v>13589671.539999997</v>
      </c>
      <c r="I189" s="10">
        <f t="shared" si="19"/>
        <v>476830.58035087708</v>
      </c>
      <c r="J189" s="33">
        <f t="shared" si="27"/>
        <v>246125.74205009072</v>
      </c>
      <c r="K189" s="10">
        <f t="shared" si="16"/>
        <v>246125.74205009072</v>
      </c>
      <c r="L189" s="10">
        <f t="shared" si="20"/>
        <v>0</v>
      </c>
      <c r="M189" s="10">
        <f>'D) Ecrêtage'!M188</f>
        <v>227503.4761721325</v>
      </c>
      <c r="N189" s="10">
        <f t="shared" si="17"/>
        <v>282458.33997562469</v>
      </c>
      <c r="O189" s="59">
        <f t="shared" si="18"/>
        <v>528584.08202571538</v>
      </c>
      <c r="P189" s="230"/>
      <c r="Q189" s="231"/>
      <c r="R189" s="227"/>
      <c r="S189" s="227"/>
      <c r="T189" s="232"/>
    </row>
    <row r="190" spans="1:20" s="226" customFormat="1" x14ac:dyDescent="0.25">
      <c r="A190" s="340">
        <f>'A) Base RI'!A191</f>
        <v>5712</v>
      </c>
      <c r="B190" s="239" t="str">
        <f>'A) Base RI'!B191</f>
        <v>Coppet</v>
      </c>
      <c r="C190" s="255">
        <v>0</v>
      </c>
      <c r="D190" s="228">
        <f>'B) D RI'!AR191</f>
        <v>3123</v>
      </c>
      <c r="E190" s="229">
        <f>'B) D RI'!S191</f>
        <v>53</v>
      </c>
      <c r="F190" s="10">
        <f>'B) D RI'!R191</f>
        <v>17264921.373333335</v>
      </c>
      <c r="G190" s="10">
        <f>'B) D RI'!U191</f>
        <v>325753.23345911951</v>
      </c>
      <c r="H190" s="43">
        <f>'B) D RI'!T191</f>
        <v>16215763.09</v>
      </c>
      <c r="I190" s="10">
        <f t="shared" si="19"/>
        <v>611915.5883018868</v>
      </c>
      <c r="J190" s="33">
        <f t="shared" si="27"/>
        <v>268947.05823038256</v>
      </c>
      <c r="K190" s="10">
        <f t="shared" si="16"/>
        <v>268947.05823038256</v>
      </c>
      <c r="L190" s="10">
        <f t="shared" si="20"/>
        <v>0</v>
      </c>
      <c r="M190" s="10">
        <f>'D) Ecrêtage'!M189</f>
        <v>280651.05418461503</v>
      </c>
      <c r="N190" s="10">
        <f t="shared" si="17"/>
        <v>348444.04231176188</v>
      </c>
      <c r="O190" s="59">
        <f t="shared" si="18"/>
        <v>617391.10054214438</v>
      </c>
      <c r="P190" s="230"/>
      <c r="Q190" s="231"/>
      <c r="R190" s="227"/>
      <c r="S190" s="227"/>
      <c r="T190" s="232"/>
    </row>
    <row r="191" spans="1:20" s="226" customFormat="1" x14ac:dyDescent="0.25">
      <c r="A191" s="340">
        <f>'A) Base RI'!A192</f>
        <v>5713</v>
      </c>
      <c r="B191" s="239" t="str">
        <f>'A) Base RI'!B192</f>
        <v>Crans-près-Céligny</v>
      </c>
      <c r="C191" s="255">
        <v>1</v>
      </c>
      <c r="D191" s="228">
        <f>'B) D RI'!AR192</f>
        <v>2177</v>
      </c>
      <c r="E191" s="229">
        <f>'B) D RI'!S192</f>
        <v>53</v>
      </c>
      <c r="F191" s="10">
        <f>'B) D RI'!R192</f>
        <v>12680515.840000002</v>
      </c>
      <c r="G191" s="10">
        <f>'B) D RI'!U192</f>
        <v>239255.01584905662</v>
      </c>
      <c r="H191" s="43">
        <f>'B) D RI'!T192</f>
        <v>11915051.690000001</v>
      </c>
      <c r="I191" s="10">
        <f t="shared" si="19"/>
        <v>449624.59207547177</v>
      </c>
      <c r="J191" s="33">
        <f t="shared" si="27"/>
        <v>187479.26537545401</v>
      </c>
      <c r="K191" s="10">
        <f t="shared" si="16"/>
        <v>0</v>
      </c>
      <c r="L191" s="10">
        <f t="shared" si="20"/>
        <v>187479.26537545401</v>
      </c>
      <c r="M191" s="10">
        <f>'D) Ecrêtage'!M190</f>
        <v>203382.5009999318</v>
      </c>
      <c r="N191" s="10">
        <f t="shared" si="17"/>
        <v>252510.79490788197</v>
      </c>
      <c r="O191" s="59">
        <f t="shared" si="18"/>
        <v>252510.79490788197</v>
      </c>
      <c r="P191" s="230"/>
      <c r="Q191" s="231"/>
      <c r="R191" s="227"/>
      <c r="S191" s="227"/>
      <c r="T191" s="232"/>
    </row>
    <row r="192" spans="1:20" s="226" customFormat="1" x14ac:dyDescent="0.25">
      <c r="A192" s="340">
        <f>'A) Base RI'!A193</f>
        <v>5714</v>
      </c>
      <c r="B192" s="239" t="str">
        <f>'A) Base RI'!B193</f>
        <v>Crassier</v>
      </c>
      <c r="C192" s="255">
        <v>0</v>
      </c>
      <c r="D192" s="228">
        <f>'B) D RI'!AR193</f>
        <v>1161</v>
      </c>
      <c r="E192" s="229">
        <f>'B) D RI'!S193</f>
        <v>64</v>
      </c>
      <c r="F192" s="10">
        <f>'B) D RI'!R193</f>
        <v>5268938.37</v>
      </c>
      <c r="G192" s="10">
        <f>'B) D RI'!U193</f>
        <v>82327.162031250002</v>
      </c>
      <c r="H192" s="43">
        <f>'B) D RI'!T193</f>
        <v>4995546.07</v>
      </c>
      <c r="I192" s="10">
        <f t="shared" si="19"/>
        <v>156110.81468750001</v>
      </c>
      <c r="J192" s="33">
        <f t="shared" si="27"/>
        <v>99983.200321957775</v>
      </c>
      <c r="K192" s="10">
        <f t="shared" si="16"/>
        <v>99983.200321957775</v>
      </c>
      <c r="L192" s="10">
        <f t="shared" si="20"/>
        <v>0</v>
      </c>
      <c r="M192" s="10">
        <f>'D) Ecrêtage'!M191</f>
        <v>78039.512063475704</v>
      </c>
      <c r="N192" s="10">
        <f t="shared" si="17"/>
        <v>96890.436141200276</v>
      </c>
      <c r="O192" s="59">
        <f t="shared" si="18"/>
        <v>196873.63646315807</v>
      </c>
      <c r="P192" s="230"/>
      <c r="Q192" s="231"/>
      <c r="R192" s="227"/>
      <c r="S192" s="227"/>
      <c r="T192" s="232"/>
    </row>
    <row r="193" spans="1:20" s="226" customFormat="1" x14ac:dyDescent="0.25">
      <c r="A193" s="340">
        <f>'A) Base RI'!A194</f>
        <v>5715</v>
      </c>
      <c r="B193" s="239" t="str">
        <f>'A) Base RI'!B194</f>
        <v>Duillier</v>
      </c>
      <c r="C193" s="255">
        <v>0</v>
      </c>
      <c r="D193" s="228">
        <f>'B) D RI'!AR194</f>
        <v>1078</v>
      </c>
      <c r="E193" s="229">
        <f>'B) D RI'!S194</f>
        <v>66</v>
      </c>
      <c r="F193" s="10">
        <f>'B) D RI'!R194</f>
        <v>3919391.02</v>
      </c>
      <c r="G193" s="10">
        <f>'B) D RI'!U194</f>
        <v>59384.712424242425</v>
      </c>
      <c r="H193" s="43">
        <f>'B) D RI'!T194</f>
        <v>3663709.17</v>
      </c>
      <c r="I193" s="10">
        <f t="shared" si="19"/>
        <v>111021.48999999999</v>
      </c>
      <c r="J193" s="33">
        <f t="shared" si="27"/>
        <v>92835.391857941853</v>
      </c>
      <c r="K193" s="10">
        <f t="shared" ref="K193:K253" si="28">IF(C193=1,0,IF(J193&gt;I193,I193,J193))</f>
        <v>92835.391857941853</v>
      </c>
      <c r="L193" s="10">
        <f t="shared" si="20"/>
        <v>0</v>
      </c>
      <c r="M193" s="10">
        <f>'D) Ecrêtage'!M192</f>
        <v>59384.712424242425</v>
      </c>
      <c r="N193" s="10">
        <f t="shared" ref="N193:N253" si="29">+$N$5*M193</f>
        <v>73729.454923098121</v>
      </c>
      <c r="O193" s="59">
        <f t="shared" ref="O193:O253" si="30">+N193+K193</f>
        <v>166564.84678103996</v>
      </c>
      <c r="P193" s="230"/>
      <c r="Q193" s="231"/>
      <c r="R193" s="227"/>
      <c r="S193" s="227"/>
      <c r="T193" s="232"/>
    </row>
    <row r="194" spans="1:20" s="226" customFormat="1" x14ac:dyDescent="0.25">
      <c r="A194" s="340">
        <f>'A) Base RI'!A195</f>
        <v>5716</v>
      </c>
      <c r="B194" s="239" t="str">
        <f>'A) Base RI'!B195</f>
        <v>Eysins</v>
      </c>
      <c r="C194" s="255">
        <v>0</v>
      </c>
      <c r="D194" s="228">
        <f>'B) D RI'!AR195</f>
        <v>1603</v>
      </c>
      <c r="E194" s="229">
        <f>'B) D RI'!S195</f>
        <v>61</v>
      </c>
      <c r="F194" s="10">
        <f>'B) D RI'!R195</f>
        <v>8298834.9199999999</v>
      </c>
      <c r="G194" s="10">
        <f>'B) D RI'!U195</f>
        <v>136046.47409836066</v>
      </c>
      <c r="H194" s="43">
        <f>'B) D RI'!T195</f>
        <v>7690500.1200000001</v>
      </c>
      <c r="I194" s="10">
        <f t="shared" ref="I194:I254" si="31">+H194/E194*$I$5</f>
        <v>252147.5449180328</v>
      </c>
      <c r="J194" s="33">
        <f t="shared" si="27"/>
        <v>138047.43334719923</v>
      </c>
      <c r="K194" s="10">
        <f t="shared" si="28"/>
        <v>138047.43334719923</v>
      </c>
      <c r="L194" s="10">
        <f t="shared" ref="L194:L254" si="32">+J194-K194</f>
        <v>0</v>
      </c>
      <c r="M194" s="10">
        <f>'D) Ecrêtage'!M193</f>
        <v>123435.81252189125</v>
      </c>
      <c r="N194" s="10">
        <f t="shared" si="29"/>
        <v>153252.49216014656</v>
      </c>
      <c r="O194" s="59">
        <f t="shared" si="30"/>
        <v>291299.92550734582</v>
      </c>
      <c r="P194" s="230"/>
      <c r="Q194" s="231"/>
      <c r="R194" s="227"/>
      <c r="S194" s="227"/>
      <c r="T194" s="232"/>
    </row>
    <row r="195" spans="1:20" s="226" customFormat="1" x14ac:dyDescent="0.25">
      <c r="A195" s="340">
        <f>'A) Base RI'!A196</f>
        <v>5717</v>
      </c>
      <c r="B195" s="239" t="str">
        <f>'A) Base RI'!B196</f>
        <v>Founex</v>
      </c>
      <c r="C195" s="255">
        <v>0</v>
      </c>
      <c r="D195" s="228">
        <f>'B) D RI'!AR196</f>
        <v>3788</v>
      </c>
      <c r="E195" s="229">
        <f>'B) D RI'!S196</f>
        <v>57</v>
      </c>
      <c r="F195" s="10">
        <f>'B) D RI'!R196</f>
        <v>19502318.359999999</v>
      </c>
      <c r="G195" s="10">
        <f>'B) D RI'!U196</f>
        <v>342145.93614035088</v>
      </c>
      <c r="H195" s="43">
        <f>'B) D RI'!T196</f>
        <v>18254203.309999999</v>
      </c>
      <c r="I195" s="10">
        <f t="shared" si="31"/>
        <v>640498.36175438587</v>
      </c>
      <c r="J195" s="33">
        <f t="shared" si="27"/>
        <v>326215.64411677525</v>
      </c>
      <c r="K195" s="10">
        <f t="shared" si="28"/>
        <v>326215.64411677525</v>
      </c>
      <c r="L195" s="10">
        <f t="shared" si="32"/>
        <v>0</v>
      </c>
      <c r="M195" s="10">
        <f>'D) Ecrêtage'!M194</f>
        <v>306169.11911949283</v>
      </c>
      <c r="N195" s="10">
        <f t="shared" si="29"/>
        <v>380126.15276638308</v>
      </c>
      <c r="O195" s="59">
        <f t="shared" si="30"/>
        <v>706341.79688315839</v>
      </c>
      <c r="P195" s="230"/>
      <c r="Q195" s="231"/>
      <c r="R195" s="227"/>
      <c r="S195" s="227"/>
      <c r="T195" s="232"/>
    </row>
    <row r="196" spans="1:20" s="226" customFormat="1" x14ac:dyDescent="0.25">
      <c r="A196" s="340">
        <f>'A) Base RI'!A197</f>
        <v>5718</v>
      </c>
      <c r="B196" s="239" t="str">
        <f>'A) Base RI'!B197</f>
        <v>Genolier</v>
      </c>
      <c r="C196" s="255">
        <v>0</v>
      </c>
      <c r="D196" s="228">
        <f>'B) D RI'!AR197</f>
        <v>1945</v>
      </c>
      <c r="E196" s="229">
        <f>'B) D RI'!S197</f>
        <v>55</v>
      </c>
      <c r="F196" s="10">
        <f>'B) D RI'!R197</f>
        <v>9931559.3800000027</v>
      </c>
      <c r="G196" s="10">
        <f>'B) D RI'!U197</f>
        <v>180573.80690909096</v>
      </c>
      <c r="H196" s="43">
        <f>'B) D RI'!T197</f>
        <v>9318646.2800000012</v>
      </c>
      <c r="I196" s="10">
        <f t="shared" si="31"/>
        <v>338859.86472727277</v>
      </c>
      <c r="J196" s="33">
        <f t="shared" si="27"/>
        <v>167499.8489459155</v>
      </c>
      <c r="K196" s="10">
        <f t="shared" si="28"/>
        <v>167499.8489459155</v>
      </c>
      <c r="L196" s="10">
        <f t="shared" si="32"/>
        <v>0</v>
      </c>
      <c r="M196" s="10">
        <f>'D) Ecrêtage'!M195</f>
        <v>160603.19784979385</v>
      </c>
      <c r="N196" s="10">
        <f t="shared" si="29"/>
        <v>199397.88799142008</v>
      </c>
      <c r="O196" s="59">
        <f t="shared" si="30"/>
        <v>366897.73693733558</v>
      </c>
      <c r="P196" s="230"/>
      <c r="Q196" s="231"/>
      <c r="R196" s="227"/>
      <c r="S196" s="227"/>
      <c r="T196" s="232"/>
    </row>
    <row r="197" spans="1:20" s="226" customFormat="1" x14ac:dyDescent="0.25">
      <c r="A197" s="340">
        <f>'A) Base RI'!A198</f>
        <v>5719</v>
      </c>
      <c r="B197" s="239" t="str">
        <f>'A) Base RI'!B198</f>
        <v>Gingins</v>
      </c>
      <c r="C197" s="255">
        <v>0</v>
      </c>
      <c r="D197" s="228">
        <f>'B) D RI'!AR198</f>
        <v>1212</v>
      </c>
      <c r="E197" s="229">
        <f>'B) D RI'!S198</f>
        <v>57</v>
      </c>
      <c r="F197" s="10">
        <f>'B) D RI'!R198</f>
        <v>7494431.2466666652</v>
      </c>
      <c r="G197" s="10">
        <f>'B) D RI'!U198</f>
        <v>131481.24994152045</v>
      </c>
      <c r="H197" s="43">
        <f>'B) D RI'!T198</f>
        <v>7127873.4799999986</v>
      </c>
      <c r="I197" s="10">
        <f t="shared" si="31"/>
        <v>250100.82385964907</v>
      </c>
      <c r="J197" s="33">
        <f t="shared" si="27"/>
        <v>104375.22720948565</v>
      </c>
      <c r="K197" s="10">
        <f t="shared" si="28"/>
        <v>104375.22720948565</v>
      </c>
      <c r="L197" s="10">
        <f t="shared" si="32"/>
        <v>0</v>
      </c>
      <c r="M197" s="10">
        <f>'D) Ecrêtage'!M196</f>
        <v>112135.70327468452</v>
      </c>
      <c r="N197" s="10">
        <f t="shared" si="29"/>
        <v>139222.77202921439</v>
      </c>
      <c r="O197" s="59">
        <f t="shared" si="30"/>
        <v>243597.99923870002</v>
      </c>
      <c r="P197" s="230"/>
      <c r="Q197" s="231"/>
      <c r="R197" s="227"/>
      <c r="S197" s="227"/>
      <c r="T197" s="232"/>
    </row>
    <row r="198" spans="1:20" s="226" customFormat="1" x14ac:dyDescent="0.25">
      <c r="A198" s="340">
        <f>'A) Base RI'!A199</f>
        <v>5720</v>
      </c>
      <c r="B198" s="239" t="str">
        <f>'A) Base RI'!B199</f>
        <v>Givrins</v>
      </c>
      <c r="C198" s="255">
        <v>0</v>
      </c>
      <c r="D198" s="228">
        <f>'B) D RI'!AR199</f>
        <v>995</v>
      </c>
      <c r="E198" s="229">
        <f>'B) D RI'!S199</f>
        <v>61</v>
      </c>
      <c r="F198" s="10">
        <f>'B) D RI'!R199</f>
        <v>4420556.2822222216</v>
      </c>
      <c r="G198" s="10">
        <f>'B) D RI'!U199</f>
        <v>72468.135774134775</v>
      </c>
      <c r="H198" s="43">
        <f>'B) D RI'!T199</f>
        <v>4137286.0599999996</v>
      </c>
      <c r="I198" s="10">
        <f t="shared" si="31"/>
        <v>135648.7232786885</v>
      </c>
      <c r="J198" s="33">
        <f t="shared" si="27"/>
        <v>85687.583393925917</v>
      </c>
      <c r="K198" s="10">
        <f t="shared" si="28"/>
        <v>85687.583393925917</v>
      </c>
      <c r="L198" s="10">
        <f t="shared" si="32"/>
        <v>0</v>
      </c>
      <c r="M198" s="10">
        <f>'D) Ecrêtage'!M197</f>
        <v>68221.808847066932</v>
      </c>
      <c r="N198" s="10">
        <f t="shared" si="29"/>
        <v>84701.20633452246</v>
      </c>
      <c r="O198" s="59">
        <f t="shared" si="30"/>
        <v>170388.78972844838</v>
      </c>
      <c r="P198" s="230"/>
      <c r="Q198" s="231"/>
      <c r="R198" s="227"/>
      <c r="S198" s="227"/>
      <c r="T198" s="232"/>
    </row>
    <row r="199" spans="1:20" s="226" customFormat="1" x14ac:dyDescent="0.25">
      <c r="A199" s="340">
        <f>'A) Base RI'!A200</f>
        <v>5721</v>
      </c>
      <c r="B199" s="239" t="str">
        <f>'A) Base RI'!B200</f>
        <v>Gland</v>
      </c>
      <c r="C199" s="255">
        <v>0</v>
      </c>
      <c r="D199" s="228">
        <f>'B) D RI'!AR200</f>
        <v>13081</v>
      </c>
      <c r="E199" s="229">
        <f>'B) D RI'!S200</f>
        <v>62.5</v>
      </c>
      <c r="F199" s="10">
        <f>'B) D RI'!R200</f>
        <v>37621742.57</v>
      </c>
      <c r="G199" s="10">
        <f>'B) D RI'!U200</f>
        <v>601947.88112000003</v>
      </c>
      <c r="H199" s="43">
        <f>'B) D RI'!T200</f>
        <v>34666689.32</v>
      </c>
      <c r="I199" s="10">
        <f t="shared" si="31"/>
        <v>1109334.0582399999</v>
      </c>
      <c r="J199" s="33">
        <f t="shared" si="27"/>
        <v>1126511.8375637638</v>
      </c>
      <c r="K199" s="10">
        <f t="shared" si="28"/>
        <v>1109334.0582399999</v>
      </c>
      <c r="L199" s="10">
        <f t="shared" si="32"/>
        <v>17177.779323763913</v>
      </c>
      <c r="M199" s="10">
        <f>'D) Ecrêtage'!M198</f>
        <v>601947.88112000003</v>
      </c>
      <c r="N199" s="10">
        <f t="shared" si="29"/>
        <v>747352.09375155345</v>
      </c>
      <c r="O199" s="59">
        <f t="shared" si="30"/>
        <v>1856686.1519915534</v>
      </c>
      <c r="P199" s="230"/>
      <c r="Q199" s="231"/>
      <c r="R199" s="227"/>
      <c r="S199" s="227"/>
      <c r="T199" s="232"/>
    </row>
    <row r="200" spans="1:20" s="226" customFormat="1" x14ac:dyDescent="0.25">
      <c r="A200" s="340">
        <f>'A) Base RI'!A201</f>
        <v>5722</v>
      </c>
      <c r="B200" s="239" t="str">
        <f>'A) Base RI'!B201</f>
        <v>Grens</v>
      </c>
      <c r="C200" s="255">
        <v>0</v>
      </c>
      <c r="D200" s="228">
        <f>'B) D RI'!AR201</f>
        <v>382</v>
      </c>
      <c r="E200" s="229">
        <f>'B) D RI'!S201</f>
        <v>62</v>
      </c>
      <c r="F200" s="10">
        <f>'B) D RI'!R201</f>
        <v>1568942.5700000003</v>
      </c>
      <c r="G200" s="10">
        <f>'B) D RI'!U201</f>
        <v>25305.525322580648</v>
      </c>
      <c r="H200" s="43">
        <f>'B) D RI'!T201</f>
        <v>1481701.4700000002</v>
      </c>
      <c r="I200" s="10">
        <f t="shared" si="31"/>
        <v>47796.82161290323</v>
      </c>
      <c r="J200" s="33">
        <f t="shared" si="27"/>
        <v>32897.14256932633</v>
      </c>
      <c r="K200" s="10">
        <f t="shared" si="28"/>
        <v>32897.14256932633</v>
      </c>
      <c r="L200" s="10">
        <f t="shared" si="32"/>
        <v>0</v>
      </c>
      <c r="M200" s="10">
        <f>'D) Ecrêtage'!M199</f>
        <v>24348.700505589088</v>
      </c>
      <c r="N200" s="10">
        <f t="shared" si="29"/>
        <v>30230.278855909582</v>
      </c>
      <c r="O200" s="59">
        <f t="shared" si="30"/>
        <v>63127.421425235909</v>
      </c>
      <c r="P200" s="230"/>
      <c r="Q200" s="231"/>
      <c r="R200" s="227"/>
      <c r="S200" s="227"/>
      <c r="T200" s="232"/>
    </row>
    <row r="201" spans="1:20" s="226" customFormat="1" x14ac:dyDescent="0.25">
      <c r="A201" s="340">
        <f>'A) Base RI'!A202</f>
        <v>5723</v>
      </c>
      <c r="B201" s="239" t="str">
        <f>'A) Base RI'!B202</f>
        <v>Mies</v>
      </c>
      <c r="C201" s="255">
        <v>0</v>
      </c>
      <c r="D201" s="228">
        <f>'B) D RI'!AR202</f>
        <v>2037</v>
      </c>
      <c r="E201" s="229">
        <f>'B) D RI'!S202</f>
        <v>49</v>
      </c>
      <c r="F201" s="10">
        <f>'B) D RI'!R202</f>
        <v>21794009.629999995</v>
      </c>
      <c r="G201" s="10">
        <f>'B) D RI'!U202</f>
        <v>444775.70673469378</v>
      </c>
      <c r="H201" s="43">
        <f>'B) D RI'!T202</f>
        <v>21018449.429999996</v>
      </c>
      <c r="I201" s="10">
        <f t="shared" si="31"/>
        <v>857895.89510204061</v>
      </c>
      <c r="J201" s="33">
        <f t="shared" si="27"/>
        <v>175422.72097831868</v>
      </c>
      <c r="K201" s="10">
        <f t="shared" si="28"/>
        <v>175422.72097831868</v>
      </c>
      <c r="L201" s="10">
        <f t="shared" si="32"/>
        <v>0</v>
      </c>
      <c r="M201" s="10">
        <f>'D) Ecrêtage'!M200</f>
        <v>320274.23723898944</v>
      </c>
      <c r="N201" s="10">
        <f t="shared" si="29"/>
        <v>397638.44891336013</v>
      </c>
      <c r="O201" s="59">
        <f t="shared" si="30"/>
        <v>573061.16989167884</v>
      </c>
      <c r="P201" s="230"/>
      <c r="Q201" s="231"/>
      <c r="R201" s="227"/>
      <c r="S201" s="227"/>
      <c r="T201" s="232"/>
    </row>
    <row r="202" spans="1:20" s="226" customFormat="1" x14ac:dyDescent="0.25">
      <c r="A202" s="340">
        <f>'A) Base RI'!A203</f>
        <v>5724</v>
      </c>
      <c r="B202" s="239" t="str">
        <f>'A) Base RI'!B203</f>
        <v>Nyon</v>
      </c>
      <c r="C202" s="255">
        <v>1</v>
      </c>
      <c r="D202" s="228">
        <f>'B) D RI'!AR203</f>
        <v>20551</v>
      </c>
      <c r="E202" s="229">
        <f>'B) D RI'!S203</f>
        <v>61</v>
      </c>
      <c r="F202" s="10">
        <f>'B) D RI'!R203</f>
        <v>80247415.176923066</v>
      </c>
      <c r="G202" s="10">
        <f>'B) D RI'!U203</f>
        <v>1315531.3963430012</v>
      </c>
      <c r="H202" s="43">
        <f>'B) D RI'!T203</f>
        <v>74938466.549999997</v>
      </c>
      <c r="I202" s="10">
        <f t="shared" si="31"/>
        <v>2456998.9032786884</v>
      </c>
      <c r="J202" s="33">
        <f t="shared" si="27"/>
        <v>1769814.5993251975</v>
      </c>
      <c r="K202" s="10">
        <f t="shared" si="28"/>
        <v>0</v>
      </c>
      <c r="L202" s="10">
        <f t="shared" si="32"/>
        <v>1769814.5993251975</v>
      </c>
      <c r="M202" s="10">
        <f>'D) Ecrêtage'!M201</f>
        <v>1274788.3959276013</v>
      </c>
      <c r="N202" s="10">
        <f t="shared" si="29"/>
        <v>1582721.3728438234</v>
      </c>
      <c r="O202" s="59">
        <f t="shared" si="30"/>
        <v>1582721.3728438234</v>
      </c>
      <c r="P202" s="230"/>
      <c r="Q202" s="231"/>
      <c r="R202" s="227"/>
      <c r="S202" s="227"/>
      <c r="T202" s="232"/>
    </row>
    <row r="203" spans="1:20" s="226" customFormat="1" x14ac:dyDescent="0.25">
      <c r="A203" s="340">
        <f>'A) Base RI'!A204</f>
        <v>5725</v>
      </c>
      <c r="B203" s="239" t="str">
        <f>'A) Base RI'!B204</f>
        <v>Prangins</v>
      </c>
      <c r="C203" s="255">
        <v>1</v>
      </c>
      <c r="D203" s="228">
        <f>'B) D RI'!AR204</f>
        <v>4069</v>
      </c>
      <c r="E203" s="229">
        <f>'B) D RI'!S204</f>
        <v>56</v>
      </c>
      <c r="F203" s="10">
        <f>'B) D RI'!R204</f>
        <v>16701080.21142857</v>
      </c>
      <c r="G203" s="10">
        <f>'B) D RI'!U204</f>
        <v>298233.5752040816</v>
      </c>
      <c r="H203" s="43">
        <f>'B) D RI'!T204</f>
        <v>15562116.439999999</v>
      </c>
      <c r="I203" s="10">
        <f t="shared" si="31"/>
        <v>555789.87285714282</v>
      </c>
      <c r="J203" s="33">
        <f t="shared" si="27"/>
        <v>350414.85108531109</v>
      </c>
      <c r="K203" s="10">
        <f t="shared" si="28"/>
        <v>0</v>
      </c>
      <c r="L203" s="10">
        <f t="shared" si="32"/>
        <v>350414.85108531109</v>
      </c>
      <c r="M203" s="10">
        <f>'D) Ecrêtage'!M202</f>
        <v>280306.63695050572</v>
      </c>
      <c r="N203" s="10">
        <f t="shared" si="29"/>
        <v>348016.42897660605</v>
      </c>
      <c r="O203" s="59">
        <f t="shared" si="30"/>
        <v>348016.42897660605</v>
      </c>
      <c r="P203" s="230"/>
      <c r="Q203" s="231"/>
      <c r="R203" s="227"/>
      <c r="S203" s="227"/>
      <c r="T203" s="232"/>
    </row>
    <row r="204" spans="1:20" s="226" customFormat="1" x14ac:dyDescent="0.25">
      <c r="A204" s="340">
        <f>'A) Base RI'!A205</f>
        <v>5726</v>
      </c>
      <c r="B204" s="239" t="str">
        <f>'A) Base RI'!B205</f>
        <v>La Rippe</v>
      </c>
      <c r="C204" s="255">
        <v>0</v>
      </c>
      <c r="D204" s="228">
        <f>'B) D RI'!AR205</f>
        <v>1164</v>
      </c>
      <c r="E204" s="229">
        <f>'B) D RI'!S205</f>
        <v>65</v>
      </c>
      <c r="F204" s="10">
        <f>'B) D RI'!R205</f>
        <v>3696418.3000000003</v>
      </c>
      <c r="G204" s="10">
        <f>'B) D RI'!U205</f>
        <v>56867.973846153851</v>
      </c>
      <c r="H204" s="43">
        <f>'B) D RI'!T205</f>
        <v>3450332.0000000005</v>
      </c>
      <c r="I204" s="10">
        <f t="shared" si="31"/>
        <v>106164.06153846155</v>
      </c>
      <c r="J204" s="33">
        <f t="shared" si="27"/>
        <v>100241.55484475354</v>
      </c>
      <c r="K204" s="10">
        <f t="shared" si="28"/>
        <v>100241.55484475354</v>
      </c>
      <c r="L204" s="10">
        <f t="shared" si="32"/>
        <v>0</v>
      </c>
      <c r="M204" s="10">
        <f>'D) Ecrêtage'!M203</f>
        <v>56867.973846153851</v>
      </c>
      <c r="N204" s="10">
        <f t="shared" si="29"/>
        <v>70604.782663665668</v>
      </c>
      <c r="O204" s="59">
        <f t="shared" si="30"/>
        <v>170846.33750841921</v>
      </c>
      <c r="P204" s="230"/>
      <c r="Q204" s="231"/>
      <c r="R204" s="227"/>
      <c r="S204" s="227"/>
      <c r="T204" s="232"/>
    </row>
    <row r="205" spans="1:20" s="226" customFormat="1" x14ac:dyDescent="0.25">
      <c r="A205" s="340">
        <f>'A) Base RI'!A206</f>
        <v>5727</v>
      </c>
      <c r="B205" s="239" t="str">
        <f>'A) Base RI'!B206</f>
        <v>Saint-Cergue</v>
      </c>
      <c r="C205" s="255">
        <v>0</v>
      </c>
      <c r="D205" s="228">
        <f>'B) D RI'!AR206</f>
        <v>2559</v>
      </c>
      <c r="E205" s="229">
        <f>'B) D RI'!S206</f>
        <v>66</v>
      </c>
      <c r="F205" s="10">
        <f>'B) D RI'!R206</f>
        <v>6632223.3033333337</v>
      </c>
      <c r="G205" s="10">
        <f>'B) D RI'!U206</f>
        <v>100488.23186868687</v>
      </c>
      <c r="H205" s="43">
        <f>'B) D RI'!T206</f>
        <v>6152297.1699999999</v>
      </c>
      <c r="I205" s="10">
        <f t="shared" si="31"/>
        <v>186433.24757575756</v>
      </c>
      <c r="J205" s="33">
        <f t="shared" si="27"/>
        <v>220376.40794478034</v>
      </c>
      <c r="K205" s="10">
        <f t="shared" si="28"/>
        <v>186433.24757575756</v>
      </c>
      <c r="L205" s="10">
        <f t="shared" si="32"/>
        <v>33943.160369022778</v>
      </c>
      <c r="M205" s="10">
        <f>'D) Ecrêtage'!M204</f>
        <v>100488.23186868687</v>
      </c>
      <c r="N205" s="10">
        <f t="shared" si="29"/>
        <v>124761.78227377677</v>
      </c>
      <c r="O205" s="59">
        <f t="shared" si="30"/>
        <v>311195.02984953433</v>
      </c>
      <c r="P205" s="230"/>
      <c r="Q205" s="231"/>
      <c r="R205" s="227"/>
      <c r="S205" s="227"/>
      <c r="T205" s="232"/>
    </row>
    <row r="206" spans="1:20" s="226" customFormat="1" x14ac:dyDescent="0.25">
      <c r="A206" s="340">
        <f>'A) Base RI'!A207</f>
        <v>5728</v>
      </c>
      <c r="B206" s="239" t="str">
        <f>'A) Base RI'!B207</f>
        <v>Signy-Avenex</v>
      </c>
      <c r="C206" s="255">
        <v>0</v>
      </c>
      <c r="D206" s="228">
        <f>'B) D RI'!AR207</f>
        <v>567</v>
      </c>
      <c r="E206" s="229">
        <f>'B) D RI'!S207</f>
        <v>58</v>
      </c>
      <c r="F206" s="10">
        <f>'B) D RI'!R207</f>
        <v>2270367.15</v>
      </c>
      <c r="G206" s="10">
        <f>'B) D RI'!U207</f>
        <v>39144.261206896554</v>
      </c>
      <c r="H206" s="43">
        <f>'B) D RI'!T207</f>
        <v>2016950.8499999999</v>
      </c>
      <c r="I206" s="10">
        <f t="shared" si="31"/>
        <v>69550.02931034482</v>
      </c>
      <c r="J206" s="33">
        <f t="shared" si="27"/>
        <v>48829.004808397985</v>
      </c>
      <c r="K206" s="10">
        <f t="shared" si="28"/>
        <v>48829.004808397985</v>
      </c>
      <c r="L206" s="10">
        <f t="shared" si="32"/>
        <v>0</v>
      </c>
      <c r="M206" s="10">
        <f>'D) Ecrêtage'!M205</f>
        <v>37353.52716698312</v>
      </c>
      <c r="N206" s="10">
        <f t="shared" si="29"/>
        <v>46376.501376346212</v>
      </c>
      <c r="O206" s="59">
        <f t="shared" si="30"/>
        <v>95205.506184744198</v>
      </c>
      <c r="P206" s="230"/>
      <c r="Q206" s="231"/>
      <c r="R206" s="227"/>
      <c r="S206" s="227"/>
      <c r="T206" s="232"/>
    </row>
    <row r="207" spans="1:20" s="226" customFormat="1" x14ac:dyDescent="0.25">
      <c r="A207" s="340">
        <f>'A) Base RI'!A208</f>
        <v>5729</v>
      </c>
      <c r="B207" s="239" t="str">
        <f>'A) Base RI'!B208</f>
        <v>Tannay</v>
      </c>
      <c r="C207" s="255">
        <v>0</v>
      </c>
      <c r="D207" s="228">
        <f>'B) D RI'!AR208</f>
        <v>1585</v>
      </c>
      <c r="E207" s="229">
        <f>'B) D RI'!S208</f>
        <v>61</v>
      </c>
      <c r="F207" s="10">
        <f>'B) D RI'!R208</f>
        <v>10721252.026666667</v>
      </c>
      <c r="G207" s="10">
        <f>'B) D RI'!U208</f>
        <v>175758.22994535521</v>
      </c>
      <c r="H207" s="43">
        <f>'B) D RI'!T208</f>
        <v>10190588.810000001</v>
      </c>
      <c r="I207" s="10">
        <f t="shared" si="31"/>
        <v>334117.66590163938</v>
      </c>
      <c r="J207" s="33">
        <f t="shared" si="27"/>
        <v>136497.30621042469</v>
      </c>
      <c r="K207" s="10">
        <f t="shared" si="28"/>
        <v>136497.30621042469</v>
      </c>
      <c r="L207" s="10">
        <f t="shared" si="32"/>
        <v>0</v>
      </c>
      <c r="M207" s="10">
        <f>'D) Ecrêtage'!M206</f>
        <v>149071.09635277546</v>
      </c>
      <c r="N207" s="10">
        <f t="shared" si="29"/>
        <v>185080.13645599442</v>
      </c>
      <c r="O207" s="59">
        <f t="shared" si="30"/>
        <v>321577.44266641908</v>
      </c>
      <c r="P207" s="230"/>
      <c r="Q207" s="231"/>
      <c r="R207" s="227"/>
      <c r="S207" s="227"/>
      <c r="T207" s="232"/>
    </row>
    <row r="208" spans="1:20" s="226" customFormat="1" x14ac:dyDescent="0.25">
      <c r="A208" s="340">
        <f>'A) Base RI'!A209</f>
        <v>5730</v>
      </c>
      <c r="B208" s="239" t="str">
        <f>'A) Base RI'!B209</f>
        <v>Trélex</v>
      </c>
      <c r="C208" s="255">
        <v>0</v>
      </c>
      <c r="D208" s="228">
        <f>'B) D RI'!AR209</f>
        <v>1405</v>
      </c>
      <c r="E208" s="229">
        <f>'B) D RI'!S209</f>
        <v>57</v>
      </c>
      <c r="F208" s="10">
        <f>'B) D RI'!R209</f>
        <v>5996777.6422222219</v>
      </c>
      <c r="G208" s="10">
        <f>'B) D RI'!U209</f>
        <v>105206.62530214424</v>
      </c>
      <c r="H208" s="43">
        <f>'B) D RI'!T209</f>
        <v>5596388.2199999997</v>
      </c>
      <c r="I208" s="10">
        <f t="shared" si="31"/>
        <v>196364.49894736841</v>
      </c>
      <c r="J208" s="33">
        <f t="shared" si="27"/>
        <v>120996.03484267931</v>
      </c>
      <c r="K208" s="10">
        <f t="shared" si="28"/>
        <v>120996.03484267931</v>
      </c>
      <c r="L208" s="10">
        <f t="shared" si="32"/>
        <v>0</v>
      </c>
      <c r="M208" s="10">
        <f>'D) Ecrêtage'!M207</f>
        <v>98350.258573491388</v>
      </c>
      <c r="N208" s="10">
        <f t="shared" si="29"/>
        <v>122107.36838070632</v>
      </c>
      <c r="O208" s="59">
        <f t="shared" si="30"/>
        <v>243103.40322338563</v>
      </c>
      <c r="P208" s="230"/>
      <c r="Q208" s="231"/>
      <c r="R208" s="227"/>
      <c r="S208" s="227"/>
      <c r="T208" s="232"/>
    </row>
    <row r="209" spans="1:20" s="226" customFormat="1" x14ac:dyDescent="0.25">
      <c r="A209" s="340">
        <f>'A) Base RI'!A210</f>
        <v>5731</v>
      </c>
      <c r="B209" s="239" t="str">
        <f>'A) Base RI'!B210</f>
        <v>Le Vaud</v>
      </c>
      <c r="C209" s="255">
        <v>0</v>
      </c>
      <c r="D209" s="228">
        <f>'B) D RI'!AR210</f>
        <v>1283</v>
      </c>
      <c r="E209" s="229">
        <f>'B) D RI'!S210</f>
        <v>75</v>
      </c>
      <c r="F209" s="10">
        <f>'B) D RI'!R210</f>
        <v>3816999.9899999998</v>
      </c>
      <c r="G209" s="10">
        <f>'B) D RI'!U210</f>
        <v>50893.333199999994</v>
      </c>
      <c r="H209" s="43">
        <f>'B) D RI'!T210</f>
        <v>3570620.8899999997</v>
      </c>
      <c r="I209" s="10">
        <f t="shared" si="31"/>
        <v>95216.557066666661</v>
      </c>
      <c r="J209" s="33">
        <f t="shared" si="27"/>
        <v>110489.61758231855</v>
      </c>
      <c r="K209" s="10">
        <f t="shared" si="28"/>
        <v>95216.557066666661</v>
      </c>
      <c r="L209" s="10">
        <f t="shared" si="32"/>
        <v>15273.060515651887</v>
      </c>
      <c r="M209" s="10">
        <f>'D) Ecrêtage'!M208</f>
        <v>50893.333199999994</v>
      </c>
      <c r="N209" s="10">
        <f t="shared" si="29"/>
        <v>63186.93082571547</v>
      </c>
      <c r="O209" s="59">
        <f t="shared" si="30"/>
        <v>158403.48789238214</v>
      </c>
      <c r="P209" s="230"/>
      <c r="Q209" s="231"/>
      <c r="R209" s="227"/>
      <c r="S209" s="227"/>
      <c r="T209" s="232"/>
    </row>
    <row r="210" spans="1:20" s="226" customFormat="1" x14ac:dyDescent="0.25">
      <c r="A210" s="340">
        <f>'A) Base RI'!A211</f>
        <v>5732</v>
      </c>
      <c r="B210" s="239" t="str">
        <f>'A) Base RI'!B211</f>
        <v>Vich</v>
      </c>
      <c r="C210" s="255">
        <v>0</v>
      </c>
      <c r="D210" s="228">
        <f>'B) D RI'!AR211</f>
        <v>1026</v>
      </c>
      <c r="E210" s="229">
        <f>'B) D RI'!S211</f>
        <v>68</v>
      </c>
      <c r="F210" s="10">
        <f>'B) D RI'!R211</f>
        <v>4309925.9399999995</v>
      </c>
      <c r="G210" s="10">
        <f>'B) D RI'!U211</f>
        <v>63381.263823529407</v>
      </c>
      <c r="H210" s="43">
        <f>'B) D RI'!T211</f>
        <v>3986578.94</v>
      </c>
      <c r="I210" s="10">
        <f t="shared" si="31"/>
        <v>117252.32176470588</v>
      </c>
      <c r="J210" s="33">
        <f t="shared" si="27"/>
        <v>88357.246796148742</v>
      </c>
      <c r="K210" s="10">
        <f t="shared" si="28"/>
        <v>88357.246796148742</v>
      </c>
      <c r="L210" s="10">
        <f t="shared" si="32"/>
        <v>0</v>
      </c>
      <c r="M210" s="10">
        <f>'D) Ecrêtage'!M209</f>
        <v>61884.470809538463</v>
      </c>
      <c r="N210" s="10">
        <f t="shared" si="29"/>
        <v>76833.045319741723</v>
      </c>
      <c r="O210" s="59">
        <f t="shared" si="30"/>
        <v>165190.29211589048</v>
      </c>
      <c r="P210" s="230"/>
      <c r="Q210" s="231"/>
      <c r="R210" s="227"/>
      <c r="S210" s="227"/>
      <c r="T210" s="232"/>
    </row>
    <row r="211" spans="1:20" s="226" customFormat="1" x14ac:dyDescent="0.25">
      <c r="A211" s="340">
        <f>'A) Base RI'!A212</f>
        <v>5741</v>
      </c>
      <c r="B211" s="239" t="str">
        <f>'A) Base RI'!B212</f>
        <v>L'Abergement</v>
      </c>
      <c r="C211" s="255">
        <v>0</v>
      </c>
      <c r="D211" s="228">
        <f>'B) D RI'!AR212</f>
        <v>237</v>
      </c>
      <c r="E211" s="229">
        <f>'B) D RI'!S212</f>
        <v>81</v>
      </c>
      <c r="F211" s="10">
        <f>'B) D RI'!R212</f>
        <v>538718.06333333324</v>
      </c>
      <c r="G211" s="10">
        <f>'B) D RI'!U212</f>
        <v>6650.8402880658423</v>
      </c>
      <c r="H211" s="43">
        <f>'B) D RI'!T212</f>
        <v>502082.72999999992</v>
      </c>
      <c r="I211" s="10">
        <f t="shared" si="31"/>
        <v>12397.104444444443</v>
      </c>
      <c r="J211" s="33">
        <f t="shared" si="27"/>
        <v>20410.007300864767</v>
      </c>
      <c r="K211" s="10">
        <f t="shared" si="28"/>
        <v>12397.104444444443</v>
      </c>
      <c r="L211" s="10">
        <f t="shared" si="32"/>
        <v>8012.9028564203236</v>
      </c>
      <c r="M211" s="10">
        <f>'D) Ecrêtage'!M210</f>
        <v>6650.8402880658423</v>
      </c>
      <c r="N211" s="10">
        <f t="shared" si="29"/>
        <v>8257.3916619573665</v>
      </c>
      <c r="O211" s="59">
        <f t="shared" si="30"/>
        <v>20654.49610640181</v>
      </c>
      <c r="P211" s="230"/>
      <c r="Q211" s="231"/>
      <c r="R211" s="227"/>
      <c r="S211" s="227"/>
      <c r="T211" s="232"/>
    </row>
    <row r="212" spans="1:20" s="226" customFormat="1" x14ac:dyDescent="0.25">
      <c r="A212" s="340">
        <f>'A) Base RI'!A213</f>
        <v>5742</v>
      </c>
      <c r="B212" s="239" t="str">
        <f>'A) Base RI'!B213</f>
        <v>Agiez</v>
      </c>
      <c r="C212" s="255">
        <v>0</v>
      </c>
      <c r="D212" s="228">
        <f>'B) D RI'!AR213</f>
        <v>314</v>
      </c>
      <c r="E212" s="229">
        <f>'B) D RI'!S213</f>
        <v>76</v>
      </c>
      <c r="F212" s="10">
        <f>'B) D RI'!R213</f>
        <v>717769.8</v>
      </c>
      <c r="G212" s="10">
        <f>'B) D RI'!U213</f>
        <v>9444.339473684211</v>
      </c>
      <c r="H212" s="43">
        <f>'B) D RI'!T213</f>
        <v>670342.80000000005</v>
      </c>
      <c r="I212" s="10">
        <f t="shared" si="31"/>
        <v>17640.600000000002</v>
      </c>
      <c r="J212" s="33">
        <f t="shared" si="27"/>
        <v>27041.106719289186</v>
      </c>
      <c r="K212" s="10">
        <f t="shared" si="28"/>
        <v>17640.600000000002</v>
      </c>
      <c r="L212" s="10">
        <f t="shared" si="32"/>
        <v>9400.5067192891838</v>
      </c>
      <c r="M212" s="10">
        <f>'D) Ecrêtage'!M211</f>
        <v>9444.339473684211</v>
      </c>
      <c r="N212" s="10">
        <f t="shared" si="29"/>
        <v>11725.677755731243</v>
      </c>
      <c r="O212" s="59">
        <f t="shared" si="30"/>
        <v>29366.277755731244</v>
      </c>
      <c r="P212" s="230"/>
      <c r="Q212" s="231"/>
      <c r="R212" s="227"/>
      <c r="S212" s="227"/>
      <c r="T212" s="232"/>
    </row>
    <row r="213" spans="1:20" s="226" customFormat="1" x14ac:dyDescent="0.25">
      <c r="A213" s="340">
        <f>'A) Base RI'!A214</f>
        <v>5743</v>
      </c>
      <c r="B213" s="239" t="str">
        <f>'A) Base RI'!B214</f>
        <v>Arnex-sur-Orbe</v>
      </c>
      <c r="C213" s="255">
        <v>0</v>
      </c>
      <c r="D213" s="228">
        <f>'B) D RI'!AR214</f>
        <v>642</v>
      </c>
      <c r="E213" s="229">
        <f>'B) D RI'!S214</f>
        <v>73</v>
      </c>
      <c r="F213" s="10">
        <f>'B) D RI'!R214</f>
        <v>1289831.4650000001</v>
      </c>
      <c r="G213" s="10">
        <f>'B) D RI'!U214</f>
        <v>17668.924178082194</v>
      </c>
      <c r="H213" s="43">
        <f>'B) D RI'!T214</f>
        <v>1211652.5900000001</v>
      </c>
      <c r="I213" s="10">
        <f t="shared" si="31"/>
        <v>33195.961369863013</v>
      </c>
      <c r="J213" s="33">
        <f t="shared" si="27"/>
        <v>55287.867878291901</v>
      </c>
      <c r="K213" s="10">
        <f t="shared" si="28"/>
        <v>33195.961369863013</v>
      </c>
      <c r="L213" s="10">
        <f t="shared" si="32"/>
        <v>22091.906508428889</v>
      </c>
      <c r="M213" s="10">
        <f>'D) Ecrêtage'!M212</f>
        <v>17668.924178082194</v>
      </c>
      <c r="N213" s="10">
        <f t="shared" si="29"/>
        <v>21936.961476229098</v>
      </c>
      <c r="O213" s="59">
        <f t="shared" si="30"/>
        <v>55132.922846092115</v>
      </c>
      <c r="P213" s="230"/>
      <c r="Q213" s="231"/>
      <c r="R213" s="227"/>
      <c r="S213" s="227"/>
      <c r="T213" s="232"/>
    </row>
    <row r="214" spans="1:20" s="226" customFormat="1" x14ac:dyDescent="0.25">
      <c r="A214" s="340">
        <f>'A) Base RI'!A215</f>
        <v>5744</v>
      </c>
      <c r="B214" s="239" t="str">
        <f>'A) Base RI'!B215</f>
        <v>Ballaigues</v>
      </c>
      <c r="C214" s="255">
        <v>0</v>
      </c>
      <c r="D214" s="228">
        <f>'B) D RI'!AR215</f>
        <v>1095</v>
      </c>
      <c r="E214" s="229">
        <f>'B) D RI'!S215</f>
        <v>66</v>
      </c>
      <c r="F214" s="10">
        <f>'B) D RI'!R215</f>
        <v>4011002.6300000004</v>
      </c>
      <c r="G214" s="10">
        <f>'B) D RI'!U215</f>
        <v>60772.767121212128</v>
      </c>
      <c r="H214" s="43">
        <f>'B) D RI'!T215</f>
        <v>3844726.7300000004</v>
      </c>
      <c r="I214" s="10">
        <f t="shared" si="31"/>
        <v>116506.87060606062</v>
      </c>
      <c r="J214" s="33">
        <f t="shared" si="27"/>
        <v>94299.400820451134</v>
      </c>
      <c r="K214" s="10">
        <f t="shared" si="28"/>
        <v>94299.400820451134</v>
      </c>
      <c r="L214" s="10">
        <f t="shared" si="32"/>
        <v>0</v>
      </c>
      <c r="M214" s="10">
        <f>'D) Ecrêtage'!M213</f>
        <v>60772.767121212128</v>
      </c>
      <c r="N214" s="10">
        <f t="shared" si="29"/>
        <v>75452.802768582405</v>
      </c>
      <c r="O214" s="59">
        <f t="shared" si="30"/>
        <v>169752.20358903354</v>
      </c>
      <c r="P214" s="230"/>
      <c r="Q214" s="231"/>
      <c r="R214" s="227"/>
      <c r="S214" s="227"/>
      <c r="T214" s="232"/>
    </row>
    <row r="215" spans="1:20" s="226" customFormat="1" x14ac:dyDescent="0.25">
      <c r="A215" s="340">
        <f>'A) Base RI'!A216</f>
        <v>5745</v>
      </c>
      <c r="B215" s="239" t="str">
        <f>'A) Base RI'!B216</f>
        <v>Baulmes</v>
      </c>
      <c r="C215" s="255">
        <v>0</v>
      </c>
      <c r="D215" s="228">
        <f>'B) D RI'!AR216</f>
        <v>1053</v>
      </c>
      <c r="E215" s="229">
        <f>'B) D RI'!S216</f>
        <v>78</v>
      </c>
      <c r="F215" s="10">
        <f>'B) D RI'!R216</f>
        <v>2006142.32</v>
      </c>
      <c r="G215" s="10">
        <f>'B) D RI'!U216</f>
        <v>25719.773333333334</v>
      </c>
      <c r="H215" s="43">
        <f>'B) D RI'!T216</f>
        <v>1881966.52</v>
      </c>
      <c r="I215" s="10">
        <f t="shared" si="31"/>
        <v>48255.551794871797</v>
      </c>
      <c r="J215" s="33">
        <f t="shared" si="27"/>
        <v>90682.437501310545</v>
      </c>
      <c r="K215" s="10">
        <f t="shared" si="28"/>
        <v>48255.551794871797</v>
      </c>
      <c r="L215" s="10">
        <f t="shared" si="32"/>
        <v>42426.885706438748</v>
      </c>
      <c r="M215" s="10">
        <f>'D) Ecrêtage'!M214</f>
        <v>25719.773333333334</v>
      </c>
      <c r="N215" s="10">
        <f t="shared" si="29"/>
        <v>31932.542757219428</v>
      </c>
      <c r="O215" s="59">
        <f t="shared" si="30"/>
        <v>80188.094552091221</v>
      </c>
      <c r="P215" s="230"/>
      <c r="Q215" s="231"/>
      <c r="R215" s="227"/>
      <c r="S215" s="227"/>
      <c r="T215" s="232"/>
    </row>
    <row r="216" spans="1:20" s="226" customFormat="1" x14ac:dyDescent="0.25">
      <c r="A216" s="340">
        <f>'A) Base RI'!A217</f>
        <v>5746</v>
      </c>
      <c r="B216" s="239" t="str">
        <f>'A) Base RI'!B217</f>
        <v>Bavois</v>
      </c>
      <c r="C216" s="255">
        <v>0</v>
      </c>
      <c r="D216" s="228">
        <f>'B) D RI'!AR217</f>
        <v>928</v>
      </c>
      <c r="E216" s="229">
        <f>'B) D RI'!S217</f>
        <v>73</v>
      </c>
      <c r="F216" s="10">
        <f>'B) D RI'!R217</f>
        <v>1903744.12</v>
      </c>
      <c r="G216" s="10">
        <f>'B) D RI'!U217</f>
        <v>26078.686575342468</v>
      </c>
      <c r="H216" s="43">
        <f>'B) D RI'!T217</f>
        <v>1737712.62</v>
      </c>
      <c r="I216" s="10">
        <f t="shared" si="31"/>
        <v>47608.564931506851</v>
      </c>
      <c r="J216" s="33">
        <f t="shared" si="27"/>
        <v>79917.665718154021</v>
      </c>
      <c r="K216" s="10">
        <f t="shared" si="28"/>
        <v>47608.564931506851</v>
      </c>
      <c r="L216" s="10">
        <f t="shared" si="32"/>
        <v>32309.10078664717</v>
      </c>
      <c r="M216" s="10">
        <f>'D) Ecrêtage'!M215</f>
        <v>26078.686575342468</v>
      </c>
      <c r="N216" s="10">
        <f t="shared" si="29"/>
        <v>32378.153700132956</v>
      </c>
      <c r="O216" s="59">
        <f t="shared" si="30"/>
        <v>79986.718631639815</v>
      </c>
      <c r="P216" s="230"/>
      <c r="Q216" s="231"/>
      <c r="R216" s="227"/>
      <c r="S216" s="227"/>
      <c r="T216" s="232"/>
    </row>
    <row r="217" spans="1:20" s="226" customFormat="1" x14ac:dyDescent="0.25">
      <c r="A217" s="340">
        <f>'A) Base RI'!A218</f>
        <v>5747</v>
      </c>
      <c r="B217" s="239" t="str">
        <f>'A) Base RI'!B218</f>
        <v>Bofflens</v>
      </c>
      <c r="C217" s="255">
        <v>0</v>
      </c>
      <c r="D217" s="228">
        <f>'B) D RI'!AR218</f>
        <v>191</v>
      </c>
      <c r="E217" s="229">
        <f>'B) D RI'!S218</f>
        <v>69</v>
      </c>
      <c r="F217" s="10">
        <f>'B) D RI'!R218</f>
        <v>373107.80999999994</v>
      </c>
      <c r="G217" s="10">
        <f>'B) D RI'!U218</f>
        <v>5407.3595652173908</v>
      </c>
      <c r="H217" s="43">
        <f>'B) D RI'!T218</f>
        <v>346029.60999999993</v>
      </c>
      <c r="I217" s="10">
        <f t="shared" si="31"/>
        <v>10029.843768115939</v>
      </c>
      <c r="J217" s="33">
        <f t="shared" si="27"/>
        <v>16448.571284663165</v>
      </c>
      <c r="K217" s="10">
        <f t="shared" si="28"/>
        <v>10029.843768115939</v>
      </c>
      <c r="L217" s="10">
        <f t="shared" si="32"/>
        <v>6418.7275165472256</v>
      </c>
      <c r="M217" s="10">
        <f>'D) Ecrêtage'!M216</f>
        <v>5407.3595652173908</v>
      </c>
      <c r="N217" s="10">
        <f t="shared" si="29"/>
        <v>6713.5405231654622</v>
      </c>
      <c r="O217" s="59">
        <f t="shared" si="30"/>
        <v>16743.3842912814</v>
      </c>
      <c r="P217" s="230"/>
      <c r="Q217" s="231"/>
      <c r="R217" s="227"/>
      <c r="S217" s="227"/>
      <c r="T217" s="232"/>
    </row>
    <row r="218" spans="1:20" s="226" customFormat="1" x14ac:dyDescent="0.25">
      <c r="A218" s="340">
        <f>'A) Base RI'!A219</f>
        <v>5748</v>
      </c>
      <c r="B218" s="239" t="str">
        <f>'A) Base RI'!B219</f>
        <v>Bretonnières</v>
      </c>
      <c r="C218" s="255">
        <v>0</v>
      </c>
      <c r="D218" s="228">
        <f>'B) D RI'!AR219</f>
        <v>262</v>
      </c>
      <c r="E218" s="229">
        <f>'B) D RI'!S219</f>
        <v>72</v>
      </c>
      <c r="F218" s="10">
        <f>'B) D RI'!R219</f>
        <v>553473.26333333331</v>
      </c>
      <c r="G218" s="10">
        <f>'B) D RI'!U219</f>
        <v>7687.1286574074074</v>
      </c>
      <c r="H218" s="43">
        <f>'B) D RI'!T219</f>
        <v>515924.93</v>
      </c>
      <c r="I218" s="10">
        <f t="shared" si="31"/>
        <v>14331.248055555556</v>
      </c>
      <c r="J218" s="33">
        <f t="shared" si="27"/>
        <v>22562.961657496071</v>
      </c>
      <c r="K218" s="10">
        <f t="shared" si="28"/>
        <v>14331.248055555556</v>
      </c>
      <c r="L218" s="10">
        <f t="shared" si="32"/>
        <v>8231.7136019405152</v>
      </c>
      <c r="M218" s="10">
        <f>'D) Ecrêtage'!M217</f>
        <v>7687.1286574074074</v>
      </c>
      <c r="N218" s="10">
        <f t="shared" si="29"/>
        <v>9544.0018600309904</v>
      </c>
      <c r="O218" s="59">
        <f t="shared" si="30"/>
        <v>23875.249915586544</v>
      </c>
      <c r="P218" s="230"/>
      <c r="Q218" s="231"/>
      <c r="R218" s="227"/>
      <c r="S218" s="227"/>
      <c r="T218" s="232"/>
    </row>
    <row r="219" spans="1:20" s="226" customFormat="1" x14ac:dyDescent="0.25">
      <c r="A219" s="340">
        <f>'A) Base RI'!A220</f>
        <v>5749</v>
      </c>
      <c r="B219" s="239" t="str">
        <f>'A) Base RI'!B220</f>
        <v>Chavornay</v>
      </c>
      <c r="C219" s="255">
        <v>0</v>
      </c>
      <c r="D219" s="228">
        <f>'B) D RI'!AR220</f>
        <v>4908</v>
      </c>
      <c r="E219" s="229">
        <f>'B) D RI'!S220</f>
        <v>72</v>
      </c>
      <c r="F219" s="10">
        <f>'B) D RI'!R220</f>
        <v>9839651.1400000006</v>
      </c>
      <c r="G219" s="10">
        <f>'B) D RI'!U220</f>
        <v>136661.8213888889</v>
      </c>
      <c r="H219" s="43">
        <f>'B) D RI'!T220</f>
        <v>9054586.6899999995</v>
      </c>
      <c r="I219" s="10">
        <f t="shared" ref="I219" si="33">+H219/E219*$I$5</f>
        <v>251516.29694444442</v>
      </c>
      <c r="J219" s="33">
        <f t="shared" ref="J219" si="34">+$I$315/$D$315*D219</f>
        <v>422667.99929385772</v>
      </c>
      <c r="K219" s="10">
        <f t="shared" ref="K219" si="35">IF(C219=1,0,IF(J219&gt;I219,I219,J219))</f>
        <v>251516.29694444442</v>
      </c>
      <c r="L219" s="10">
        <f t="shared" ref="L219" si="36">+J219-K219</f>
        <v>171151.7023494133</v>
      </c>
      <c r="M219" s="10">
        <f>'D) Ecrêtage'!M218</f>
        <v>136661.8213888889</v>
      </c>
      <c r="N219" s="10">
        <f t="shared" ref="N219" si="37">+$N$5*M219</f>
        <v>169673.324808209</v>
      </c>
      <c r="O219" s="59">
        <f t="shared" ref="O219" si="38">+N219+K219</f>
        <v>421189.62175265339</v>
      </c>
      <c r="P219" s="230"/>
      <c r="Q219" s="231"/>
      <c r="R219" s="227"/>
      <c r="S219" s="227"/>
      <c r="T219" s="232"/>
    </row>
    <row r="220" spans="1:20" s="226" customFormat="1" x14ac:dyDescent="0.25">
      <c r="A220" s="340">
        <f>'A) Base RI'!A221</f>
        <v>5750</v>
      </c>
      <c r="B220" s="239" t="str">
        <f>'A) Base RI'!B221</f>
        <v>Les Clées</v>
      </c>
      <c r="C220" s="255">
        <v>0</v>
      </c>
      <c r="D220" s="228">
        <f>'B) D RI'!AR221</f>
        <v>181</v>
      </c>
      <c r="E220" s="229">
        <f>'B) D RI'!S221</f>
        <v>80</v>
      </c>
      <c r="F220" s="10">
        <f>'B) D RI'!R221</f>
        <v>404200.52666666667</v>
      </c>
      <c r="G220" s="10">
        <f>'B) D RI'!U221</f>
        <v>5052.5065833333338</v>
      </c>
      <c r="H220" s="43">
        <f>'B) D RI'!T221</f>
        <v>383666.70999999996</v>
      </c>
      <c r="I220" s="10">
        <f t="shared" si="31"/>
        <v>9591.6677499999987</v>
      </c>
      <c r="J220" s="33">
        <f t="shared" ref="J220:J243" si="39">+$I$315/$D$315*D220</f>
        <v>15587.389542010644</v>
      </c>
      <c r="K220" s="10">
        <f t="shared" si="28"/>
        <v>9591.6677499999987</v>
      </c>
      <c r="L220" s="10">
        <f t="shared" si="32"/>
        <v>5995.721792010645</v>
      </c>
      <c r="M220" s="10">
        <f>'D) Ecrêtage'!M219</f>
        <v>5052.5065833333338</v>
      </c>
      <c r="N220" s="10">
        <f t="shared" si="29"/>
        <v>6272.9706211806033</v>
      </c>
      <c r="O220" s="59">
        <f t="shared" si="30"/>
        <v>15864.638371180601</v>
      </c>
      <c r="P220" s="230"/>
      <c r="Q220" s="231"/>
      <c r="R220" s="227"/>
      <c r="S220" s="227"/>
      <c r="T220" s="232"/>
    </row>
    <row r="221" spans="1:20" s="226" customFormat="1" x14ac:dyDescent="0.25">
      <c r="A221" s="340">
        <f>'A) Base RI'!A222</f>
        <v>5752</v>
      </c>
      <c r="B221" s="239" t="str">
        <f>'A) Base RI'!B222</f>
        <v>Croy</v>
      </c>
      <c r="C221" s="255">
        <v>0</v>
      </c>
      <c r="D221" s="228">
        <f>'B) D RI'!AR222</f>
        <v>379</v>
      </c>
      <c r="E221" s="229">
        <f>'B) D RI'!S222</f>
        <v>74</v>
      </c>
      <c r="F221" s="10">
        <f>'B) D RI'!R222</f>
        <v>827948.77</v>
      </c>
      <c r="G221" s="10">
        <f>'B) D RI'!U222</f>
        <v>11188.496891891893</v>
      </c>
      <c r="H221" s="43">
        <f>'B) D RI'!T222</f>
        <v>780301.97</v>
      </c>
      <c r="I221" s="10">
        <f t="shared" si="31"/>
        <v>21089.242432432431</v>
      </c>
      <c r="J221" s="33">
        <f t="shared" si="39"/>
        <v>32638.788046530575</v>
      </c>
      <c r="K221" s="10">
        <f t="shared" si="28"/>
        <v>21089.242432432431</v>
      </c>
      <c r="L221" s="10">
        <f t="shared" si="32"/>
        <v>11549.545614098144</v>
      </c>
      <c r="M221" s="10">
        <f>'D) Ecrêtage'!M220</f>
        <v>11188.496891891893</v>
      </c>
      <c r="N221" s="10">
        <f t="shared" si="29"/>
        <v>13891.147124781084</v>
      </c>
      <c r="O221" s="59">
        <f t="shared" si="30"/>
        <v>34980.389557213515</v>
      </c>
      <c r="P221" s="230"/>
      <c r="Q221" s="231"/>
      <c r="R221" s="227"/>
      <c r="S221" s="227"/>
      <c r="T221" s="232"/>
    </row>
    <row r="222" spans="1:20" s="226" customFormat="1" x14ac:dyDescent="0.25">
      <c r="A222" s="340">
        <f>'A) Base RI'!A223</f>
        <v>5754</v>
      </c>
      <c r="B222" s="239" t="str">
        <f>'A) Base RI'!B223</f>
        <v>Juriens</v>
      </c>
      <c r="C222" s="255">
        <v>0</v>
      </c>
      <c r="D222" s="228">
        <f>'B) D RI'!AR223</f>
        <v>309</v>
      </c>
      <c r="E222" s="229">
        <f>'B) D RI'!S223</f>
        <v>79</v>
      </c>
      <c r="F222" s="10">
        <f>'B) D RI'!R223</f>
        <v>642810.3600000001</v>
      </c>
      <c r="G222" s="10">
        <f>'B) D RI'!U223</f>
        <v>8136.8400000000011</v>
      </c>
      <c r="H222" s="43">
        <f>'B) D RI'!T223</f>
        <v>605997.3600000001</v>
      </c>
      <c r="I222" s="10">
        <f t="shared" si="31"/>
        <v>15341.705316455698</v>
      </c>
      <c r="J222" s="33">
        <f t="shared" si="39"/>
        <v>26610.515847962924</v>
      </c>
      <c r="K222" s="10">
        <f t="shared" si="28"/>
        <v>15341.705316455698</v>
      </c>
      <c r="L222" s="10">
        <f t="shared" si="32"/>
        <v>11268.810531507226</v>
      </c>
      <c r="M222" s="10">
        <f>'D) Ecrêtage'!M221</f>
        <v>8136.8400000000011</v>
      </c>
      <c r="N222" s="10">
        <f t="shared" si="29"/>
        <v>10102.343743127338</v>
      </c>
      <c r="O222" s="59">
        <f t="shared" si="30"/>
        <v>25444.049059583034</v>
      </c>
      <c r="P222" s="230"/>
      <c r="Q222" s="231"/>
      <c r="R222" s="227"/>
      <c r="S222" s="227"/>
      <c r="T222" s="232"/>
    </row>
    <row r="223" spans="1:20" s="226" customFormat="1" x14ac:dyDescent="0.25">
      <c r="A223" s="340">
        <f>'A) Base RI'!A224</f>
        <v>5755</v>
      </c>
      <c r="B223" s="239" t="str">
        <f>'A) Base RI'!B224</f>
        <v>Lignerolle</v>
      </c>
      <c r="C223" s="255">
        <v>0</v>
      </c>
      <c r="D223" s="228">
        <f>'B) D RI'!AR224</f>
        <v>417</v>
      </c>
      <c r="E223" s="229">
        <f>'B) D RI'!S224</f>
        <v>80</v>
      </c>
      <c r="F223" s="10">
        <f>'B) D RI'!R224</f>
        <v>753000.29285714286</v>
      </c>
      <c r="G223" s="10">
        <f>'B) D RI'!U224</f>
        <v>9412.5036607142865</v>
      </c>
      <c r="H223" s="43">
        <f>'B) D RI'!T224</f>
        <v>693610.05</v>
      </c>
      <c r="I223" s="10">
        <f t="shared" si="31"/>
        <v>17340.251250000001</v>
      </c>
      <c r="J223" s="33">
        <f t="shared" si="39"/>
        <v>35911.278668610161</v>
      </c>
      <c r="K223" s="10">
        <f t="shared" si="28"/>
        <v>17340.251250000001</v>
      </c>
      <c r="L223" s="10">
        <f t="shared" si="32"/>
        <v>18571.02741861016</v>
      </c>
      <c r="M223" s="10">
        <f>'D) Ecrêtage'!M222</f>
        <v>9412.5036607142865</v>
      </c>
      <c r="N223" s="10">
        <f t="shared" si="29"/>
        <v>11686.151806349901</v>
      </c>
      <c r="O223" s="59">
        <f t="shared" si="30"/>
        <v>29026.403056349904</v>
      </c>
      <c r="P223" s="230"/>
      <c r="Q223" s="231"/>
      <c r="R223" s="227"/>
      <c r="S223" s="227"/>
      <c r="T223" s="232"/>
    </row>
    <row r="224" spans="1:20" s="226" customFormat="1" x14ac:dyDescent="0.25">
      <c r="A224" s="340">
        <f>'A) Base RI'!A225</f>
        <v>5756</v>
      </c>
      <c r="B224" s="239" t="str">
        <f>'A) Base RI'!B225</f>
        <v>Montcherand</v>
      </c>
      <c r="C224" s="255">
        <v>1</v>
      </c>
      <c r="D224" s="228">
        <f>'B) D RI'!AR225</f>
        <v>482</v>
      </c>
      <c r="E224" s="229">
        <f>'B) D RI'!S225</f>
        <v>72</v>
      </c>
      <c r="F224" s="10">
        <f>'B) D RI'!R225</f>
        <v>1347951.3399999999</v>
      </c>
      <c r="G224" s="10">
        <f>'B) D RI'!U225</f>
        <v>18721.546388888888</v>
      </c>
      <c r="H224" s="43">
        <f>'B) D RI'!T225</f>
        <v>1266853.1399999999</v>
      </c>
      <c r="I224" s="10">
        <f t="shared" si="31"/>
        <v>35190.364999999998</v>
      </c>
      <c r="J224" s="33">
        <f t="shared" si="39"/>
        <v>41508.959995851554</v>
      </c>
      <c r="K224" s="10">
        <f t="shared" si="28"/>
        <v>0</v>
      </c>
      <c r="L224" s="10">
        <f t="shared" si="32"/>
        <v>41508.959995851554</v>
      </c>
      <c r="M224" s="10">
        <f>'D) Ecrêtage'!M223</f>
        <v>18721.546388888888</v>
      </c>
      <c r="N224" s="10">
        <f t="shared" si="29"/>
        <v>23243.851055625997</v>
      </c>
      <c r="O224" s="59">
        <f t="shared" si="30"/>
        <v>23243.851055625997</v>
      </c>
      <c r="P224" s="230"/>
      <c r="Q224" s="231"/>
      <c r="R224" s="227"/>
      <c r="S224" s="227"/>
      <c r="T224" s="232"/>
    </row>
    <row r="225" spans="1:20" s="226" customFormat="1" x14ac:dyDescent="0.25">
      <c r="A225" s="340">
        <f>'A) Base RI'!A226</f>
        <v>5757</v>
      </c>
      <c r="B225" s="239" t="str">
        <f>'A) Base RI'!B226</f>
        <v>Orbe</v>
      </c>
      <c r="C225" s="255">
        <v>1</v>
      </c>
      <c r="D225" s="228">
        <f>'B) D RI'!AR226</f>
        <v>6985</v>
      </c>
      <c r="E225" s="229">
        <f>'B) D RI'!S226</f>
        <v>77</v>
      </c>
      <c r="F225" s="10">
        <f>'B) D RI'!R226</f>
        <v>15858376.530000003</v>
      </c>
      <c r="G225" s="10">
        <f>'B) D RI'!U226</f>
        <v>205952.941948052</v>
      </c>
      <c r="H225" s="43">
        <f>'B) D RI'!T226</f>
        <v>14574666.530000003</v>
      </c>
      <c r="I225" s="10">
        <f t="shared" si="31"/>
        <v>378562.76701298711</v>
      </c>
      <c r="J225" s="33">
        <f t="shared" si="39"/>
        <v>601535.44724278653</v>
      </c>
      <c r="K225" s="10">
        <f t="shared" si="28"/>
        <v>0</v>
      </c>
      <c r="L225" s="10">
        <f t="shared" si="32"/>
        <v>601535.44724278653</v>
      </c>
      <c r="M225" s="10">
        <f>'D) Ecrêtage'!M224</f>
        <v>205952.941948052</v>
      </c>
      <c r="N225" s="10">
        <f t="shared" si="29"/>
        <v>255702.14167509385</v>
      </c>
      <c r="O225" s="59">
        <f t="shared" si="30"/>
        <v>255702.14167509385</v>
      </c>
      <c r="P225" s="230"/>
      <c r="Q225" s="231"/>
      <c r="R225" s="227"/>
      <c r="S225" s="227"/>
      <c r="T225" s="232"/>
    </row>
    <row r="226" spans="1:20" s="226" customFormat="1" x14ac:dyDescent="0.25">
      <c r="A226" s="340">
        <f>'A) Base RI'!A227</f>
        <v>5758</v>
      </c>
      <c r="B226" s="239" t="str">
        <f>'A) Base RI'!B227</f>
        <v>La Praz</v>
      </c>
      <c r="C226" s="255">
        <v>0</v>
      </c>
      <c r="D226" s="228">
        <f>'B) D RI'!AR227</f>
        <v>160</v>
      </c>
      <c r="E226" s="229">
        <f>'B) D RI'!S227</f>
        <v>83</v>
      </c>
      <c r="F226" s="10">
        <f>'B) D RI'!R227</f>
        <v>268103.80333333334</v>
      </c>
      <c r="G226" s="10">
        <f>'B) D RI'!U227</f>
        <v>3230.1663052208837</v>
      </c>
      <c r="H226" s="43">
        <f>'B) D RI'!T227</f>
        <v>244730.97</v>
      </c>
      <c r="I226" s="10">
        <f t="shared" si="31"/>
        <v>5897.1318072289159</v>
      </c>
      <c r="J226" s="33">
        <f t="shared" si="39"/>
        <v>13778.907882440348</v>
      </c>
      <c r="K226" s="10">
        <f t="shared" si="28"/>
        <v>5897.1318072289159</v>
      </c>
      <c r="L226" s="10">
        <f t="shared" si="32"/>
        <v>7881.7760752114318</v>
      </c>
      <c r="M226" s="10">
        <f>'D) Ecrêtage'!M225</f>
        <v>3230.1663052208837</v>
      </c>
      <c r="N226" s="10">
        <f t="shared" si="29"/>
        <v>4010.4328415956243</v>
      </c>
      <c r="O226" s="59">
        <f t="shared" si="30"/>
        <v>9907.5646488245402</v>
      </c>
      <c r="P226" s="230"/>
      <c r="Q226" s="231"/>
      <c r="R226" s="227"/>
      <c r="S226" s="227"/>
      <c r="T226" s="232"/>
    </row>
    <row r="227" spans="1:20" s="226" customFormat="1" x14ac:dyDescent="0.25">
      <c r="A227" s="340">
        <f>'A) Base RI'!A228</f>
        <v>5759</v>
      </c>
      <c r="B227" s="239" t="str">
        <f>'A) Base RI'!B228</f>
        <v>Premier</v>
      </c>
      <c r="C227" s="255">
        <v>0</v>
      </c>
      <c r="D227" s="228">
        <f>'B) D RI'!AR228</f>
        <v>210</v>
      </c>
      <c r="E227" s="229">
        <f>'B) D RI'!S228</f>
        <v>81</v>
      </c>
      <c r="F227" s="10">
        <f>'B) D RI'!R228</f>
        <v>383349.57</v>
      </c>
      <c r="G227" s="10">
        <f>'B) D RI'!U228</f>
        <v>4732.7107407407411</v>
      </c>
      <c r="H227" s="43">
        <f>'B) D RI'!T228</f>
        <v>357299.92</v>
      </c>
      <c r="I227" s="10">
        <f t="shared" si="31"/>
        <v>8822.2202469135791</v>
      </c>
      <c r="J227" s="33">
        <f t="shared" si="39"/>
        <v>18084.816595702956</v>
      </c>
      <c r="K227" s="10">
        <f t="shared" si="28"/>
        <v>8822.2202469135791</v>
      </c>
      <c r="L227" s="10">
        <f t="shared" si="32"/>
        <v>9262.5963487893769</v>
      </c>
      <c r="M227" s="10">
        <f>'D) Ecrêtage'!M226</f>
        <v>4732.7107407407411</v>
      </c>
      <c r="N227" s="10">
        <f t="shared" si="29"/>
        <v>5875.9261260825788</v>
      </c>
      <c r="O227" s="59">
        <f t="shared" si="30"/>
        <v>14698.146372996158</v>
      </c>
      <c r="P227" s="230"/>
      <c r="Q227" s="231"/>
      <c r="R227" s="227"/>
      <c r="S227" s="227"/>
      <c r="T227" s="232"/>
    </row>
    <row r="228" spans="1:20" s="226" customFormat="1" x14ac:dyDescent="0.25">
      <c r="A228" s="340">
        <f>'A) Base RI'!A229</f>
        <v>5760</v>
      </c>
      <c r="B228" s="239" t="str">
        <f>'A) Base RI'!B229</f>
        <v>Rances</v>
      </c>
      <c r="C228" s="255">
        <v>0</v>
      </c>
      <c r="D228" s="228">
        <f>'B) D RI'!AR229</f>
        <v>485</v>
      </c>
      <c r="E228" s="229">
        <f>'B) D RI'!S229</f>
        <v>78</v>
      </c>
      <c r="F228" s="10">
        <f>'B) D RI'!R229</f>
        <v>816574.19999999984</v>
      </c>
      <c r="G228" s="10">
        <f>'B) D RI'!U229</f>
        <v>10468.899999999998</v>
      </c>
      <c r="H228" s="43">
        <f>'B) D RI'!T229</f>
        <v>750137.09999999986</v>
      </c>
      <c r="I228" s="10">
        <f t="shared" si="31"/>
        <v>19234.284615384611</v>
      </c>
      <c r="J228" s="33">
        <f t="shared" si="39"/>
        <v>41767.314518647305</v>
      </c>
      <c r="K228" s="10">
        <f t="shared" si="28"/>
        <v>19234.284615384611</v>
      </c>
      <c r="L228" s="10">
        <f t="shared" si="32"/>
        <v>22533.029903262694</v>
      </c>
      <c r="M228" s="10">
        <f>'D) Ecrêtage'!M227</f>
        <v>10468.899999999998</v>
      </c>
      <c r="N228" s="10">
        <f t="shared" si="29"/>
        <v>12997.727178170611</v>
      </c>
      <c r="O228" s="59">
        <f t="shared" si="30"/>
        <v>32232.011793555223</v>
      </c>
      <c r="P228" s="230"/>
      <c r="Q228" s="231"/>
      <c r="R228" s="227"/>
      <c r="S228" s="227"/>
      <c r="T228" s="232"/>
    </row>
    <row r="229" spans="1:20" s="226" customFormat="1" x14ac:dyDescent="0.25">
      <c r="A229" s="340">
        <f>'A) Base RI'!A230</f>
        <v>5761</v>
      </c>
      <c r="B229" s="239" t="str">
        <f>'A) Base RI'!B230</f>
        <v>Romainmôtier-Envy</v>
      </c>
      <c r="C229" s="255">
        <v>0</v>
      </c>
      <c r="D229" s="228">
        <f>'B) D RI'!AR230</f>
        <v>551</v>
      </c>
      <c r="E229" s="229">
        <f>'B) D RI'!S230</f>
        <v>81</v>
      </c>
      <c r="F229" s="10">
        <f>'B) D RI'!R230</f>
        <v>1044251.8690909091</v>
      </c>
      <c r="G229" s="10">
        <f>'B) D RI'!U230</f>
        <v>12891.998383838385</v>
      </c>
      <c r="H229" s="43">
        <f>'B) D RI'!T230</f>
        <v>964933.91</v>
      </c>
      <c r="I229" s="10">
        <f t="shared" si="31"/>
        <v>23825.52864197531</v>
      </c>
      <c r="J229" s="33">
        <f t="shared" si="39"/>
        <v>47451.114020153953</v>
      </c>
      <c r="K229" s="10">
        <f t="shared" si="28"/>
        <v>23825.52864197531</v>
      </c>
      <c r="L229" s="10">
        <f t="shared" si="32"/>
        <v>23625.585378178643</v>
      </c>
      <c r="M229" s="10">
        <f>'D) Ecrêtage'!M228</f>
        <v>12891.998383838385</v>
      </c>
      <c r="N229" s="10">
        <f t="shared" si="29"/>
        <v>16006.139878549589</v>
      </c>
      <c r="O229" s="59">
        <f t="shared" si="30"/>
        <v>39831.668520524901</v>
      </c>
      <c r="P229" s="230"/>
      <c r="Q229" s="231"/>
      <c r="R229" s="227"/>
      <c r="S229" s="227"/>
      <c r="T229" s="232"/>
    </row>
    <row r="230" spans="1:20" s="226" customFormat="1" x14ac:dyDescent="0.25">
      <c r="A230" s="340">
        <f>'A) Base RI'!A231</f>
        <v>5762</v>
      </c>
      <c r="B230" s="239" t="str">
        <f>'A) Base RI'!B231</f>
        <v>Sergey</v>
      </c>
      <c r="C230" s="255">
        <v>0</v>
      </c>
      <c r="D230" s="228">
        <f>'B) D RI'!AR231</f>
        <v>137</v>
      </c>
      <c r="E230" s="229">
        <f>'B) D RI'!S231</f>
        <v>78</v>
      </c>
      <c r="F230" s="10">
        <f>'B) D RI'!R231</f>
        <v>315109.09000000003</v>
      </c>
      <c r="G230" s="10">
        <f>'B) D RI'!U231</f>
        <v>4039.8601282051286</v>
      </c>
      <c r="H230" s="43">
        <f>'B) D RI'!T231</f>
        <v>296465.89</v>
      </c>
      <c r="I230" s="10">
        <f t="shared" si="31"/>
        <v>7601.6894871794875</v>
      </c>
      <c r="J230" s="33">
        <f t="shared" si="39"/>
        <v>11798.189874339549</v>
      </c>
      <c r="K230" s="10">
        <f t="shared" si="28"/>
        <v>7601.6894871794875</v>
      </c>
      <c r="L230" s="10">
        <f t="shared" si="32"/>
        <v>4196.5003871600611</v>
      </c>
      <c r="M230" s="10">
        <f>'D) Ecrêtage'!M229</f>
        <v>4039.8601282051286</v>
      </c>
      <c r="N230" s="10">
        <f t="shared" si="29"/>
        <v>5015.7131870950734</v>
      </c>
      <c r="O230" s="59">
        <f t="shared" si="30"/>
        <v>12617.402674274561</v>
      </c>
      <c r="P230" s="230"/>
      <c r="Q230" s="231"/>
      <c r="R230" s="227"/>
      <c r="S230" s="227"/>
      <c r="T230" s="232"/>
    </row>
    <row r="231" spans="1:20" s="226" customFormat="1" x14ac:dyDescent="0.25">
      <c r="A231" s="340">
        <f>'A) Base RI'!A232</f>
        <v>5763</v>
      </c>
      <c r="B231" s="239" t="str">
        <f>'A) Base RI'!B232</f>
        <v>Valeyres-sous-Rances</v>
      </c>
      <c r="C231" s="255">
        <v>0</v>
      </c>
      <c r="D231" s="228">
        <f>'B) D RI'!AR232</f>
        <v>631</v>
      </c>
      <c r="E231" s="229">
        <f>'B) D RI'!S232</f>
        <v>65</v>
      </c>
      <c r="F231" s="10">
        <f>'B) D RI'!R232</f>
        <v>1303351.18</v>
      </c>
      <c r="G231" s="10">
        <f>'B) D RI'!U232</f>
        <v>20051.556615384616</v>
      </c>
      <c r="H231" s="43">
        <f>'B) D RI'!T232</f>
        <v>1213962.6299999999</v>
      </c>
      <c r="I231" s="10">
        <f t="shared" si="31"/>
        <v>37352.696307692306</v>
      </c>
      <c r="J231" s="33">
        <f t="shared" si="39"/>
        <v>54340.567961374123</v>
      </c>
      <c r="K231" s="10">
        <f t="shared" si="28"/>
        <v>37352.696307692306</v>
      </c>
      <c r="L231" s="10">
        <f t="shared" si="32"/>
        <v>16987.871653681817</v>
      </c>
      <c r="M231" s="10">
        <f>'D) Ecrêtage'!M230</f>
        <v>20051.556615384616</v>
      </c>
      <c r="N231" s="10">
        <f t="shared" si="29"/>
        <v>24895.13343182296</v>
      </c>
      <c r="O231" s="59">
        <f t="shared" si="30"/>
        <v>62247.829739515262</v>
      </c>
      <c r="P231" s="230"/>
      <c r="Q231" s="231"/>
      <c r="R231" s="227"/>
      <c r="S231" s="227"/>
      <c r="T231" s="232"/>
    </row>
    <row r="232" spans="1:20" s="226" customFormat="1" x14ac:dyDescent="0.25">
      <c r="A232" s="340">
        <f>'A) Base RI'!A233</f>
        <v>5764</v>
      </c>
      <c r="B232" s="239" t="str">
        <f>'A) Base RI'!B233</f>
        <v>Vallorbe</v>
      </c>
      <c r="C232" s="255">
        <v>0</v>
      </c>
      <c r="D232" s="228">
        <f>'B) D RI'!AR233</f>
        <v>3851</v>
      </c>
      <c r="E232" s="229">
        <f>'B) D RI'!S233</f>
        <v>73</v>
      </c>
      <c r="F232" s="10">
        <f>'B) D RI'!R233</f>
        <v>6085737.5899999999</v>
      </c>
      <c r="G232" s="10">
        <f>'B) D RI'!U233</f>
        <v>83366.268356164379</v>
      </c>
      <c r="H232" s="43">
        <f>'B) D RI'!T233</f>
        <v>5656787.2400000002</v>
      </c>
      <c r="I232" s="10">
        <f t="shared" si="31"/>
        <v>154980.47232876712</v>
      </c>
      <c r="J232" s="33">
        <f t="shared" si="39"/>
        <v>331641.08909548615</v>
      </c>
      <c r="K232" s="10">
        <f t="shared" si="28"/>
        <v>154980.47232876712</v>
      </c>
      <c r="L232" s="10">
        <f t="shared" si="32"/>
        <v>176660.61676671903</v>
      </c>
      <c r="M232" s="10">
        <f>'D) Ecrêtage'!M231</f>
        <v>83366.268356164379</v>
      </c>
      <c r="N232" s="10">
        <f t="shared" si="29"/>
        <v>103503.90317565194</v>
      </c>
      <c r="O232" s="59">
        <f t="shared" si="30"/>
        <v>258484.37550441906</v>
      </c>
      <c r="P232" s="230"/>
      <c r="Q232" s="231"/>
      <c r="R232" s="227"/>
      <c r="S232" s="227"/>
      <c r="T232" s="232"/>
    </row>
    <row r="233" spans="1:20" s="226" customFormat="1" x14ac:dyDescent="0.25">
      <c r="A233" s="340">
        <f>'A) Base RI'!A234</f>
        <v>5765</v>
      </c>
      <c r="B233" s="239" t="str">
        <f>'A) Base RI'!B234</f>
        <v>Vaulion</v>
      </c>
      <c r="C233" s="255">
        <v>0</v>
      </c>
      <c r="D233" s="228">
        <f>'B) D RI'!AR234</f>
        <v>482</v>
      </c>
      <c r="E233" s="229">
        <f>'B) D RI'!S234</f>
        <v>81</v>
      </c>
      <c r="F233" s="10">
        <f>'B) D RI'!R234</f>
        <v>776600.72999999986</v>
      </c>
      <c r="G233" s="10">
        <f>'B) D RI'!U234</f>
        <v>9587.663333333332</v>
      </c>
      <c r="H233" s="43">
        <f>'B) D RI'!T234</f>
        <v>719467.12999999989</v>
      </c>
      <c r="I233" s="10">
        <f t="shared" si="31"/>
        <v>17764.620493827158</v>
      </c>
      <c r="J233" s="33">
        <f t="shared" si="39"/>
        <v>41508.959995851554</v>
      </c>
      <c r="K233" s="10">
        <f t="shared" si="28"/>
        <v>17764.620493827158</v>
      </c>
      <c r="L233" s="10">
        <f t="shared" si="32"/>
        <v>23744.339502024395</v>
      </c>
      <c r="M233" s="10">
        <f>'D) Ecrêtage'!M232</f>
        <v>9587.663333333332</v>
      </c>
      <c r="N233" s="10">
        <f t="shared" si="29"/>
        <v>11903.62237511262</v>
      </c>
      <c r="O233" s="59">
        <f t="shared" si="30"/>
        <v>29668.242868939778</v>
      </c>
      <c r="P233" s="230"/>
      <c r="Q233" s="231"/>
      <c r="R233" s="227"/>
      <c r="S233" s="227"/>
      <c r="T233" s="232"/>
    </row>
    <row r="234" spans="1:20" s="226" customFormat="1" x14ac:dyDescent="0.25">
      <c r="A234" s="340">
        <f>'A) Base RI'!A235</f>
        <v>5766</v>
      </c>
      <c r="B234" s="239" t="str">
        <f>'A) Base RI'!B235</f>
        <v>Vuiteboeuf</v>
      </c>
      <c r="C234" s="255">
        <v>0</v>
      </c>
      <c r="D234" s="228">
        <f>'B) D RI'!AR235</f>
        <v>574</v>
      </c>
      <c r="E234" s="229">
        <f>'B) D RI'!S235</f>
        <v>77</v>
      </c>
      <c r="F234" s="10">
        <f>'B) D RI'!R235</f>
        <v>1004815.15</v>
      </c>
      <c r="G234" s="10">
        <f>'B) D RI'!U235</f>
        <v>13049.547402597404</v>
      </c>
      <c r="H234" s="43">
        <f>'B) D RI'!T235</f>
        <v>930149</v>
      </c>
      <c r="I234" s="10">
        <f t="shared" si="31"/>
        <v>24159.714285714286</v>
      </c>
      <c r="J234" s="33">
        <f t="shared" si="39"/>
        <v>49431.83202825475</v>
      </c>
      <c r="K234" s="10">
        <f t="shared" si="28"/>
        <v>24159.714285714286</v>
      </c>
      <c r="L234" s="10">
        <f t="shared" si="32"/>
        <v>25272.117742540464</v>
      </c>
      <c r="M234" s="10">
        <f>'D) Ecrêtage'!M233</f>
        <v>13049.547402597404</v>
      </c>
      <c r="N234" s="10">
        <f t="shared" si="29"/>
        <v>16201.745831707822</v>
      </c>
      <c r="O234" s="59">
        <f t="shared" si="30"/>
        <v>40361.46011742211</v>
      </c>
      <c r="P234" s="230"/>
      <c r="Q234" s="231"/>
      <c r="R234" s="227"/>
      <c r="S234" s="227"/>
      <c r="T234" s="232"/>
    </row>
    <row r="235" spans="1:20" s="226" customFormat="1" x14ac:dyDescent="0.25">
      <c r="A235" s="340">
        <f>'A) Base RI'!A236</f>
        <v>5785</v>
      </c>
      <c r="B235" s="239" t="str">
        <f>'A) Base RI'!B236</f>
        <v>Corcelles-le-Jorat</v>
      </c>
      <c r="C235" s="255">
        <v>0</v>
      </c>
      <c r="D235" s="228">
        <f>'B) D RI'!AR236</f>
        <v>460</v>
      </c>
      <c r="E235" s="229">
        <f>'B) D RI'!S236</f>
        <v>77</v>
      </c>
      <c r="F235" s="10">
        <f>'B) D RI'!R236</f>
        <v>1175269.9200000002</v>
      </c>
      <c r="G235" s="10">
        <f>'B) D RI'!U236</f>
        <v>15263.245714285717</v>
      </c>
      <c r="H235" s="43">
        <f>'B) D RI'!T236</f>
        <v>1108035.32</v>
      </c>
      <c r="I235" s="10">
        <f t="shared" si="31"/>
        <v>28780.138181818184</v>
      </c>
      <c r="J235" s="33">
        <f t="shared" si="39"/>
        <v>39614.360162016004</v>
      </c>
      <c r="K235" s="10">
        <f t="shared" si="28"/>
        <v>28780.138181818184</v>
      </c>
      <c r="L235" s="10">
        <f t="shared" si="32"/>
        <v>10834.221980197821</v>
      </c>
      <c r="M235" s="10">
        <f>'D) Ecrêtage'!M234</f>
        <v>15263.245714285717</v>
      </c>
      <c r="N235" s="10">
        <f t="shared" si="29"/>
        <v>18950.176584709719</v>
      </c>
      <c r="O235" s="59">
        <f t="shared" si="30"/>
        <v>47730.314766527903</v>
      </c>
      <c r="P235" s="230"/>
      <c r="Q235" s="231"/>
      <c r="R235" s="227"/>
      <c r="S235" s="227"/>
      <c r="T235" s="232"/>
    </row>
    <row r="236" spans="1:20" s="226" customFormat="1" x14ac:dyDescent="0.25">
      <c r="A236" s="340">
        <f>'A) Base RI'!A237</f>
        <v>5788</v>
      </c>
      <c r="B236" s="239" t="str">
        <f>'A) Base RI'!B237</f>
        <v>Essertes</v>
      </c>
      <c r="C236" s="255">
        <v>0</v>
      </c>
      <c r="D236" s="228">
        <f>'B) D RI'!AR237</f>
        <v>346</v>
      </c>
      <c r="E236" s="229">
        <f>'B) D RI'!S237</f>
        <v>72</v>
      </c>
      <c r="F236" s="10">
        <f>'B) D RI'!R237</f>
        <v>832401.4800000001</v>
      </c>
      <c r="G236" s="10">
        <f>'B) D RI'!U237</f>
        <v>11561.131666666668</v>
      </c>
      <c r="H236" s="43">
        <f>'B) D RI'!T237</f>
        <v>775441.06</v>
      </c>
      <c r="I236" s="10">
        <f t="shared" si="31"/>
        <v>21540.029444444444</v>
      </c>
      <c r="J236" s="33">
        <f t="shared" si="39"/>
        <v>29796.888295777255</v>
      </c>
      <c r="K236" s="10">
        <f t="shared" si="28"/>
        <v>21540.029444444444</v>
      </c>
      <c r="L236" s="10">
        <f t="shared" si="32"/>
        <v>8256.8588513328104</v>
      </c>
      <c r="M236" s="10">
        <f>'D) Ecrêtage'!M235</f>
        <v>11561.131666666668</v>
      </c>
      <c r="N236" s="10">
        <f t="shared" si="29"/>
        <v>14353.794121086481</v>
      </c>
      <c r="O236" s="59">
        <f t="shared" si="30"/>
        <v>35893.823565530925</v>
      </c>
      <c r="P236" s="230"/>
      <c r="Q236" s="231"/>
      <c r="R236" s="227"/>
      <c r="S236" s="227"/>
      <c r="T236" s="232"/>
    </row>
    <row r="237" spans="1:20" s="226" customFormat="1" x14ac:dyDescent="0.25">
      <c r="A237" s="340">
        <f>'A) Base RI'!A238</f>
        <v>5790</v>
      </c>
      <c r="B237" s="239" t="str">
        <f>'A) Base RI'!B238</f>
        <v>Maracon</v>
      </c>
      <c r="C237" s="255">
        <v>0</v>
      </c>
      <c r="D237" s="228">
        <f>'B) D RI'!AR238</f>
        <v>477</v>
      </c>
      <c r="E237" s="229">
        <f>'B) D RI'!S238</f>
        <v>76</v>
      </c>
      <c r="F237" s="10">
        <f>'B) D RI'!R238</f>
        <v>920269.33000000007</v>
      </c>
      <c r="G237" s="10">
        <f>'B) D RI'!U238</f>
        <v>12108.806973684212</v>
      </c>
      <c r="H237" s="43">
        <f>'B) D RI'!T238</f>
        <v>845530.38000000012</v>
      </c>
      <c r="I237" s="10">
        <f t="shared" si="31"/>
        <v>22250.799473684212</v>
      </c>
      <c r="J237" s="33">
        <f t="shared" si="39"/>
        <v>41078.369124525292</v>
      </c>
      <c r="K237" s="10">
        <f t="shared" si="28"/>
        <v>22250.799473684212</v>
      </c>
      <c r="L237" s="10">
        <f t="shared" si="32"/>
        <v>18827.56965084108</v>
      </c>
      <c r="M237" s="10">
        <f>'D) Ecrêtage'!M236</f>
        <v>12108.806973684212</v>
      </c>
      <c r="N237" s="10">
        <f t="shared" si="29"/>
        <v>15033.763766687725</v>
      </c>
      <c r="O237" s="59">
        <f t="shared" si="30"/>
        <v>37284.563240371936</v>
      </c>
      <c r="P237" s="230"/>
      <c r="Q237" s="231"/>
      <c r="R237" s="227"/>
      <c r="S237" s="227"/>
      <c r="T237" s="232"/>
    </row>
    <row r="238" spans="1:20" s="226" customFormat="1" x14ac:dyDescent="0.25">
      <c r="A238" s="340">
        <f>'A) Base RI'!A239</f>
        <v>5792</v>
      </c>
      <c r="B238" s="239" t="str">
        <f>'A) Base RI'!B239</f>
        <v>Montpreveyres</v>
      </c>
      <c r="C238" s="255">
        <v>0</v>
      </c>
      <c r="D238" s="228">
        <f>'B) D RI'!AR239</f>
        <v>648</v>
      </c>
      <c r="E238" s="229">
        <f>'B) D RI'!S239</f>
        <v>77</v>
      </c>
      <c r="F238" s="10">
        <f>'B) D RI'!R239</f>
        <v>1349298.1</v>
      </c>
      <c r="G238" s="10">
        <f>'B) D RI'!U239</f>
        <v>17523.35194805195</v>
      </c>
      <c r="H238" s="43">
        <f>'B) D RI'!T239</f>
        <v>1246297.05</v>
      </c>
      <c r="I238" s="10">
        <f t="shared" si="31"/>
        <v>32371.35194805195</v>
      </c>
      <c r="J238" s="33">
        <f t="shared" si="39"/>
        <v>55804.576923883411</v>
      </c>
      <c r="K238" s="10">
        <f t="shared" si="28"/>
        <v>32371.35194805195</v>
      </c>
      <c r="L238" s="10">
        <f t="shared" si="32"/>
        <v>23433.224975831461</v>
      </c>
      <c r="M238" s="10">
        <f>'D) Ecrêtage'!M237</f>
        <v>17523.35194805195</v>
      </c>
      <c r="N238" s="10">
        <f t="shared" si="29"/>
        <v>21756.225378773681</v>
      </c>
      <c r="O238" s="59">
        <f t="shared" si="30"/>
        <v>54127.577326825631</v>
      </c>
      <c r="P238" s="230"/>
      <c r="Q238" s="231"/>
      <c r="R238" s="227"/>
      <c r="S238" s="227"/>
      <c r="T238" s="232"/>
    </row>
    <row r="239" spans="1:20" s="226" customFormat="1" x14ac:dyDescent="0.25">
      <c r="A239" s="340">
        <f>'A) Base RI'!A240</f>
        <v>5798</v>
      </c>
      <c r="B239" s="239" t="str">
        <f>'A) Base RI'!B240</f>
        <v>Ropraz</v>
      </c>
      <c r="C239" s="255">
        <v>0</v>
      </c>
      <c r="D239" s="228">
        <f>'B) D RI'!AR240</f>
        <v>450</v>
      </c>
      <c r="E239" s="229">
        <f>'B) D RI'!S240</f>
        <v>77.5</v>
      </c>
      <c r="F239" s="10">
        <f>'B) D RI'!R240</f>
        <v>1092412.1500000001</v>
      </c>
      <c r="G239" s="10">
        <f>'B) D RI'!U240</f>
        <v>14095.640645161293</v>
      </c>
      <c r="H239" s="43">
        <f>'B) D RI'!T240</f>
        <v>1023616.3500000001</v>
      </c>
      <c r="I239" s="10">
        <f t="shared" si="31"/>
        <v>26415.905806451614</v>
      </c>
      <c r="J239" s="33">
        <f t="shared" si="39"/>
        <v>38753.178419363481</v>
      </c>
      <c r="K239" s="10">
        <f t="shared" si="28"/>
        <v>26415.905806451614</v>
      </c>
      <c r="L239" s="10">
        <f t="shared" si="32"/>
        <v>12337.272612911867</v>
      </c>
      <c r="M239" s="10">
        <f>'D) Ecrêtage'!M238</f>
        <v>14095.640645161293</v>
      </c>
      <c r="N239" s="10">
        <f t="shared" si="29"/>
        <v>17500.529330430065</v>
      </c>
      <c r="O239" s="59">
        <f t="shared" si="30"/>
        <v>43916.435136881679</v>
      </c>
      <c r="P239" s="230"/>
      <c r="Q239" s="231"/>
      <c r="R239" s="227"/>
      <c r="S239" s="227"/>
      <c r="T239" s="232"/>
    </row>
    <row r="240" spans="1:20" s="226" customFormat="1" x14ac:dyDescent="0.25">
      <c r="A240" s="340">
        <f>'A) Base RI'!A241</f>
        <v>5799</v>
      </c>
      <c r="B240" s="239" t="str">
        <f>'A) Base RI'!B241</f>
        <v>Servion</v>
      </c>
      <c r="C240" s="255">
        <v>0</v>
      </c>
      <c r="D240" s="228">
        <f>'B) D RI'!AR241</f>
        <v>1904</v>
      </c>
      <c r="E240" s="229">
        <f>'B) D RI'!S241</f>
        <v>69</v>
      </c>
      <c r="F240" s="10">
        <f>'B) D RI'!R241</f>
        <v>4536187.4499999993</v>
      </c>
      <c r="G240" s="10">
        <f>'B) D RI'!U241</f>
        <v>65741.847101449268</v>
      </c>
      <c r="H240" s="43">
        <f>'B) D RI'!T241</f>
        <v>4185805.2999999993</v>
      </c>
      <c r="I240" s="10">
        <f t="shared" si="31"/>
        <v>121327.68985507244</v>
      </c>
      <c r="J240" s="33">
        <f t="shared" si="39"/>
        <v>163969.00380104015</v>
      </c>
      <c r="K240" s="10">
        <f t="shared" si="28"/>
        <v>121327.68985507244</v>
      </c>
      <c r="L240" s="10">
        <f t="shared" si="32"/>
        <v>42641.313945967704</v>
      </c>
      <c r="M240" s="10">
        <f>'D) Ecrêtage'!M239</f>
        <v>65741.847101449268</v>
      </c>
      <c r="N240" s="10">
        <f t="shared" si="29"/>
        <v>81622.194577619812</v>
      </c>
      <c r="O240" s="59">
        <f t="shared" si="30"/>
        <v>202949.88443269226</v>
      </c>
      <c r="P240" s="230"/>
      <c r="Q240" s="231"/>
      <c r="R240" s="227"/>
      <c r="S240" s="227"/>
      <c r="T240" s="232"/>
    </row>
    <row r="241" spans="1:20" s="226" customFormat="1" x14ac:dyDescent="0.25">
      <c r="A241" s="340">
        <f>'A) Base RI'!A242</f>
        <v>5803</v>
      </c>
      <c r="B241" s="239" t="str">
        <f>'A) Base RI'!B242</f>
        <v>Vulliens</v>
      </c>
      <c r="C241" s="255">
        <v>0</v>
      </c>
      <c r="D241" s="228">
        <f>'B) D RI'!AR242</f>
        <v>515</v>
      </c>
      <c r="E241" s="229">
        <f>'B) D RI'!S242</f>
        <v>78</v>
      </c>
      <c r="F241" s="10">
        <f>'B) D RI'!R242</f>
        <v>1220260.29</v>
      </c>
      <c r="G241" s="10">
        <f>'B) D RI'!U242</f>
        <v>15644.362692307694</v>
      </c>
      <c r="H241" s="43">
        <f>'B) D RI'!T242</f>
        <v>1139045.6400000001</v>
      </c>
      <c r="I241" s="10">
        <f t="shared" si="31"/>
        <v>29206.298461538467</v>
      </c>
      <c r="J241" s="33">
        <f t="shared" si="39"/>
        <v>44350.859746604874</v>
      </c>
      <c r="K241" s="10">
        <f t="shared" si="28"/>
        <v>29206.298461538467</v>
      </c>
      <c r="L241" s="10">
        <f t="shared" si="32"/>
        <v>15144.561285066407</v>
      </c>
      <c r="M241" s="10">
        <f>'D) Ecrêtage'!M240</f>
        <v>15644.362692307694</v>
      </c>
      <c r="N241" s="10">
        <f t="shared" si="29"/>
        <v>19423.354712621775</v>
      </c>
      <c r="O241" s="59">
        <f t="shared" si="30"/>
        <v>48629.653174160238</v>
      </c>
      <c r="P241" s="230"/>
      <c r="Q241" s="231"/>
      <c r="R241" s="227"/>
      <c r="S241" s="227"/>
      <c r="T241" s="232"/>
    </row>
    <row r="242" spans="1:20" s="226" customFormat="1" x14ac:dyDescent="0.25">
      <c r="A242" s="340">
        <f>'A) Base RI'!A243</f>
        <v>5804</v>
      </c>
      <c r="B242" s="239" t="str">
        <f>'A) Base RI'!B243</f>
        <v>Jorat-Menthue</v>
      </c>
      <c r="C242" s="255">
        <v>0</v>
      </c>
      <c r="D242" s="228">
        <f>'B) D RI'!AR243</f>
        <v>1532</v>
      </c>
      <c r="E242" s="229">
        <f>'B) D RI'!S243</f>
        <v>72</v>
      </c>
      <c r="F242" s="10">
        <f>'B) D RI'!R243</f>
        <v>3385508.7999999993</v>
      </c>
      <c r="G242" s="10">
        <f>'B) D RI'!U243</f>
        <v>47020.955555555549</v>
      </c>
      <c r="H242" s="43">
        <f>'B) D RI'!T243</f>
        <v>3130448.9999999995</v>
      </c>
      <c r="I242" s="10">
        <f t="shared" si="31"/>
        <v>86956.916666666657</v>
      </c>
      <c r="J242" s="33">
        <f t="shared" si="39"/>
        <v>131933.04297436634</v>
      </c>
      <c r="K242" s="10">
        <f t="shared" si="28"/>
        <v>86956.916666666657</v>
      </c>
      <c r="L242" s="10">
        <f t="shared" si="32"/>
        <v>44976.126307699684</v>
      </c>
      <c r="M242" s="10">
        <f>'D) Ecrêtage'!M241</f>
        <v>47020.955555555549</v>
      </c>
      <c r="N242" s="10">
        <f t="shared" si="29"/>
        <v>58379.156546341721</v>
      </c>
      <c r="O242" s="59">
        <f t="shared" si="30"/>
        <v>145336.07321300838</v>
      </c>
      <c r="P242" s="230"/>
      <c r="Q242" s="231"/>
      <c r="R242" s="227"/>
      <c r="S242" s="227"/>
      <c r="T242" s="232"/>
    </row>
    <row r="243" spans="1:20" s="226" customFormat="1" x14ac:dyDescent="0.25">
      <c r="A243" s="340">
        <f>'A) Base RI'!A244</f>
        <v>5805</v>
      </c>
      <c r="B243" s="239" t="str">
        <f>'A) Base RI'!B244</f>
        <v>Oron</v>
      </c>
      <c r="C243" s="255">
        <v>0</v>
      </c>
      <c r="D243" s="228">
        <f>'B) D RI'!AR244</f>
        <v>5463</v>
      </c>
      <c r="E243" s="229">
        <f>'B) D RI'!S244</f>
        <v>69</v>
      </c>
      <c r="F243" s="10">
        <f>'B) D RI'!R244</f>
        <v>10240230.701818179</v>
      </c>
      <c r="G243" s="10">
        <f>'B) D RI'!U244</f>
        <v>148409.14060606057</v>
      </c>
      <c r="H243" s="43">
        <f>'B) D RI'!T244</f>
        <v>9338558.4199999981</v>
      </c>
      <c r="I243" s="10">
        <f t="shared" si="31"/>
        <v>270682.85275362316</v>
      </c>
      <c r="J243" s="33">
        <f t="shared" si="39"/>
        <v>470463.58601107268</v>
      </c>
      <c r="K243" s="10">
        <f t="shared" si="28"/>
        <v>270682.85275362316</v>
      </c>
      <c r="L243" s="10">
        <f t="shared" si="32"/>
        <v>199780.73325744952</v>
      </c>
      <c r="M243" s="10">
        <f>'D) Ecrêtage'!M242</f>
        <v>148409.14060606057</v>
      </c>
      <c r="N243" s="10">
        <f t="shared" si="29"/>
        <v>184258.28122766837</v>
      </c>
      <c r="O243" s="59">
        <f t="shared" si="30"/>
        <v>454941.13398129155</v>
      </c>
      <c r="P243" s="230"/>
      <c r="Q243" s="231"/>
      <c r="R243" s="227"/>
      <c r="S243" s="227"/>
      <c r="T243" s="232"/>
    </row>
    <row r="244" spans="1:20" s="226" customFormat="1" x14ac:dyDescent="0.25">
      <c r="A244" s="340">
        <f>'A) Base RI'!A245</f>
        <v>5806</v>
      </c>
      <c r="B244" s="239" t="str">
        <f>'A) Base RI'!B245</f>
        <v>Jorat-Mézières</v>
      </c>
      <c r="C244" s="255">
        <v>0</v>
      </c>
      <c r="D244" s="228">
        <f>'B) D RI'!AR245</f>
        <v>2850</v>
      </c>
      <c r="E244" s="229">
        <f>'B) D RI'!S245</f>
        <v>76</v>
      </c>
      <c r="F244" s="10">
        <f>'B) D RI'!R245</f>
        <v>6554725.0899999989</v>
      </c>
      <c r="G244" s="10">
        <f>'B) D RI'!U245</f>
        <v>86246.382763157875</v>
      </c>
      <c r="H244" s="43">
        <f>'B) D RI'!T245</f>
        <v>6044638.4399999995</v>
      </c>
      <c r="I244" s="10">
        <f t="shared" ref="I244" si="40">+H244/E244*$I$5</f>
        <v>159069.43263157894</v>
      </c>
      <c r="J244" s="33">
        <f t="shared" ref="J244" si="41">+$I$315/$D$315*D244</f>
        <v>245436.7966559687</v>
      </c>
      <c r="K244" s="10">
        <f t="shared" ref="K244" si="42">IF(C244=1,0,IF(J244&gt;I244,I244,J244))</f>
        <v>159069.43263157894</v>
      </c>
      <c r="L244" s="10">
        <f t="shared" ref="L244" si="43">+J244-K244</f>
        <v>86367.364024389768</v>
      </c>
      <c r="M244" s="10">
        <f>'D) Ecrêtage'!M243</f>
        <v>86246.382763157875</v>
      </c>
      <c r="N244" s="10">
        <f t="shared" ref="N244" si="44">+$N$5*M244</f>
        <v>107079.72693020305</v>
      </c>
      <c r="O244" s="59">
        <f t="shared" ref="O244" si="45">+N244+K244</f>
        <v>266149.15956178197</v>
      </c>
      <c r="P244" s="230"/>
      <c r="Q244" s="231"/>
      <c r="R244" s="227"/>
      <c r="S244" s="227"/>
      <c r="T244" s="232"/>
    </row>
    <row r="245" spans="1:20" s="226" customFormat="1" x14ac:dyDescent="0.25">
      <c r="A245" s="340">
        <f>'A) Base RI'!A246</f>
        <v>5812</v>
      </c>
      <c r="B245" s="239" t="str">
        <f>'A) Base RI'!B246</f>
        <v>Champtauroz</v>
      </c>
      <c r="C245" s="255">
        <v>0</v>
      </c>
      <c r="D245" s="228">
        <f>'B) D RI'!AR246</f>
        <v>128</v>
      </c>
      <c r="E245" s="229">
        <f>'B) D RI'!S246</f>
        <v>77</v>
      </c>
      <c r="F245" s="10">
        <f>'B) D RI'!R246</f>
        <v>185866.89499999999</v>
      </c>
      <c r="G245" s="10">
        <f>'B) D RI'!U246</f>
        <v>2413.8557792207789</v>
      </c>
      <c r="H245" s="43">
        <f>'B) D RI'!T246</f>
        <v>169486.77</v>
      </c>
      <c r="I245" s="10">
        <f t="shared" si="31"/>
        <v>4402.2537662337663</v>
      </c>
      <c r="J245" s="33">
        <f t="shared" ref="J245:J276" si="46">+$I$315/$D$315*D245</f>
        <v>11023.126305952279</v>
      </c>
      <c r="K245" s="10">
        <f t="shared" si="28"/>
        <v>4402.2537662337663</v>
      </c>
      <c r="L245" s="10">
        <f t="shared" si="32"/>
        <v>6620.8725397185126</v>
      </c>
      <c r="M245" s="10">
        <f>'D) Ecrêtage'!M244</f>
        <v>2413.8557792207789</v>
      </c>
      <c r="N245" s="10">
        <f t="shared" si="29"/>
        <v>2996.9374877744672</v>
      </c>
      <c r="O245" s="59">
        <f t="shared" si="30"/>
        <v>7399.191254008234</v>
      </c>
      <c r="P245" s="230"/>
      <c r="Q245" s="231"/>
      <c r="R245" s="227"/>
      <c r="S245" s="227"/>
      <c r="T245" s="232"/>
    </row>
    <row r="246" spans="1:20" s="226" customFormat="1" x14ac:dyDescent="0.25">
      <c r="A246" s="340">
        <f>'A) Base RI'!A247</f>
        <v>5813</v>
      </c>
      <c r="B246" s="239" t="str">
        <f>'A) Base RI'!B247</f>
        <v>Chevroux</v>
      </c>
      <c r="C246" s="255">
        <v>0</v>
      </c>
      <c r="D246" s="228">
        <f>'B) D RI'!AR247</f>
        <v>470</v>
      </c>
      <c r="E246" s="229">
        <f>'B) D RI'!S247</f>
        <v>70</v>
      </c>
      <c r="F246" s="10">
        <f>'B) D RI'!R247</f>
        <v>931241.20833333337</v>
      </c>
      <c r="G246" s="10">
        <f>'B) D RI'!U247</f>
        <v>13303.445833333333</v>
      </c>
      <c r="H246" s="43">
        <f>'B) D RI'!T247</f>
        <v>853612.25</v>
      </c>
      <c r="I246" s="10">
        <f t="shared" si="31"/>
        <v>24388.92142857143</v>
      </c>
      <c r="J246" s="33">
        <f t="shared" si="46"/>
        <v>40475.541904668527</v>
      </c>
      <c r="K246" s="10">
        <f t="shared" si="28"/>
        <v>24388.92142857143</v>
      </c>
      <c r="L246" s="10">
        <f t="shared" si="32"/>
        <v>16086.620476097098</v>
      </c>
      <c r="M246" s="10">
        <f>'D) Ecrêtage'!M245</f>
        <v>13303.445833333333</v>
      </c>
      <c r="N246" s="10">
        <f t="shared" si="29"/>
        <v>16516.974989849674</v>
      </c>
      <c r="O246" s="59">
        <f t="shared" si="30"/>
        <v>40905.896418421107</v>
      </c>
      <c r="P246" s="230"/>
      <c r="Q246" s="231"/>
      <c r="R246" s="227"/>
      <c r="S246" s="227"/>
      <c r="T246" s="232"/>
    </row>
    <row r="247" spans="1:20" s="226" customFormat="1" x14ac:dyDescent="0.25">
      <c r="A247" s="340">
        <f>'A) Base RI'!A248</f>
        <v>5816</v>
      </c>
      <c r="B247" s="239" t="str">
        <f>'A) Base RI'!B248</f>
        <v>Corcelles-près-Payerne</v>
      </c>
      <c r="C247" s="255">
        <v>0</v>
      </c>
      <c r="D247" s="228">
        <f>'B) D RI'!AR248</f>
        <v>2448</v>
      </c>
      <c r="E247" s="229">
        <f>'B) D RI'!S248</f>
        <v>72</v>
      </c>
      <c r="F247" s="10">
        <f>'B) D RI'!R248</f>
        <v>4172746.8171428572</v>
      </c>
      <c r="G247" s="10">
        <f>'B) D RI'!U248</f>
        <v>57954.816904761909</v>
      </c>
      <c r="H247" s="43">
        <f>'B) D RI'!T248</f>
        <v>3821397.46</v>
      </c>
      <c r="I247" s="10">
        <f t="shared" si="31"/>
        <v>106149.92944444444</v>
      </c>
      <c r="J247" s="33">
        <f t="shared" si="46"/>
        <v>210817.29060133733</v>
      </c>
      <c r="K247" s="10">
        <f t="shared" si="28"/>
        <v>106149.92944444444</v>
      </c>
      <c r="L247" s="10">
        <f t="shared" si="32"/>
        <v>104667.36115689289</v>
      </c>
      <c r="M247" s="10">
        <f>'D) Ecrêtage'!M246</f>
        <v>57954.816904761909</v>
      </c>
      <c r="N247" s="10">
        <f t="shared" si="29"/>
        <v>71954.159347106717</v>
      </c>
      <c r="O247" s="59">
        <f t="shared" si="30"/>
        <v>178104.08879155116</v>
      </c>
      <c r="P247" s="230"/>
      <c r="Q247" s="231"/>
      <c r="R247" s="227"/>
      <c r="S247" s="227"/>
      <c r="T247" s="232"/>
    </row>
    <row r="248" spans="1:20" s="226" customFormat="1" x14ac:dyDescent="0.25">
      <c r="A248" s="340">
        <f>'A) Base RI'!A249</f>
        <v>5817</v>
      </c>
      <c r="B248" s="239" t="str">
        <f>'A) Base RI'!B249</f>
        <v>Grandcour</v>
      </c>
      <c r="C248" s="255">
        <v>0</v>
      </c>
      <c r="D248" s="228">
        <f>'B) D RI'!AR249</f>
        <v>890</v>
      </c>
      <c r="E248" s="229">
        <f>'B) D RI'!S249</f>
        <v>79.5</v>
      </c>
      <c r="F248" s="10">
        <f>'B) D RI'!R249</f>
        <v>1768744.5199999998</v>
      </c>
      <c r="G248" s="10">
        <f>'B) D RI'!U249</f>
        <v>22248.358742138364</v>
      </c>
      <c r="H248" s="43">
        <f>'B) D RI'!T249</f>
        <v>1655859.7699999998</v>
      </c>
      <c r="I248" s="10">
        <f t="shared" si="31"/>
        <v>41656.849559748422</v>
      </c>
      <c r="J248" s="33">
        <f t="shared" si="46"/>
        <v>76645.175096074439</v>
      </c>
      <c r="K248" s="10">
        <f t="shared" si="28"/>
        <v>41656.849559748422</v>
      </c>
      <c r="L248" s="10">
        <f t="shared" si="32"/>
        <v>34988.325536326018</v>
      </c>
      <c r="M248" s="10">
        <f>'D) Ecrêtage'!M247</f>
        <v>22248.358742138364</v>
      </c>
      <c r="N248" s="10">
        <f t="shared" si="29"/>
        <v>27622.586622508723</v>
      </c>
      <c r="O248" s="59">
        <f t="shared" si="30"/>
        <v>69279.436182257137</v>
      </c>
      <c r="P248" s="230"/>
      <c r="Q248" s="231"/>
      <c r="R248" s="227"/>
      <c r="S248" s="227"/>
      <c r="T248" s="232"/>
    </row>
    <row r="249" spans="1:20" s="226" customFormat="1" x14ac:dyDescent="0.25">
      <c r="A249" s="340">
        <f>'A) Base RI'!A250</f>
        <v>5819</v>
      </c>
      <c r="B249" s="239" t="str">
        <f>'A) Base RI'!B250</f>
        <v>Henniez</v>
      </c>
      <c r="C249" s="255">
        <v>0</v>
      </c>
      <c r="D249" s="228">
        <f>'B) D RI'!AR250</f>
        <v>359</v>
      </c>
      <c r="E249" s="229">
        <f>'B) D RI'!S250</f>
        <v>69</v>
      </c>
      <c r="F249" s="10">
        <f>'B) D RI'!R250</f>
        <v>1026310.3699999999</v>
      </c>
      <c r="G249" s="10">
        <f>'B) D RI'!U250</f>
        <v>14874.063333333332</v>
      </c>
      <c r="H249" s="43">
        <f>'B) D RI'!T250</f>
        <v>943615.66999999993</v>
      </c>
      <c r="I249" s="10">
        <f t="shared" si="31"/>
        <v>27351.178840579709</v>
      </c>
      <c r="J249" s="33">
        <f t="shared" si="46"/>
        <v>30916.424561225533</v>
      </c>
      <c r="K249" s="10">
        <f t="shared" si="28"/>
        <v>27351.178840579709</v>
      </c>
      <c r="L249" s="10">
        <f t="shared" si="32"/>
        <v>3565.2457206458239</v>
      </c>
      <c r="M249" s="10">
        <f>'D) Ecrêtage'!M248</f>
        <v>14874.063333333332</v>
      </c>
      <c r="N249" s="10">
        <f t="shared" si="29"/>
        <v>18466.984806187626</v>
      </c>
      <c r="O249" s="59">
        <f t="shared" si="30"/>
        <v>45818.163646767338</v>
      </c>
      <c r="P249" s="230"/>
      <c r="Q249" s="231"/>
      <c r="R249" s="227"/>
      <c r="S249" s="227"/>
      <c r="T249" s="232"/>
    </row>
    <row r="250" spans="1:20" s="226" customFormat="1" x14ac:dyDescent="0.25">
      <c r="A250" s="340">
        <f>'A) Base RI'!A251</f>
        <v>5821</v>
      </c>
      <c r="B250" s="239" t="str">
        <f>'A) Base RI'!B251</f>
        <v>Missy</v>
      </c>
      <c r="C250" s="255">
        <v>0</v>
      </c>
      <c r="D250" s="228">
        <f>'B) D RI'!AR251</f>
        <v>352</v>
      </c>
      <c r="E250" s="229">
        <f>'B) D RI'!S251</f>
        <v>72</v>
      </c>
      <c r="F250" s="10">
        <f>'B) D RI'!R251</f>
        <v>550012.85000000009</v>
      </c>
      <c r="G250" s="10">
        <f>'B) D RI'!U251</f>
        <v>7639.0673611111124</v>
      </c>
      <c r="H250" s="43">
        <f>'B) D RI'!T251</f>
        <v>499256.9</v>
      </c>
      <c r="I250" s="10">
        <f t="shared" si="31"/>
        <v>13868.247222222222</v>
      </c>
      <c r="J250" s="33">
        <f t="shared" si="46"/>
        <v>30313.597341368768</v>
      </c>
      <c r="K250" s="10">
        <f t="shared" si="28"/>
        <v>13868.247222222222</v>
      </c>
      <c r="L250" s="10">
        <f t="shared" si="32"/>
        <v>16445.350119146548</v>
      </c>
      <c r="M250" s="10">
        <f>'D) Ecrêtage'!M249</f>
        <v>7639.0673611111124</v>
      </c>
      <c r="N250" s="10">
        <f t="shared" si="29"/>
        <v>9484.3310620399443</v>
      </c>
      <c r="O250" s="59">
        <f t="shared" si="30"/>
        <v>23352.578284262167</v>
      </c>
      <c r="P250" s="230"/>
      <c r="Q250" s="231"/>
      <c r="R250" s="227"/>
      <c r="S250" s="227"/>
      <c r="T250" s="232"/>
    </row>
    <row r="251" spans="1:20" s="226" customFormat="1" x14ac:dyDescent="0.25">
      <c r="A251" s="340">
        <f>'A) Base RI'!A252</f>
        <v>5822</v>
      </c>
      <c r="B251" s="239" t="str">
        <f>'A) Base RI'!B252</f>
        <v>Payerne</v>
      </c>
      <c r="C251" s="255">
        <v>0</v>
      </c>
      <c r="D251" s="228">
        <f>'B) D RI'!AR252</f>
        <v>9716</v>
      </c>
      <c r="E251" s="229">
        <f>'B) D RI'!S252</f>
        <v>75</v>
      </c>
      <c r="F251" s="10">
        <f>'B) D RI'!R252</f>
        <v>18479826.620000001</v>
      </c>
      <c r="G251" s="10">
        <f>'B) D RI'!U252</f>
        <v>246397.68826666669</v>
      </c>
      <c r="H251" s="43">
        <f>'B) D RI'!T252</f>
        <v>17034647.470000003</v>
      </c>
      <c r="I251" s="10">
        <f t="shared" si="31"/>
        <v>454257.26586666674</v>
      </c>
      <c r="J251" s="33">
        <f t="shared" si="46"/>
        <v>836724.18116119015</v>
      </c>
      <c r="K251" s="10">
        <f t="shared" si="28"/>
        <v>454257.26586666674</v>
      </c>
      <c r="L251" s="10">
        <f t="shared" si="32"/>
        <v>382466.91529452341</v>
      </c>
      <c r="M251" s="10">
        <f>'D) Ecrêtage'!M250</f>
        <v>246397.68826666669</v>
      </c>
      <c r="N251" s="10">
        <f t="shared" si="29"/>
        <v>305916.56519997941</v>
      </c>
      <c r="O251" s="59">
        <f t="shared" si="30"/>
        <v>760173.83106664615</v>
      </c>
      <c r="P251" s="230"/>
      <c r="Q251" s="231"/>
      <c r="R251" s="227"/>
      <c r="S251" s="227"/>
      <c r="T251" s="232"/>
    </row>
    <row r="252" spans="1:20" s="226" customFormat="1" x14ac:dyDescent="0.25">
      <c r="A252" s="340">
        <f>'A) Base RI'!A253</f>
        <v>5827</v>
      </c>
      <c r="B252" s="239" t="str">
        <f>'A) Base RI'!B253</f>
        <v>Trey</v>
      </c>
      <c r="C252" s="255">
        <v>0</v>
      </c>
      <c r="D252" s="228">
        <f>'B) D RI'!AR253</f>
        <v>268</v>
      </c>
      <c r="E252" s="229">
        <f>'B) D RI'!S253</f>
        <v>80</v>
      </c>
      <c r="F252" s="10">
        <f>'B) D RI'!R253</f>
        <v>540181.38</v>
      </c>
      <c r="G252" s="10">
        <f>'B) D RI'!U253</f>
        <v>6752.2672499999999</v>
      </c>
      <c r="H252" s="43">
        <f>'B) D RI'!T253</f>
        <v>504542.38000000006</v>
      </c>
      <c r="I252" s="10">
        <f t="shared" si="31"/>
        <v>12613.559500000001</v>
      </c>
      <c r="J252" s="33">
        <f t="shared" si="46"/>
        <v>23079.670703087584</v>
      </c>
      <c r="K252" s="10">
        <f t="shared" si="28"/>
        <v>12613.559500000001</v>
      </c>
      <c r="L252" s="10">
        <f t="shared" si="32"/>
        <v>10466.111203087583</v>
      </c>
      <c r="M252" s="10">
        <f>'D) Ecrêtage'!M251</f>
        <v>6752.2672499999999</v>
      </c>
      <c r="N252" s="10">
        <f t="shared" si="29"/>
        <v>8383.3189303170675</v>
      </c>
      <c r="O252" s="59">
        <f t="shared" si="30"/>
        <v>20996.878430317069</v>
      </c>
      <c r="P252" s="230"/>
      <c r="Q252" s="231"/>
      <c r="R252" s="227"/>
      <c r="S252" s="227"/>
      <c r="T252" s="232"/>
    </row>
    <row r="253" spans="1:20" s="226" customFormat="1" x14ac:dyDescent="0.25">
      <c r="A253" s="340">
        <f>'A) Base RI'!A254</f>
        <v>5828</v>
      </c>
      <c r="B253" s="239" t="str">
        <f>'A) Base RI'!B254</f>
        <v>Treytorrens (Payerne)</v>
      </c>
      <c r="C253" s="255">
        <v>0</v>
      </c>
      <c r="D253" s="228">
        <f>'B) D RI'!AR254</f>
        <v>122</v>
      </c>
      <c r="E253" s="229">
        <f>'B) D RI'!S254</f>
        <v>84</v>
      </c>
      <c r="F253" s="10">
        <f>'B) D RI'!R254</f>
        <v>191579.56666666668</v>
      </c>
      <c r="G253" s="10">
        <f>'B) D RI'!U254</f>
        <v>2280.7091269841271</v>
      </c>
      <c r="H253" s="43">
        <f>'B) D RI'!T254</f>
        <v>177058.7</v>
      </c>
      <c r="I253" s="10">
        <f t="shared" si="31"/>
        <v>4215.6833333333334</v>
      </c>
      <c r="J253" s="33">
        <f t="shared" si="46"/>
        <v>10506.417260360766</v>
      </c>
      <c r="K253" s="10">
        <f t="shared" si="28"/>
        <v>4215.6833333333334</v>
      </c>
      <c r="L253" s="10">
        <f t="shared" si="32"/>
        <v>6290.7339270274324</v>
      </c>
      <c r="M253" s="10">
        <f>'D) Ecrêtage'!M252</f>
        <v>2280.7091269841271</v>
      </c>
      <c r="N253" s="10">
        <f t="shared" si="29"/>
        <v>2831.6284428453191</v>
      </c>
      <c r="O253" s="59">
        <f t="shared" si="30"/>
        <v>7047.3117761786525</v>
      </c>
      <c r="P253" s="230"/>
      <c r="Q253" s="231"/>
      <c r="R253" s="227"/>
      <c r="S253" s="227"/>
      <c r="T253" s="232"/>
    </row>
    <row r="254" spans="1:20" s="226" customFormat="1" x14ac:dyDescent="0.25">
      <c r="A254" s="340">
        <f>'A) Base RI'!A255</f>
        <v>5830</v>
      </c>
      <c r="B254" s="239" t="str">
        <f>'A) Base RI'!B255</f>
        <v>Villarzel</v>
      </c>
      <c r="C254" s="255">
        <v>0</v>
      </c>
      <c r="D254" s="228">
        <f>'B) D RI'!AR255</f>
        <v>417</v>
      </c>
      <c r="E254" s="229">
        <f>'B) D RI'!S255</f>
        <v>79</v>
      </c>
      <c r="F254" s="10">
        <f>'B) D RI'!R255</f>
        <v>831303.81</v>
      </c>
      <c r="G254" s="10">
        <f>'B) D RI'!U255</f>
        <v>10522.833037974684</v>
      </c>
      <c r="H254" s="43">
        <f>'B) D RI'!T255</f>
        <v>775898.26000000013</v>
      </c>
      <c r="I254" s="10">
        <f t="shared" si="31"/>
        <v>19642.993924050636</v>
      </c>
      <c r="J254" s="33">
        <f t="shared" si="46"/>
        <v>35911.278668610161</v>
      </c>
      <c r="K254" s="10">
        <f t="shared" ref="K254:K303" si="47">IF(C254=1,0,IF(J254&gt;I254,I254,J254))</f>
        <v>19642.993924050636</v>
      </c>
      <c r="L254" s="10">
        <f t="shared" si="32"/>
        <v>16268.284744559525</v>
      </c>
      <c r="M254" s="10">
        <f>'D) Ecrêtage'!M253</f>
        <v>10522.833037974684</v>
      </c>
      <c r="N254" s="10">
        <f t="shared" ref="N254:N313" si="48">+$N$5*M254</f>
        <v>13064.688073153358</v>
      </c>
      <c r="O254" s="59">
        <f t="shared" ref="O254:O314" si="49">+N254+K254</f>
        <v>32707.681997203996</v>
      </c>
      <c r="P254" s="230"/>
      <c r="Q254" s="231"/>
      <c r="R254" s="227"/>
      <c r="S254" s="227"/>
      <c r="T254" s="232"/>
    </row>
    <row r="255" spans="1:20" s="226" customFormat="1" x14ac:dyDescent="0.25">
      <c r="A255" s="340">
        <f>'A) Base RI'!A256</f>
        <v>5831</v>
      </c>
      <c r="B255" s="239" t="str">
        <f>'A) Base RI'!B256</f>
        <v>Valbroye</v>
      </c>
      <c r="C255" s="255">
        <v>0</v>
      </c>
      <c r="D255" s="228">
        <f>'B) D RI'!AR256</f>
        <v>3035</v>
      </c>
      <c r="E255" s="229">
        <f>'B) D RI'!S256</f>
        <v>73</v>
      </c>
      <c r="F255" s="10">
        <f>'B) D RI'!R256</f>
        <v>6045975.9900000012</v>
      </c>
      <c r="G255" s="10">
        <f>'B) D RI'!U256</f>
        <v>82821.588904109609</v>
      </c>
      <c r="H255" s="43">
        <f>'B) D RI'!T256</f>
        <v>5646885.540000001</v>
      </c>
      <c r="I255" s="10">
        <f t="shared" ref="I255:I286" si="50">+H255/E255*$I$5</f>
        <v>154709.19287671236</v>
      </c>
      <c r="J255" s="33">
        <f t="shared" si="46"/>
        <v>261368.65889504037</v>
      </c>
      <c r="K255" s="10">
        <f t="shared" si="47"/>
        <v>154709.19287671236</v>
      </c>
      <c r="L255" s="10">
        <f t="shared" ref="L255:L314" si="51">+J255-K255</f>
        <v>106659.46601832801</v>
      </c>
      <c r="M255" s="10">
        <f>'D) Ecrêtage'!M254</f>
        <v>82821.588904109609</v>
      </c>
      <c r="N255" s="10">
        <f t="shared" si="48"/>
        <v>102827.65305220407</v>
      </c>
      <c r="O255" s="59">
        <f t="shared" si="49"/>
        <v>257536.84592891642</v>
      </c>
      <c r="P255" s="230"/>
      <c r="Q255" s="231"/>
      <c r="R255" s="227"/>
      <c r="S255" s="227"/>
      <c r="T255" s="232"/>
    </row>
    <row r="256" spans="1:20" s="226" customFormat="1" x14ac:dyDescent="0.25">
      <c r="A256" s="340">
        <f>'A) Base RI'!A257</f>
        <v>5841</v>
      </c>
      <c r="B256" s="239" t="str">
        <f>'A) Base RI'!B257</f>
        <v>Château-d'Oex</v>
      </c>
      <c r="C256" s="255">
        <v>0</v>
      </c>
      <c r="D256" s="228">
        <f>'B) D RI'!AR257</f>
        <v>3433</v>
      </c>
      <c r="E256" s="229">
        <f>'B) D RI'!S257</f>
        <v>83</v>
      </c>
      <c r="F256" s="10">
        <f>'B) D RI'!R257</f>
        <v>9347436.7599999998</v>
      </c>
      <c r="G256" s="10">
        <f>'B) D RI'!U257</f>
        <v>112619.72</v>
      </c>
      <c r="H256" s="43">
        <f>'B) D RI'!T257</f>
        <v>8383213.71</v>
      </c>
      <c r="I256" s="10">
        <f t="shared" si="50"/>
        <v>202005.14963855423</v>
      </c>
      <c r="J256" s="33">
        <f t="shared" si="46"/>
        <v>295643.69225261075</v>
      </c>
      <c r="K256" s="10">
        <f t="shared" si="47"/>
        <v>202005.14963855423</v>
      </c>
      <c r="L256" s="10">
        <f t="shared" si="51"/>
        <v>93638.542614056525</v>
      </c>
      <c r="M256" s="10">
        <f>'D) Ecrêtage'!M255</f>
        <v>112619.72</v>
      </c>
      <c r="N256" s="10">
        <f t="shared" si="48"/>
        <v>139823.7059712066</v>
      </c>
      <c r="O256" s="59">
        <f t="shared" si="49"/>
        <v>341828.85560976085</v>
      </c>
      <c r="P256" s="230"/>
      <c r="Q256" s="231"/>
      <c r="R256" s="227"/>
      <c r="S256" s="227"/>
      <c r="T256" s="232"/>
    </row>
    <row r="257" spans="1:20" s="226" customFormat="1" x14ac:dyDescent="0.25">
      <c r="A257" s="340">
        <f>'A) Base RI'!A258</f>
        <v>5842</v>
      </c>
      <c r="B257" s="239" t="str">
        <f>'A) Base RI'!B258</f>
        <v>Rossinière</v>
      </c>
      <c r="C257" s="255">
        <v>0</v>
      </c>
      <c r="D257" s="228">
        <f>'B) D RI'!AR258</f>
        <v>545</v>
      </c>
      <c r="E257" s="229">
        <f>'B) D RI'!S258</f>
        <v>81</v>
      </c>
      <c r="F257" s="10">
        <f>'B) D RI'!R258</f>
        <v>1015105.4833333335</v>
      </c>
      <c r="G257" s="10">
        <f>'B) D RI'!U258</f>
        <v>12532.166460905351</v>
      </c>
      <c r="H257" s="43">
        <f>'B) D RI'!T258</f>
        <v>928863.40000000014</v>
      </c>
      <c r="I257" s="10">
        <f t="shared" si="50"/>
        <v>22934.898765432103</v>
      </c>
      <c r="J257" s="33">
        <f t="shared" si="46"/>
        <v>46934.404974562436</v>
      </c>
      <c r="K257" s="10">
        <f t="shared" si="47"/>
        <v>22934.898765432103</v>
      </c>
      <c r="L257" s="10">
        <f t="shared" si="51"/>
        <v>23999.506209130333</v>
      </c>
      <c r="M257" s="10">
        <f>'D) Ecrêtage'!M256</f>
        <v>12532.166460905351</v>
      </c>
      <c r="N257" s="10">
        <f t="shared" si="48"/>
        <v>15559.388341685155</v>
      </c>
      <c r="O257" s="59">
        <f t="shared" si="49"/>
        <v>38494.287107117256</v>
      </c>
      <c r="P257" s="230"/>
      <c r="Q257" s="231"/>
      <c r="R257" s="227"/>
      <c r="S257" s="227"/>
      <c r="T257" s="232"/>
    </row>
    <row r="258" spans="1:20" s="226" customFormat="1" x14ac:dyDescent="0.25">
      <c r="A258" s="340">
        <f>'A) Base RI'!A259</f>
        <v>5843</v>
      </c>
      <c r="B258" s="239" t="str">
        <f>'A) Base RI'!B259</f>
        <v>Rougemont</v>
      </c>
      <c r="C258" s="255">
        <v>0</v>
      </c>
      <c r="D258" s="228">
        <f>'B) D RI'!AR259</f>
        <v>882</v>
      </c>
      <c r="E258" s="229">
        <f>'B) D RI'!S259</f>
        <v>74</v>
      </c>
      <c r="F258" s="10">
        <f>'B) D RI'!R259</f>
        <v>6504501.080000001</v>
      </c>
      <c r="G258" s="10">
        <f>'B) D RI'!U259</f>
        <v>87898.663243243253</v>
      </c>
      <c r="H258" s="43">
        <f>'B) D RI'!T259</f>
        <v>5721664.3800000008</v>
      </c>
      <c r="I258" s="10">
        <f t="shared" si="50"/>
        <v>154639.57783783786</v>
      </c>
      <c r="J258" s="33">
        <f t="shared" si="46"/>
        <v>75956.229701952427</v>
      </c>
      <c r="K258" s="10">
        <f t="shared" si="47"/>
        <v>75956.229701952427</v>
      </c>
      <c r="L258" s="10">
        <f t="shared" si="51"/>
        <v>0</v>
      </c>
      <c r="M258" s="10">
        <f>'D) Ecrêtage'!M257</f>
        <v>76653.566465504657</v>
      </c>
      <c r="N258" s="10">
        <f t="shared" si="48"/>
        <v>95169.706860548613</v>
      </c>
      <c r="O258" s="59">
        <f t="shared" si="49"/>
        <v>171125.93656250104</v>
      </c>
      <c r="P258" s="230"/>
      <c r="Q258" s="231"/>
      <c r="R258" s="227"/>
      <c r="S258" s="227"/>
      <c r="T258" s="232"/>
    </row>
    <row r="259" spans="1:20" s="226" customFormat="1" x14ac:dyDescent="0.25">
      <c r="A259" s="340">
        <f>'A) Base RI'!A260</f>
        <v>5851</v>
      </c>
      <c r="B259" s="239" t="str">
        <f>'A) Base RI'!B260</f>
        <v>Allaman</v>
      </c>
      <c r="C259" s="255">
        <v>0</v>
      </c>
      <c r="D259" s="228">
        <f>'B) D RI'!AR260</f>
        <v>442</v>
      </c>
      <c r="E259" s="229">
        <f>'B) D RI'!S260</f>
        <v>62</v>
      </c>
      <c r="F259" s="10">
        <f>'B) D RI'!R260</f>
        <v>1774993.8299999998</v>
      </c>
      <c r="G259" s="10">
        <f>'B) D RI'!U260</f>
        <v>28628.932741935481</v>
      </c>
      <c r="H259" s="43">
        <f>'B) D RI'!T260</f>
        <v>1532154.0299999998</v>
      </c>
      <c r="I259" s="10">
        <f t="shared" si="50"/>
        <v>49424.323548387089</v>
      </c>
      <c r="J259" s="33">
        <f t="shared" si="46"/>
        <v>38064.233025241461</v>
      </c>
      <c r="K259" s="10">
        <f t="shared" si="47"/>
        <v>38064.233025241461</v>
      </c>
      <c r="L259" s="10">
        <f t="shared" si="51"/>
        <v>0</v>
      </c>
      <c r="M259" s="10">
        <f>'D) Ecrêtage'!M258</f>
        <v>27674.221391195879</v>
      </c>
      <c r="N259" s="10">
        <f t="shared" si="48"/>
        <v>34359.099763208862</v>
      </c>
      <c r="O259" s="59">
        <f t="shared" si="49"/>
        <v>72423.332788450323</v>
      </c>
      <c r="P259" s="230"/>
      <c r="Q259" s="231"/>
      <c r="R259" s="227"/>
      <c r="S259" s="227"/>
      <c r="T259" s="232"/>
    </row>
    <row r="260" spans="1:20" s="226" customFormat="1" x14ac:dyDescent="0.25">
      <c r="A260" s="340">
        <f>'A) Base RI'!A261</f>
        <v>5852</v>
      </c>
      <c r="B260" s="239" t="str">
        <f>'A) Base RI'!B261</f>
        <v>Bursinel</v>
      </c>
      <c r="C260" s="255">
        <v>0</v>
      </c>
      <c r="D260" s="228">
        <f>'B) D RI'!AR261</f>
        <v>488</v>
      </c>
      <c r="E260" s="229">
        <f>'B) D RI'!S261</f>
        <v>65.5</v>
      </c>
      <c r="F260" s="10">
        <f>'B) D RI'!R261</f>
        <v>2539947.4999999995</v>
      </c>
      <c r="G260" s="10">
        <f>'B) D RI'!U261</f>
        <v>38777.824427480911</v>
      </c>
      <c r="H260" s="43">
        <f>'B) D RI'!T261</f>
        <v>2362910.9499999997</v>
      </c>
      <c r="I260" s="10">
        <f t="shared" si="50"/>
        <v>72149.952671755716</v>
      </c>
      <c r="J260" s="33">
        <f t="shared" si="46"/>
        <v>42025.669041443063</v>
      </c>
      <c r="K260" s="10">
        <f t="shared" si="47"/>
        <v>42025.669041443063</v>
      </c>
      <c r="L260" s="10">
        <f t="shared" si="51"/>
        <v>0</v>
      </c>
      <c r="M260" s="10">
        <f>'D) Ecrêtage'!M259</f>
        <v>35727.740437901746</v>
      </c>
      <c r="N260" s="10">
        <f t="shared" si="48"/>
        <v>44357.995864354496</v>
      </c>
      <c r="O260" s="59">
        <f t="shared" si="49"/>
        <v>86383.664905797559</v>
      </c>
      <c r="P260" s="230"/>
      <c r="Q260" s="231"/>
      <c r="R260" s="227"/>
      <c r="S260" s="227"/>
      <c r="T260" s="232"/>
    </row>
    <row r="261" spans="1:20" s="226" customFormat="1" x14ac:dyDescent="0.25">
      <c r="A261" s="340">
        <f>'A) Base RI'!A262</f>
        <v>5853</v>
      </c>
      <c r="B261" s="239" t="str">
        <f>'A) Base RI'!B262</f>
        <v>Bursins</v>
      </c>
      <c r="C261" s="255">
        <v>0</v>
      </c>
      <c r="D261" s="228">
        <f>'B) D RI'!AR262</f>
        <v>745</v>
      </c>
      <c r="E261" s="229">
        <f>'B) D RI'!S262</f>
        <v>71</v>
      </c>
      <c r="F261" s="10">
        <f>'B) D RI'!R262</f>
        <v>2565232.9899999998</v>
      </c>
      <c r="G261" s="10">
        <f>'B) D RI'!U262</f>
        <v>36130.042112676056</v>
      </c>
      <c r="H261" s="43">
        <f>'B) D RI'!T262</f>
        <v>2365707.2399999998</v>
      </c>
      <c r="I261" s="10">
        <f t="shared" si="50"/>
        <v>66639.640563380279</v>
      </c>
      <c r="J261" s="33">
        <f t="shared" si="46"/>
        <v>64158.039827612876</v>
      </c>
      <c r="K261" s="10">
        <f t="shared" si="47"/>
        <v>64158.039827612876</v>
      </c>
      <c r="L261" s="10">
        <f t="shared" si="51"/>
        <v>0</v>
      </c>
      <c r="M261" s="10">
        <f>'D) Ecrêtage'!M260</f>
        <v>36130.042112676056</v>
      </c>
      <c r="N261" s="10">
        <f t="shared" si="48"/>
        <v>44857.47598280415</v>
      </c>
      <c r="O261" s="59">
        <f t="shared" si="49"/>
        <v>109015.51581041703</v>
      </c>
      <c r="P261" s="230"/>
      <c r="Q261" s="231"/>
      <c r="R261" s="227"/>
      <c r="S261" s="227"/>
      <c r="T261" s="232"/>
    </row>
    <row r="262" spans="1:20" s="226" customFormat="1" x14ac:dyDescent="0.25">
      <c r="A262" s="340">
        <f>'A) Base RI'!A263</f>
        <v>5854</v>
      </c>
      <c r="B262" s="239" t="str">
        <f>'A) Base RI'!B263</f>
        <v>Burtigny</v>
      </c>
      <c r="C262" s="255">
        <v>0</v>
      </c>
      <c r="D262" s="228">
        <f>'B) D RI'!AR263</f>
        <v>361</v>
      </c>
      <c r="E262" s="229">
        <f>'B) D RI'!S263</f>
        <v>80</v>
      </c>
      <c r="F262" s="10">
        <f>'B) D RI'!R263</f>
        <v>814467.52333333332</v>
      </c>
      <c r="G262" s="10">
        <f>'B) D RI'!U263</f>
        <v>10180.844041666667</v>
      </c>
      <c r="H262" s="43">
        <f>'B) D RI'!T263</f>
        <v>757661.69000000006</v>
      </c>
      <c r="I262" s="10">
        <f t="shared" si="50"/>
        <v>18941.542250000002</v>
      </c>
      <c r="J262" s="33">
        <f t="shared" si="46"/>
        <v>31088.660909756036</v>
      </c>
      <c r="K262" s="10">
        <f t="shared" si="47"/>
        <v>18941.542250000002</v>
      </c>
      <c r="L262" s="10">
        <f t="shared" si="51"/>
        <v>12147.118659756034</v>
      </c>
      <c r="M262" s="10">
        <f>'D) Ecrêtage'!M261</f>
        <v>10180.844041666667</v>
      </c>
      <c r="N262" s="10">
        <f t="shared" si="48"/>
        <v>12640.089531573249</v>
      </c>
      <c r="O262" s="59">
        <f t="shared" si="49"/>
        <v>31581.631781573251</v>
      </c>
      <c r="P262" s="230"/>
      <c r="Q262" s="231"/>
      <c r="R262" s="227"/>
      <c r="S262" s="227"/>
      <c r="T262" s="232"/>
    </row>
    <row r="263" spans="1:20" s="226" customFormat="1" x14ac:dyDescent="0.25">
      <c r="A263" s="340">
        <f>'A) Base RI'!A264</f>
        <v>5855</v>
      </c>
      <c r="B263" s="239" t="str">
        <f>'A) Base RI'!B264</f>
        <v>Dully</v>
      </c>
      <c r="C263" s="255">
        <v>0</v>
      </c>
      <c r="D263" s="228">
        <f>'B) D RI'!AR264</f>
        <v>640</v>
      </c>
      <c r="E263" s="229">
        <f>'B) D RI'!S264</f>
        <v>49</v>
      </c>
      <c r="F263" s="10">
        <f>'B) D RI'!R264</f>
        <v>3842903.91</v>
      </c>
      <c r="G263" s="10">
        <f>'B) D RI'!U264</f>
        <v>78426.610408163266</v>
      </c>
      <c r="H263" s="43">
        <f>'B) D RI'!T264</f>
        <v>3495272.56</v>
      </c>
      <c r="I263" s="10">
        <f t="shared" si="50"/>
        <v>142664.18612244897</v>
      </c>
      <c r="J263" s="33">
        <f t="shared" si="46"/>
        <v>55115.631529761391</v>
      </c>
      <c r="K263" s="10">
        <f t="shared" si="47"/>
        <v>55115.631529761391</v>
      </c>
      <c r="L263" s="10">
        <f t="shared" si="51"/>
        <v>0</v>
      </c>
      <c r="M263" s="10">
        <f>'D) Ecrêtage'!M262</f>
        <v>64936.025638405044</v>
      </c>
      <c r="N263" s="10">
        <f t="shared" si="48"/>
        <v>80621.721984418706</v>
      </c>
      <c r="O263" s="59">
        <f t="shared" si="49"/>
        <v>135737.35351418011</v>
      </c>
      <c r="P263" s="230"/>
      <c r="Q263" s="231"/>
      <c r="R263" s="227"/>
      <c r="S263" s="227"/>
      <c r="T263" s="232"/>
    </row>
    <row r="264" spans="1:20" s="226" customFormat="1" x14ac:dyDescent="0.25">
      <c r="A264" s="340">
        <f>'A) Base RI'!A265</f>
        <v>5856</v>
      </c>
      <c r="B264" s="239" t="str">
        <f>'A) Base RI'!B265</f>
        <v>Essertines-sur-Rolle</v>
      </c>
      <c r="C264" s="255">
        <v>0</v>
      </c>
      <c r="D264" s="228">
        <f>'B) D RI'!AR265</f>
        <v>696</v>
      </c>
      <c r="E264" s="229">
        <f>'B) D RI'!S265</f>
        <v>68</v>
      </c>
      <c r="F264" s="10">
        <f>'B) D RI'!R265</f>
        <v>2336177.9353846163</v>
      </c>
      <c r="G264" s="10">
        <f>'B) D RI'!U265</f>
        <v>34355.55787330318</v>
      </c>
      <c r="H264" s="43">
        <f>'B) D RI'!T265</f>
        <v>2162821.7200000007</v>
      </c>
      <c r="I264" s="10">
        <f t="shared" si="50"/>
        <v>63612.403529411786</v>
      </c>
      <c r="J264" s="33">
        <f t="shared" si="46"/>
        <v>59938.249288615516</v>
      </c>
      <c r="K264" s="10">
        <f t="shared" si="47"/>
        <v>59938.249288615516</v>
      </c>
      <c r="L264" s="10">
        <f t="shared" si="51"/>
        <v>0</v>
      </c>
      <c r="M264" s="10">
        <f>'D) Ecrêtage'!M263</f>
        <v>34355.55787330318</v>
      </c>
      <c r="N264" s="10">
        <f t="shared" si="48"/>
        <v>42654.354162428346</v>
      </c>
      <c r="O264" s="59">
        <f t="shared" si="49"/>
        <v>102592.60345104386</v>
      </c>
      <c r="P264" s="230"/>
      <c r="Q264" s="231"/>
      <c r="R264" s="227"/>
      <c r="S264" s="227"/>
      <c r="T264" s="232"/>
    </row>
    <row r="265" spans="1:20" s="226" customFormat="1" x14ac:dyDescent="0.25">
      <c r="A265" s="340">
        <f>'A) Base RI'!A266</f>
        <v>5857</v>
      </c>
      <c r="B265" s="239" t="str">
        <f>'A) Base RI'!B266</f>
        <v>Gilly</v>
      </c>
      <c r="C265" s="255">
        <v>0</v>
      </c>
      <c r="D265" s="228">
        <f>'B) D RI'!AR266</f>
        <v>1294</v>
      </c>
      <c r="E265" s="229">
        <f>'B) D RI'!S266</f>
        <v>66</v>
      </c>
      <c r="F265" s="10">
        <f>'B) D RI'!R266</f>
        <v>5074955.3099999996</v>
      </c>
      <c r="G265" s="10">
        <f>'B) D RI'!U266</f>
        <v>76893.262272727268</v>
      </c>
      <c r="H265" s="43">
        <f>'B) D RI'!T266</f>
        <v>4715297.26</v>
      </c>
      <c r="I265" s="10">
        <f t="shared" si="50"/>
        <v>142887.79575757575</v>
      </c>
      <c r="J265" s="33">
        <f t="shared" si="46"/>
        <v>111436.91749923633</v>
      </c>
      <c r="K265" s="10">
        <f t="shared" si="47"/>
        <v>111436.91749923633</v>
      </c>
      <c r="L265" s="10">
        <f t="shared" si="51"/>
        <v>0</v>
      </c>
      <c r="M265" s="10">
        <f>'D) Ecrêtage'!M264</f>
        <v>75717.72720559244</v>
      </c>
      <c r="N265" s="10">
        <f t="shared" si="48"/>
        <v>94007.80987204361</v>
      </c>
      <c r="O265" s="59">
        <f t="shared" si="49"/>
        <v>205444.72737127994</v>
      </c>
      <c r="P265" s="230"/>
      <c r="Q265" s="231"/>
      <c r="R265" s="227"/>
      <c r="S265" s="227"/>
      <c r="T265" s="232"/>
    </row>
    <row r="266" spans="1:20" s="226" customFormat="1" x14ac:dyDescent="0.25">
      <c r="A266" s="340">
        <f>'A) Base RI'!A267</f>
        <v>5858</v>
      </c>
      <c r="B266" s="239" t="str">
        <f>'A) Base RI'!B267</f>
        <v>Luins</v>
      </c>
      <c r="C266" s="255">
        <v>0</v>
      </c>
      <c r="D266" s="228">
        <f>'B) D RI'!AR267</f>
        <v>608</v>
      </c>
      <c r="E266" s="229">
        <f>'B) D RI'!S267</f>
        <v>60</v>
      </c>
      <c r="F266" s="10">
        <f>'B) D RI'!R267</f>
        <v>2054046.5866666667</v>
      </c>
      <c r="G266" s="10">
        <f>'B) D RI'!U267</f>
        <v>34234.109777777776</v>
      </c>
      <c r="H266" s="43">
        <f>'B) D RI'!T267</f>
        <v>1909236.42</v>
      </c>
      <c r="I266" s="10">
        <f t="shared" si="50"/>
        <v>63641.214</v>
      </c>
      <c r="J266" s="33">
        <f t="shared" si="46"/>
        <v>52359.849953273326</v>
      </c>
      <c r="K266" s="10">
        <f t="shared" si="47"/>
        <v>52359.849953273326</v>
      </c>
      <c r="L266" s="10">
        <f t="shared" si="51"/>
        <v>0</v>
      </c>
      <c r="M266" s="10">
        <f>'D) Ecrêtage'!M265</f>
        <v>34125.208220571811</v>
      </c>
      <c r="N266" s="10">
        <f t="shared" si="48"/>
        <v>42368.36213444177</v>
      </c>
      <c r="O266" s="59">
        <f t="shared" si="49"/>
        <v>94728.212087715103</v>
      </c>
      <c r="P266" s="230"/>
      <c r="Q266" s="231"/>
      <c r="R266" s="227"/>
      <c r="S266" s="227"/>
      <c r="T266" s="232"/>
    </row>
    <row r="267" spans="1:20" s="226" customFormat="1" x14ac:dyDescent="0.25">
      <c r="A267" s="340">
        <f>'A) Base RI'!A268</f>
        <v>5859</v>
      </c>
      <c r="B267" s="239" t="str">
        <f>'A) Base RI'!B268</f>
        <v>Mont-sur-Rolle</v>
      </c>
      <c r="C267" s="255">
        <v>0</v>
      </c>
      <c r="D267" s="228">
        <f>'B) D RI'!AR268</f>
        <v>2701</v>
      </c>
      <c r="E267" s="229">
        <f>'B) D RI'!S268</f>
        <v>64</v>
      </c>
      <c r="F267" s="10">
        <f>'B) D RI'!R268</f>
        <v>8760911.5999999996</v>
      </c>
      <c r="G267" s="10">
        <f>'B) D RI'!U268</f>
        <v>136889.24374999999</v>
      </c>
      <c r="H267" s="43">
        <f>'B) D RI'!T268</f>
        <v>8123221.3999999994</v>
      </c>
      <c r="I267" s="10">
        <f t="shared" si="50"/>
        <v>253850.66874999998</v>
      </c>
      <c r="J267" s="33">
        <f t="shared" si="46"/>
        <v>232605.18869044614</v>
      </c>
      <c r="K267" s="10">
        <f t="shared" si="47"/>
        <v>232605.18869044614</v>
      </c>
      <c r="L267" s="10">
        <f t="shared" si="51"/>
        <v>0</v>
      </c>
      <c r="M267" s="10">
        <f>'D) Ecrêtage'!M266</f>
        <v>136889.24374999999</v>
      </c>
      <c r="N267" s="10">
        <f t="shared" si="48"/>
        <v>169955.68243928175</v>
      </c>
      <c r="O267" s="59">
        <f t="shared" si="49"/>
        <v>402560.87112972792</v>
      </c>
      <c r="P267" s="230"/>
      <c r="Q267" s="231"/>
      <c r="R267" s="227"/>
      <c r="S267" s="227"/>
      <c r="T267" s="232"/>
    </row>
    <row r="268" spans="1:20" s="226" customFormat="1" x14ac:dyDescent="0.25">
      <c r="A268" s="340">
        <f>'A) Base RI'!A269</f>
        <v>5860</v>
      </c>
      <c r="B268" s="239" t="str">
        <f>'A) Base RI'!B269</f>
        <v>Perroy</v>
      </c>
      <c r="C268" s="255">
        <v>0</v>
      </c>
      <c r="D268" s="228">
        <f>'B) D RI'!AR269</f>
        <v>1514</v>
      </c>
      <c r="E268" s="229">
        <f>'B) D RI'!S269</f>
        <v>60</v>
      </c>
      <c r="F268" s="10">
        <f>'B) D RI'!R269</f>
        <v>5271645.7223076932</v>
      </c>
      <c r="G268" s="10">
        <f>'B) D RI'!U269</f>
        <v>87860.762038461558</v>
      </c>
      <c r="H268" s="43">
        <f>'B) D RI'!T269</f>
        <v>4771699.4800000014</v>
      </c>
      <c r="I268" s="10">
        <f t="shared" si="50"/>
        <v>159056.64933333339</v>
      </c>
      <c r="J268" s="33">
        <f t="shared" si="46"/>
        <v>130382.91583759181</v>
      </c>
      <c r="K268" s="10">
        <f t="shared" si="47"/>
        <v>130382.91583759181</v>
      </c>
      <c r="L268" s="10">
        <f t="shared" si="51"/>
        <v>0</v>
      </c>
      <c r="M268" s="10">
        <f>'D) Ecrêtage'!M267</f>
        <v>86978.06496820855</v>
      </c>
      <c r="N268" s="10">
        <f t="shared" si="48"/>
        <v>107988.15147168982</v>
      </c>
      <c r="O268" s="59">
        <f t="shared" si="49"/>
        <v>238371.06730928161</v>
      </c>
      <c r="P268" s="230"/>
      <c r="Q268" s="231"/>
      <c r="R268" s="227"/>
      <c r="S268" s="227"/>
      <c r="T268" s="232"/>
    </row>
    <row r="269" spans="1:20" s="226" customFormat="1" x14ac:dyDescent="0.25">
      <c r="A269" s="340">
        <f>'A) Base RI'!A270</f>
        <v>5861</v>
      </c>
      <c r="B269" s="239" t="str">
        <f>'A) Base RI'!B270</f>
        <v>Rolle</v>
      </c>
      <c r="C269" s="255">
        <v>0</v>
      </c>
      <c r="D269" s="228">
        <f>'B) D RI'!AR270</f>
        <v>6225</v>
      </c>
      <c r="E269" s="229">
        <f>'B) D RI'!S270</f>
        <v>59.5</v>
      </c>
      <c r="F269" s="10">
        <f>'B) D RI'!R270</f>
        <v>49034376.849999994</v>
      </c>
      <c r="G269" s="10">
        <f>'B) D RI'!U270</f>
        <v>824107.17394957971</v>
      </c>
      <c r="H269" s="43">
        <f>'B) D RI'!T270</f>
        <v>47064326.099999994</v>
      </c>
      <c r="I269" s="10">
        <f t="shared" si="50"/>
        <v>1581994.1546218486</v>
      </c>
      <c r="J269" s="33">
        <f t="shared" si="46"/>
        <v>536085.63480119477</v>
      </c>
      <c r="K269" s="10">
        <f t="shared" si="47"/>
        <v>536085.63480119477</v>
      </c>
      <c r="L269" s="10">
        <f t="shared" si="51"/>
        <v>0</v>
      </c>
      <c r="M269" s="10">
        <f>'D) Ecrêtage'!M268</f>
        <v>670582.11002585792</v>
      </c>
      <c r="N269" s="10">
        <f t="shared" si="48"/>
        <v>832565.34274642891</v>
      </c>
      <c r="O269" s="59">
        <f t="shared" si="49"/>
        <v>1368650.9775476237</v>
      </c>
      <c r="P269" s="230"/>
      <c r="Q269" s="231"/>
      <c r="R269" s="227"/>
      <c r="S269" s="227"/>
      <c r="T269" s="232"/>
    </row>
    <row r="270" spans="1:20" s="226" customFormat="1" x14ac:dyDescent="0.25">
      <c r="A270" s="340">
        <f>'A) Base RI'!A271</f>
        <v>5862</v>
      </c>
      <c r="B270" s="239" t="str">
        <f>'A) Base RI'!B271</f>
        <v>Tartegnin</v>
      </c>
      <c r="C270" s="255">
        <v>0</v>
      </c>
      <c r="D270" s="228">
        <f>'B) D RI'!AR271</f>
        <v>235</v>
      </c>
      <c r="E270" s="229">
        <f>'B) D RI'!S271</f>
        <v>81</v>
      </c>
      <c r="F270" s="10">
        <f>'B) D RI'!R271</f>
        <v>861025.35333333327</v>
      </c>
      <c r="G270" s="10">
        <f>'B) D RI'!U271</f>
        <v>10629.942633744855</v>
      </c>
      <c r="H270" s="43">
        <f>'B) D RI'!T271</f>
        <v>815164.5199999999</v>
      </c>
      <c r="I270" s="10">
        <f t="shared" si="50"/>
        <v>20127.519012345678</v>
      </c>
      <c r="J270" s="33">
        <f t="shared" si="46"/>
        <v>20237.770952334264</v>
      </c>
      <c r="K270" s="10">
        <f t="shared" si="47"/>
        <v>20127.519012345678</v>
      </c>
      <c r="L270" s="10">
        <f t="shared" si="51"/>
        <v>110.25193998858595</v>
      </c>
      <c r="M270" s="10">
        <f>'D) Ecrêtage'!M269</f>
        <v>10629.942633744855</v>
      </c>
      <c r="N270" s="10">
        <f t="shared" si="48"/>
        <v>13197.670650500053</v>
      </c>
      <c r="O270" s="59">
        <f t="shared" si="49"/>
        <v>33325.189662845733</v>
      </c>
      <c r="P270" s="230"/>
      <c r="Q270" s="231"/>
      <c r="R270" s="227"/>
      <c r="S270" s="227"/>
      <c r="T270" s="232"/>
    </row>
    <row r="271" spans="1:20" s="226" customFormat="1" x14ac:dyDescent="0.25">
      <c r="A271" s="340">
        <f>'A) Base RI'!A272</f>
        <v>5863</v>
      </c>
      <c r="B271" s="239" t="str">
        <f>'A) Base RI'!B272</f>
        <v>Vinzel</v>
      </c>
      <c r="C271" s="255">
        <v>0</v>
      </c>
      <c r="D271" s="228">
        <f>'B) D RI'!AR272</f>
        <v>371</v>
      </c>
      <c r="E271" s="229">
        <f>'B) D RI'!S272</f>
        <v>67</v>
      </c>
      <c r="F271" s="10">
        <f>'B) D RI'!R272</f>
        <v>1532251.8800000001</v>
      </c>
      <c r="G271" s="10">
        <f>'B) D RI'!U272</f>
        <v>22869.43104477612</v>
      </c>
      <c r="H271" s="43">
        <f>'B) D RI'!T272</f>
        <v>1452441.3800000001</v>
      </c>
      <c r="I271" s="10">
        <f t="shared" si="50"/>
        <v>43356.459104477617</v>
      </c>
      <c r="J271" s="33">
        <f t="shared" si="46"/>
        <v>31949.842652408559</v>
      </c>
      <c r="K271" s="10">
        <f t="shared" si="47"/>
        <v>31949.842652408559</v>
      </c>
      <c r="L271" s="10">
        <f t="shared" si="51"/>
        <v>0</v>
      </c>
      <c r="M271" s="10">
        <f>'D) Ecrêtage'!M270</f>
        <v>22339.690641687634</v>
      </c>
      <c r="N271" s="10">
        <f t="shared" si="48"/>
        <v>27735.980304080378</v>
      </c>
      <c r="O271" s="59">
        <f t="shared" si="49"/>
        <v>59685.822956488933</v>
      </c>
      <c r="P271" s="230"/>
      <c r="Q271" s="231"/>
      <c r="R271" s="227"/>
      <c r="S271" s="227"/>
      <c r="T271" s="232"/>
    </row>
    <row r="272" spans="1:20" s="226" customFormat="1" x14ac:dyDescent="0.25">
      <c r="A272" s="340">
        <f>'A) Base RI'!A273</f>
        <v>5871</v>
      </c>
      <c r="B272" s="239" t="str">
        <f>'A) Base RI'!B273</f>
        <v>L'Abbaye</v>
      </c>
      <c r="C272" s="255">
        <v>0</v>
      </c>
      <c r="D272" s="228">
        <f>'B) D RI'!AR273</f>
        <v>1492</v>
      </c>
      <c r="E272" s="229">
        <f>'B) D RI'!S273</f>
        <v>77.3</v>
      </c>
      <c r="F272" s="10">
        <f>'B) D RI'!R273</f>
        <v>3694536.63</v>
      </c>
      <c r="G272" s="10">
        <f>'B) D RI'!U273</f>
        <v>47794.781759379046</v>
      </c>
      <c r="H272" s="43">
        <f>'B) D RI'!T273</f>
        <v>3450374.53</v>
      </c>
      <c r="I272" s="10">
        <f t="shared" si="50"/>
        <v>89272.303492884865</v>
      </c>
      <c r="J272" s="33">
        <f t="shared" si="46"/>
        <v>128488.31600375625</v>
      </c>
      <c r="K272" s="10">
        <f t="shared" si="47"/>
        <v>89272.303492884865</v>
      </c>
      <c r="L272" s="10">
        <f t="shared" si="51"/>
        <v>39216.012510871384</v>
      </c>
      <c r="M272" s="10">
        <f>'D) Ecrêtage'!M271</f>
        <v>47794.781759379046</v>
      </c>
      <c r="N272" s="10">
        <f t="shared" si="48"/>
        <v>59339.905228688222</v>
      </c>
      <c r="O272" s="59">
        <f t="shared" si="49"/>
        <v>148612.20872157309</v>
      </c>
      <c r="P272" s="230"/>
      <c r="Q272" s="231"/>
      <c r="R272" s="227"/>
      <c r="S272" s="227"/>
      <c r="T272" s="232"/>
    </row>
    <row r="273" spans="1:20" s="226" customFormat="1" x14ac:dyDescent="0.25">
      <c r="A273" s="340">
        <f>'A) Base RI'!A274</f>
        <v>5872</v>
      </c>
      <c r="B273" s="239" t="str">
        <f>'A) Base RI'!B274</f>
        <v>Le Chenit</v>
      </c>
      <c r="C273" s="255">
        <v>0</v>
      </c>
      <c r="D273" s="228">
        <f>'B) D RI'!AR274</f>
        <v>4612</v>
      </c>
      <c r="E273" s="229">
        <f>'B) D RI'!S274</f>
        <v>69.56</v>
      </c>
      <c r="F273" s="10">
        <f>'B) D RI'!R274</f>
        <v>15481752.241428571</v>
      </c>
      <c r="G273" s="10">
        <f>'B) D RI'!U274</f>
        <v>222566.8809866097</v>
      </c>
      <c r="H273" s="43">
        <f>'B) D RI'!T274</f>
        <v>14736858.82</v>
      </c>
      <c r="I273" s="10">
        <f t="shared" si="50"/>
        <v>423716.46981023578</v>
      </c>
      <c r="J273" s="33">
        <f t="shared" si="46"/>
        <v>397177.01971134305</v>
      </c>
      <c r="K273" s="10">
        <f t="shared" si="47"/>
        <v>397177.01971134305</v>
      </c>
      <c r="L273" s="10">
        <f t="shared" si="51"/>
        <v>0</v>
      </c>
      <c r="M273" s="10">
        <f>'D) Ecrêtage'!M272</f>
        <v>222566.8809866097</v>
      </c>
      <c r="N273" s="10">
        <f t="shared" si="48"/>
        <v>276329.27986324456</v>
      </c>
      <c r="O273" s="59">
        <f t="shared" si="49"/>
        <v>673506.29957458761</v>
      </c>
      <c r="P273" s="230"/>
      <c r="Q273" s="231"/>
      <c r="R273" s="227"/>
      <c r="S273" s="227"/>
      <c r="T273" s="232"/>
    </row>
    <row r="274" spans="1:20" s="226" customFormat="1" x14ac:dyDescent="0.25">
      <c r="A274" s="340">
        <f>'A) Base RI'!A275</f>
        <v>5873</v>
      </c>
      <c r="B274" s="239" t="str">
        <f>'A) Base RI'!B275</f>
        <v>Le Lieu</v>
      </c>
      <c r="C274" s="255">
        <v>0</v>
      </c>
      <c r="D274" s="228">
        <f>'B) D RI'!AR275</f>
        <v>869</v>
      </c>
      <c r="E274" s="229">
        <f>'B) D RI'!S275</f>
        <v>65</v>
      </c>
      <c r="F274" s="10">
        <f>'B) D RI'!R275</f>
        <v>2174769.2666666666</v>
      </c>
      <c r="G274" s="10">
        <f>'B) D RI'!U275</f>
        <v>33457.98871794872</v>
      </c>
      <c r="H274" s="43">
        <f>'B) D RI'!T275</f>
        <v>2036205.1</v>
      </c>
      <c r="I274" s="10">
        <f t="shared" si="50"/>
        <v>62652.464615384619</v>
      </c>
      <c r="J274" s="33">
        <f t="shared" si="46"/>
        <v>74836.693436504138</v>
      </c>
      <c r="K274" s="10">
        <f t="shared" si="47"/>
        <v>62652.464615384619</v>
      </c>
      <c r="L274" s="10">
        <f t="shared" si="51"/>
        <v>12184.228821119519</v>
      </c>
      <c r="M274" s="10">
        <f>'D) Ecrêtage'!M273</f>
        <v>33457.98871794872</v>
      </c>
      <c r="N274" s="10">
        <f t="shared" si="48"/>
        <v>41539.971657596099</v>
      </c>
      <c r="O274" s="59">
        <f t="shared" si="49"/>
        <v>104192.43627298072</v>
      </c>
      <c r="P274" s="230"/>
      <c r="Q274" s="231"/>
      <c r="R274" s="227"/>
      <c r="S274" s="227"/>
      <c r="T274" s="232"/>
    </row>
    <row r="275" spans="1:20" s="226" customFormat="1" x14ac:dyDescent="0.25">
      <c r="A275" s="340">
        <f>'A) Base RI'!A276</f>
        <v>5881</v>
      </c>
      <c r="B275" s="239" t="str">
        <f>'A) Base RI'!B276</f>
        <v>Blonay</v>
      </c>
      <c r="C275" s="255">
        <v>1</v>
      </c>
      <c r="D275" s="228">
        <f>'B) D RI'!AR276</f>
        <v>6183</v>
      </c>
      <c r="E275" s="229">
        <f>'B) D RI'!S276</f>
        <v>70</v>
      </c>
      <c r="F275" s="10">
        <f>'B) D RI'!R276</f>
        <v>23778443.459999993</v>
      </c>
      <c r="G275" s="10">
        <f>'B) D RI'!U276</f>
        <v>339692.04942857131</v>
      </c>
      <c r="H275" s="43">
        <f>'B) D RI'!T276</f>
        <v>22136943.209999993</v>
      </c>
      <c r="I275" s="10">
        <f t="shared" si="50"/>
        <v>632484.09171428555</v>
      </c>
      <c r="J275" s="33">
        <f t="shared" si="46"/>
        <v>532468.67148205417</v>
      </c>
      <c r="K275" s="10">
        <f t="shared" si="47"/>
        <v>0</v>
      </c>
      <c r="L275" s="10">
        <f t="shared" si="51"/>
        <v>532468.67148205417</v>
      </c>
      <c r="M275" s="10">
        <f>'D) Ecrêtage'!M274</f>
        <v>339692.04942857131</v>
      </c>
      <c r="N275" s="10">
        <f t="shared" si="48"/>
        <v>421746.75305583363</v>
      </c>
      <c r="O275" s="59">
        <f t="shared" si="49"/>
        <v>421746.75305583363</v>
      </c>
      <c r="P275" s="230"/>
      <c r="Q275" s="231"/>
      <c r="R275" s="227"/>
      <c r="S275" s="227"/>
      <c r="T275" s="232"/>
    </row>
    <row r="276" spans="1:20" s="226" customFormat="1" x14ac:dyDescent="0.25">
      <c r="A276" s="340">
        <f>'A) Base RI'!A277</f>
        <v>5882</v>
      </c>
      <c r="B276" s="239" t="str">
        <f>'A) Base RI'!B277</f>
        <v>Chardonne</v>
      </c>
      <c r="C276" s="255">
        <v>1</v>
      </c>
      <c r="D276" s="228">
        <f>'B) D RI'!AR277</f>
        <v>2921</v>
      </c>
      <c r="E276" s="229">
        <f>'B) D RI'!S277</f>
        <v>68</v>
      </c>
      <c r="F276" s="10">
        <f>'B) D RI'!R277</f>
        <v>10702300.980000004</v>
      </c>
      <c r="G276" s="10">
        <f>'B) D RI'!U277</f>
        <v>157386.77911764712</v>
      </c>
      <c r="H276" s="43">
        <f>'B) D RI'!T277</f>
        <v>9804355.570000004</v>
      </c>
      <c r="I276" s="10">
        <f t="shared" si="50"/>
        <v>288363.3991176472</v>
      </c>
      <c r="J276" s="33">
        <f t="shared" si="46"/>
        <v>251551.18702880162</v>
      </c>
      <c r="K276" s="10">
        <f t="shared" si="47"/>
        <v>0</v>
      </c>
      <c r="L276" s="10">
        <f t="shared" si="51"/>
        <v>251551.18702880162</v>
      </c>
      <c r="M276" s="10">
        <f>'D) Ecrêtage'!M275</f>
        <v>157386.77911764712</v>
      </c>
      <c r="N276" s="10">
        <f t="shared" si="48"/>
        <v>195404.52353372151</v>
      </c>
      <c r="O276" s="59">
        <f t="shared" si="49"/>
        <v>195404.52353372151</v>
      </c>
      <c r="P276" s="230"/>
      <c r="Q276" s="231"/>
      <c r="R276" s="227"/>
      <c r="S276" s="227"/>
      <c r="T276" s="232"/>
    </row>
    <row r="277" spans="1:20" s="226" customFormat="1" x14ac:dyDescent="0.25">
      <c r="A277" s="340">
        <f>'A) Base RI'!A278</f>
        <v>5883</v>
      </c>
      <c r="B277" s="239" t="str">
        <f>'A) Base RI'!B278</f>
        <v>Corseaux</v>
      </c>
      <c r="C277" s="255">
        <v>1</v>
      </c>
      <c r="D277" s="228">
        <f>'B) D RI'!AR278</f>
        <v>2289</v>
      </c>
      <c r="E277" s="229">
        <f>'B) D RI'!S278</f>
        <v>69</v>
      </c>
      <c r="F277" s="10">
        <f>'B) D RI'!R278</f>
        <v>10422887.209999999</v>
      </c>
      <c r="G277" s="10">
        <f>'B) D RI'!U278</f>
        <v>151056.33637681158</v>
      </c>
      <c r="H277" s="43">
        <f>'B) D RI'!T278</f>
        <v>9779961.8599999994</v>
      </c>
      <c r="I277" s="10">
        <f t="shared" si="50"/>
        <v>283477.15536231885</v>
      </c>
      <c r="J277" s="33">
        <f t="shared" ref="J277:J308" si="52">+$I$315/$D$315*D277</f>
        <v>197124.50089316224</v>
      </c>
      <c r="K277" s="10">
        <f t="shared" si="47"/>
        <v>0</v>
      </c>
      <c r="L277" s="10">
        <f t="shared" si="51"/>
        <v>197124.50089316224</v>
      </c>
      <c r="M277" s="10">
        <f>'D) Ecrêtage'!M276</f>
        <v>145458.17277547249</v>
      </c>
      <c r="N277" s="10">
        <f t="shared" si="48"/>
        <v>180594.48896930867</v>
      </c>
      <c r="O277" s="59">
        <f t="shared" si="49"/>
        <v>180594.48896930867</v>
      </c>
      <c r="P277" s="230"/>
      <c r="Q277" s="231"/>
      <c r="R277" s="227"/>
      <c r="S277" s="227"/>
      <c r="T277" s="232"/>
    </row>
    <row r="278" spans="1:20" s="226" customFormat="1" x14ac:dyDescent="0.25">
      <c r="A278" s="340">
        <f>'A) Base RI'!A279</f>
        <v>5884</v>
      </c>
      <c r="B278" s="239" t="str">
        <f>'A) Base RI'!B279</f>
        <v>Corsier-sur-Vevey</v>
      </c>
      <c r="C278" s="255">
        <v>1</v>
      </c>
      <c r="D278" s="228">
        <f>'B) D RI'!AR279</f>
        <v>3396</v>
      </c>
      <c r="E278" s="229">
        <f>'B) D RI'!S279</f>
        <v>66</v>
      </c>
      <c r="F278" s="10">
        <f>'B) D RI'!R279</f>
        <v>8707900.0033333339</v>
      </c>
      <c r="G278" s="10">
        <f>'B) D RI'!U279</f>
        <v>131937.87883838385</v>
      </c>
      <c r="H278" s="43">
        <f>'B) D RI'!T279</f>
        <v>7877365.7199999997</v>
      </c>
      <c r="I278" s="10">
        <f t="shared" si="50"/>
        <v>238708.05212121212</v>
      </c>
      <c r="J278" s="33">
        <f t="shared" si="52"/>
        <v>292457.31980479643</v>
      </c>
      <c r="K278" s="10">
        <f t="shared" si="47"/>
        <v>0</v>
      </c>
      <c r="L278" s="10">
        <f t="shared" si="51"/>
        <v>292457.31980479643</v>
      </c>
      <c r="M278" s="10">
        <f>'D) Ecrêtage'!M277</f>
        <v>131937.87883838385</v>
      </c>
      <c r="N278" s="10">
        <f t="shared" si="48"/>
        <v>163808.28488263747</v>
      </c>
      <c r="O278" s="59">
        <f t="shared" si="49"/>
        <v>163808.28488263747</v>
      </c>
      <c r="P278" s="230"/>
      <c r="Q278" s="231"/>
      <c r="R278" s="227"/>
      <c r="S278" s="227"/>
      <c r="T278" s="232"/>
    </row>
    <row r="279" spans="1:20" s="226" customFormat="1" x14ac:dyDescent="0.25">
      <c r="A279" s="340">
        <f>'A) Base RI'!A280</f>
        <v>5885</v>
      </c>
      <c r="B279" s="239" t="str">
        <f>'A) Base RI'!B280</f>
        <v>Jongny</v>
      </c>
      <c r="C279" s="255">
        <v>1</v>
      </c>
      <c r="D279" s="228">
        <f>'B) D RI'!AR280</f>
        <v>1549</v>
      </c>
      <c r="E279" s="229">
        <f>'B) D RI'!S280</f>
        <v>71</v>
      </c>
      <c r="F279" s="10">
        <f>'B) D RI'!R280</f>
        <v>6679250.3916666675</v>
      </c>
      <c r="G279" s="10">
        <f>'B) D RI'!U280</f>
        <v>94073.949178403767</v>
      </c>
      <c r="H279" s="43">
        <f>'B) D RI'!T280</f>
        <v>6298347.4500000002</v>
      </c>
      <c r="I279" s="10">
        <f t="shared" si="50"/>
        <v>177418.23802816903</v>
      </c>
      <c r="J279" s="33">
        <f t="shared" si="52"/>
        <v>133397.05193687562</v>
      </c>
      <c r="K279" s="10">
        <f t="shared" si="47"/>
        <v>0</v>
      </c>
      <c r="L279" s="10">
        <f t="shared" si="51"/>
        <v>133397.05193687562</v>
      </c>
      <c r="M279" s="10">
        <f>'D) Ecrêtage'!M278</f>
        <v>92192.244285459863</v>
      </c>
      <c r="N279" s="10">
        <f t="shared" si="48"/>
        <v>114461.84786994489</v>
      </c>
      <c r="O279" s="59">
        <f t="shared" si="49"/>
        <v>114461.84786994489</v>
      </c>
      <c r="P279" s="230"/>
      <c r="Q279" s="231"/>
      <c r="R279" s="227"/>
      <c r="S279" s="227"/>
      <c r="T279" s="232"/>
    </row>
    <row r="280" spans="1:20" s="226" customFormat="1" x14ac:dyDescent="0.25">
      <c r="A280" s="340">
        <f>'A) Base RI'!A281</f>
        <v>5886</v>
      </c>
      <c r="B280" s="239" t="str">
        <f>'A) Base RI'!B281</f>
        <v>Montreux</v>
      </c>
      <c r="C280" s="255">
        <v>1</v>
      </c>
      <c r="D280" s="228">
        <f>'B) D RI'!AR281</f>
        <v>26653</v>
      </c>
      <c r="E280" s="229">
        <f>'B) D RI'!S281</f>
        <v>65</v>
      </c>
      <c r="F280" s="10">
        <f>'B) D RI'!R281</f>
        <v>73356561.983333334</v>
      </c>
      <c r="G280" s="10">
        <f>'B) D RI'!U281</f>
        <v>1128562.492051282</v>
      </c>
      <c r="H280" s="43">
        <f>'B) D RI'!T281</f>
        <v>66066703.849999994</v>
      </c>
      <c r="I280" s="10">
        <f t="shared" si="50"/>
        <v>2032821.6569230768</v>
      </c>
      <c r="J280" s="33">
        <f t="shared" si="52"/>
        <v>2295307.6986917662</v>
      </c>
      <c r="K280" s="10">
        <f t="shared" si="47"/>
        <v>0</v>
      </c>
      <c r="L280" s="10">
        <f t="shared" si="51"/>
        <v>2295307.6986917662</v>
      </c>
      <c r="M280" s="10">
        <f>'D) Ecrêtage'!M279</f>
        <v>1128562.492051282</v>
      </c>
      <c r="N280" s="10">
        <f t="shared" si="48"/>
        <v>1401173.7026047534</v>
      </c>
      <c r="O280" s="59">
        <f t="shared" si="49"/>
        <v>1401173.7026047534</v>
      </c>
      <c r="P280" s="230"/>
      <c r="Q280" s="231"/>
      <c r="R280" s="227"/>
      <c r="S280" s="227"/>
      <c r="T280" s="232"/>
    </row>
    <row r="281" spans="1:20" s="226" customFormat="1" x14ac:dyDescent="0.25">
      <c r="A281" s="340">
        <f>'A) Base RI'!A282</f>
        <v>5888</v>
      </c>
      <c r="B281" s="239" t="str">
        <f>'A) Base RI'!B282</f>
        <v>Saint-Légier-La Chiésaz</v>
      </c>
      <c r="C281" s="255">
        <v>1</v>
      </c>
      <c r="D281" s="228">
        <f>'B) D RI'!AR282</f>
        <v>5167</v>
      </c>
      <c r="E281" s="229">
        <f>'B) D RI'!S282</f>
        <v>67</v>
      </c>
      <c r="F281" s="10">
        <f>'B) D RI'!R282</f>
        <v>19718215.803333338</v>
      </c>
      <c r="G281" s="10">
        <f>'B) D RI'!U282</f>
        <v>294301.72840796027</v>
      </c>
      <c r="H281" s="43">
        <f>'B) D RI'!T282</f>
        <v>18271665.620000005</v>
      </c>
      <c r="I281" s="10">
        <f t="shared" si="50"/>
        <v>545422.85432835831</v>
      </c>
      <c r="J281" s="33">
        <f t="shared" si="52"/>
        <v>444972.60642855801</v>
      </c>
      <c r="K281" s="10">
        <f t="shared" si="47"/>
        <v>0</v>
      </c>
      <c r="L281" s="10">
        <f t="shared" si="51"/>
        <v>444972.60642855801</v>
      </c>
      <c r="M281" s="10">
        <f>'D) Ecrêtage'!M280</f>
        <v>292588.10855887394</v>
      </c>
      <c r="N281" s="10">
        <f t="shared" si="48"/>
        <v>363264.56558236392</v>
      </c>
      <c r="O281" s="59">
        <f t="shared" si="49"/>
        <v>363264.56558236392</v>
      </c>
      <c r="P281" s="230"/>
      <c r="Q281" s="231"/>
      <c r="R281" s="227"/>
      <c r="S281" s="227"/>
      <c r="T281" s="232"/>
    </row>
    <row r="282" spans="1:20" s="226" customFormat="1" x14ac:dyDescent="0.25">
      <c r="A282" s="340">
        <f>'A) Base RI'!A283</f>
        <v>5889</v>
      </c>
      <c r="B282" s="239" t="str">
        <f>'A) Base RI'!B283</f>
        <v>La Tour-de-Peilz</v>
      </c>
      <c r="C282" s="255">
        <v>1</v>
      </c>
      <c r="D282" s="228">
        <f>'B) D RI'!AR283</f>
        <v>11779</v>
      </c>
      <c r="E282" s="229">
        <f>'B) D RI'!S283</f>
        <v>64</v>
      </c>
      <c r="F282" s="10">
        <f>'B) D RI'!R283</f>
        <v>42634626.378333338</v>
      </c>
      <c r="G282" s="10">
        <f>'B) D RI'!U283</f>
        <v>666166.0371614584</v>
      </c>
      <c r="H282" s="43">
        <f>'B) D RI'!T283</f>
        <v>40279631.32</v>
      </c>
      <c r="I282" s="10">
        <f t="shared" si="50"/>
        <v>1258738.47875</v>
      </c>
      <c r="J282" s="33">
        <f t="shared" si="52"/>
        <v>1014385.9746704054</v>
      </c>
      <c r="K282" s="10">
        <f t="shared" si="47"/>
        <v>0</v>
      </c>
      <c r="L282" s="10">
        <f t="shared" si="51"/>
        <v>1014385.9746704054</v>
      </c>
      <c r="M282" s="10">
        <f>'D) Ecrêtage'!M281</f>
        <v>663369.11548643862</v>
      </c>
      <c r="N282" s="10">
        <f t="shared" si="48"/>
        <v>823610.00501648535</v>
      </c>
      <c r="O282" s="59">
        <f t="shared" si="49"/>
        <v>823610.00501648535</v>
      </c>
      <c r="P282" s="230"/>
      <c r="Q282" s="231"/>
      <c r="R282" s="227"/>
      <c r="S282" s="227"/>
      <c r="T282" s="232"/>
    </row>
    <row r="283" spans="1:20" s="226" customFormat="1" x14ac:dyDescent="0.25">
      <c r="A283" s="340">
        <f>'A) Base RI'!A284</f>
        <v>5890</v>
      </c>
      <c r="B283" s="239" t="str">
        <f>'A) Base RI'!B284</f>
        <v>Vevey</v>
      </c>
      <c r="C283" s="255">
        <v>1</v>
      </c>
      <c r="D283" s="228">
        <f>'B) D RI'!AR284</f>
        <v>19829</v>
      </c>
      <c r="E283" s="229">
        <f>'B) D RI'!S284</f>
        <v>73</v>
      </c>
      <c r="F283" s="10">
        <f>'B) D RI'!R284</f>
        <v>71252251.626666665</v>
      </c>
      <c r="G283" s="10">
        <f>'B) D RI'!U284</f>
        <v>976058.24146118714</v>
      </c>
      <c r="H283" s="43">
        <f>'B) D RI'!T284</f>
        <v>67278739.159999996</v>
      </c>
      <c r="I283" s="10">
        <f t="shared" si="50"/>
        <v>1843253.1276712327</v>
      </c>
      <c r="J283" s="33">
        <f t="shared" si="52"/>
        <v>1707637.2775056856</v>
      </c>
      <c r="K283" s="10">
        <f t="shared" si="47"/>
        <v>0</v>
      </c>
      <c r="L283" s="10">
        <f t="shared" si="51"/>
        <v>1707637.2775056856</v>
      </c>
      <c r="M283" s="10">
        <f>'D) Ecrêtage'!M282</f>
        <v>976058.24146118714</v>
      </c>
      <c r="N283" s="10">
        <f t="shared" si="48"/>
        <v>1211831.1123917019</v>
      </c>
      <c r="O283" s="59">
        <f t="shared" si="49"/>
        <v>1211831.1123917019</v>
      </c>
      <c r="P283" s="230"/>
      <c r="Q283" s="231"/>
      <c r="R283" s="227"/>
      <c r="S283" s="227"/>
      <c r="T283" s="232"/>
    </row>
    <row r="284" spans="1:20" s="226" customFormat="1" x14ac:dyDescent="0.25">
      <c r="A284" s="340">
        <f>'A) Base RI'!A285</f>
        <v>5891</v>
      </c>
      <c r="B284" s="239" t="str">
        <f>'A) Base RI'!B285</f>
        <v>Veytaux</v>
      </c>
      <c r="C284" s="255">
        <v>1</v>
      </c>
      <c r="D284" s="228">
        <f>'B) D RI'!AR285</f>
        <v>870</v>
      </c>
      <c r="E284" s="229">
        <f>'B) D RI'!S285</f>
        <v>69</v>
      </c>
      <c r="F284" s="10">
        <f>'B) D RI'!R285</f>
        <v>2430751.0766666667</v>
      </c>
      <c r="G284" s="10">
        <f>'B) D RI'!U285</f>
        <v>35228.276473429949</v>
      </c>
      <c r="H284" s="43">
        <f>'B) D RI'!T285</f>
        <v>2207590.31</v>
      </c>
      <c r="I284" s="10">
        <f t="shared" si="50"/>
        <v>63988.124927536235</v>
      </c>
      <c r="J284" s="33">
        <f t="shared" si="52"/>
        <v>74922.811610769393</v>
      </c>
      <c r="K284" s="10">
        <f t="shared" si="47"/>
        <v>0</v>
      </c>
      <c r="L284" s="10">
        <f t="shared" si="51"/>
        <v>74922.811610769393</v>
      </c>
      <c r="M284" s="10">
        <f>'D) Ecrêtage'!M283</f>
        <v>35228.276473429949</v>
      </c>
      <c r="N284" s="10">
        <f t="shared" si="48"/>
        <v>43737.883307588083</v>
      </c>
      <c r="O284" s="59">
        <f t="shared" si="49"/>
        <v>43737.883307588083</v>
      </c>
      <c r="P284" s="230"/>
      <c r="Q284" s="231"/>
      <c r="R284" s="227"/>
      <c r="S284" s="227"/>
      <c r="T284" s="232"/>
    </row>
    <row r="285" spans="1:20" s="226" customFormat="1" x14ac:dyDescent="0.25">
      <c r="A285" s="340">
        <f>'A) Base RI'!A286</f>
        <v>5902</v>
      </c>
      <c r="B285" s="239" t="str">
        <f>'A) Base RI'!B286</f>
        <v>Belmont-sur-Yverdon</v>
      </c>
      <c r="C285" s="255">
        <v>0</v>
      </c>
      <c r="D285" s="228">
        <f>'B) D RI'!AR286</f>
        <v>378</v>
      </c>
      <c r="E285" s="229">
        <f>'B) D RI'!S286</f>
        <v>76</v>
      </c>
      <c r="F285" s="10">
        <f>'B) D RI'!R286</f>
        <v>752814.29999999993</v>
      </c>
      <c r="G285" s="10">
        <f>'B) D RI'!U286</f>
        <v>9905.4513157894726</v>
      </c>
      <c r="H285" s="43">
        <f>'B) D RI'!T286</f>
        <v>700770.89999999991</v>
      </c>
      <c r="I285" s="10">
        <f t="shared" si="50"/>
        <v>18441.339473684209</v>
      </c>
      <c r="J285" s="33">
        <f t="shared" si="52"/>
        <v>32552.669872265324</v>
      </c>
      <c r="K285" s="10">
        <f t="shared" si="47"/>
        <v>18441.339473684209</v>
      </c>
      <c r="L285" s="10">
        <f t="shared" si="51"/>
        <v>14111.330398581114</v>
      </c>
      <c r="M285" s="10">
        <f>'D) Ecrêtage'!M284</f>
        <v>9905.4513157894726</v>
      </c>
      <c r="N285" s="10">
        <f t="shared" si="48"/>
        <v>12298.17399911</v>
      </c>
      <c r="O285" s="59">
        <f t="shared" si="49"/>
        <v>30739.51347279421</v>
      </c>
      <c r="P285" s="230"/>
      <c r="Q285" s="231"/>
      <c r="R285" s="227"/>
      <c r="S285" s="227"/>
      <c r="T285" s="232"/>
    </row>
    <row r="286" spans="1:20" s="226" customFormat="1" x14ac:dyDescent="0.25">
      <c r="A286" s="340">
        <f>'A) Base RI'!A287</f>
        <v>5903</v>
      </c>
      <c r="B286" s="239" t="str">
        <f>'A) Base RI'!B287</f>
        <v>Bioley-Magnoux</v>
      </c>
      <c r="C286" s="255">
        <v>0</v>
      </c>
      <c r="D286" s="228">
        <f>'B) D RI'!AR287</f>
        <v>225</v>
      </c>
      <c r="E286" s="229">
        <f>'B) D RI'!S287</f>
        <v>74</v>
      </c>
      <c r="F286" s="10">
        <f>'B) D RI'!R287</f>
        <v>442510.86714285717</v>
      </c>
      <c r="G286" s="10">
        <f>'B) D RI'!U287</f>
        <v>5979.8765830115835</v>
      </c>
      <c r="H286" s="43">
        <f>'B) D RI'!T287</f>
        <v>408971.01</v>
      </c>
      <c r="I286" s="10">
        <f t="shared" si="50"/>
        <v>11053.270540540541</v>
      </c>
      <c r="J286" s="33">
        <f t="shared" si="52"/>
        <v>19376.589209681741</v>
      </c>
      <c r="K286" s="10">
        <f t="shared" si="47"/>
        <v>11053.270540540541</v>
      </c>
      <c r="L286" s="10">
        <f t="shared" si="51"/>
        <v>8323.3186691411993</v>
      </c>
      <c r="M286" s="10">
        <f>'D) Ecrêtage'!M285</f>
        <v>5979.8765830115835</v>
      </c>
      <c r="N286" s="10">
        <f t="shared" si="48"/>
        <v>7424.3525475566375</v>
      </c>
      <c r="O286" s="59">
        <f t="shared" si="49"/>
        <v>18477.623088097178</v>
      </c>
      <c r="P286" s="230"/>
      <c r="Q286" s="231"/>
      <c r="R286" s="227"/>
      <c r="S286" s="227"/>
      <c r="T286" s="232"/>
    </row>
    <row r="287" spans="1:20" s="226" customFormat="1" x14ac:dyDescent="0.25">
      <c r="A287" s="340">
        <f>'A) Base RI'!A288</f>
        <v>5904</v>
      </c>
      <c r="B287" s="239" t="str">
        <f>'A) Base RI'!B288</f>
        <v>Chamblon</v>
      </c>
      <c r="C287" s="255">
        <v>1</v>
      </c>
      <c r="D287" s="228">
        <f>'B) D RI'!AR288</f>
        <v>534</v>
      </c>
      <c r="E287" s="229">
        <f>'B) D RI'!S288</f>
        <v>66</v>
      </c>
      <c r="F287" s="10">
        <f>'B) D RI'!R288</f>
        <v>1433747.4200000004</v>
      </c>
      <c r="G287" s="10">
        <f>'B) D RI'!U288</f>
        <v>21723.445757575762</v>
      </c>
      <c r="H287" s="43">
        <f>'B) D RI'!T288</f>
        <v>1338111.2700000005</v>
      </c>
      <c r="I287" s="10">
        <f t="shared" ref="I287:I314" si="53">+H287/E287*$I$5</f>
        <v>40548.826363636377</v>
      </c>
      <c r="J287" s="33">
        <f t="shared" si="52"/>
        <v>45987.105057644665</v>
      </c>
      <c r="K287" s="10">
        <f t="shared" si="47"/>
        <v>0</v>
      </c>
      <c r="L287" s="10">
        <f t="shared" si="51"/>
        <v>45987.105057644665</v>
      </c>
      <c r="M287" s="10">
        <f>'D) Ecrêtage'!M286</f>
        <v>21723.445757575762</v>
      </c>
      <c r="N287" s="10">
        <f t="shared" si="48"/>
        <v>26970.877678338467</v>
      </c>
      <c r="O287" s="59">
        <f t="shared" si="49"/>
        <v>26970.877678338467</v>
      </c>
      <c r="P287" s="230"/>
      <c r="Q287" s="231"/>
      <c r="R287" s="227"/>
      <c r="S287" s="227"/>
      <c r="T287" s="232"/>
    </row>
    <row r="288" spans="1:20" s="226" customFormat="1" x14ac:dyDescent="0.25">
      <c r="A288" s="340">
        <f>'A) Base RI'!A289</f>
        <v>5905</v>
      </c>
      <c r="B288" s="239" t="str">
        <f>'A) Base RI'!B289</f>
        <v>Champvent</v>
      </c>
      <c r="C288" s="255">
        <v>0</v>
      </c>
      <c r="D288" s="228">
        <f>'B) D RI'!AR289</f>
        <v>669</v>
      </c>
      <c r="E288" s="229">
        <f>'B) D RI'!S289</f>
        <v>71</v>
      </c>
      <c r="F288" s="10">
        <f>'B) D RI'!R289</f>
        <v>1652670.64</v>
      </c>
      <c r="G288" s="10">
        <f>'B) D RI'!U289</f>
        <v>23277.051267605631</v>
      </c>
      <c r="H288" s="43">
        <f>'B) D RI'!T289</f>
        <v>1556499.69</v>
      </c>
      <c r="I288" s="10">
        <f t="shared" si="53"/>
        <v>43845.061690140843</v>
      </c>
      <c r="J288" s="33">
        <f t="shared" si="52"/>
        <v>57613.058583453705</v>
      </c>
      <c r="K288" s="10">
        <f t="shared" si="47"/>
        <v>43845.061690140843</v>
      </c>
      <c r="L288" s="10">
        <f t="shared" si="51"/>
        <v>13767.996893312862</v>
      </c>
      <c r="M288" s="10">
        <f>'D) Ecrêtage'!M287</f>
        <v>23277.051267605631</v>
      </c>
      <c r="N288" s="10">
        <f t="shared" si="48"/>
        <v>28899.766153906185</v>
      </c>
      <c r="O288" s="59">
        <f t="shared" si="49"/>
        <v>72744.827844047031</v>
      </c>
      <c r="P288" s="230"/>
      <c r="Q288" s="231"/>
      <c r="R288" s="227"/>
      <c r="S288" s="227"/>
      <c r="T288" s="232"/>
    </row>
    <row r="289" spans="1:20" s="226" customFormat="1" x14ac:dyDescent="0.25">
      <c r="A289" s="340">
        <f>'A) Base RI'!A290</f>
        <v>5907</v>
      </c>
      <c r="B289" s="239" t="str">
        <f>'A) Base RI'!B290</f>
        <v>Chavannes-le-Chêne</v>
      </c>
      <c r="C289" s="255">
        <v>0</v>
      </c>
      <c r="D289" s="228">
        <f>'B) D RI'!AR290</f>
        <v>298</v>
      </c>
      <c r="E289" s="229">
        <f>'B) D RI'!S290</f>
        <v>78</v>
      </c>
      <c r="F289" s="10">
        <f>'B) D RI'!R290</f>
        <v>674479.25999999989</v>
      </c>
      <c r="G289" s="10">
        <f>'B) D RI'!U290</f>
        <v>8647.1699999999983</v>
      </c>
      <c r="H289" s="43">
        <f>'B) D RI'!T290</f>
        <v>634050.55999999994</v>
      </c>
      <c r="I289" s="10">
        <f t="shared" si="53"/>
        <v>16257.706666666665</v>
      </c>
      <c r="J289" s="33">
        <f t="shared" si="52"/>
        <v>25663.21593104515</v>
      </c>
      <c r="K289" s="10">
        <f t="shared" si="47"/>
        <v>16257.706666666665</v>
      </c>
      <c r="L289" s="10">
        <f t="shared" si="51"/>
        <v>9405.5092643784847</v>
      </c>
      <c r="M289" s="10">
        <f>'D) Ecrêtage'!M288</f>
        <v>8647.1699999999983</v>
      </c>
      <c r="N289" s="10">
        <f t="shared" si="48"/>
        <v>10735.947093129322</v>
      </c>
      <c r="O289" s="59">
        <f t="shared" si="49"/>
        <v>26993.653759795987</v>
      </c>
      <c r="P289" s="230"/>
      <c r="Q289" s="231"/>
      <c r="R289" s="227"/>
      <c r="S289" s="227"/>
      <c r="T289" s="232"/>
    </row>
    <row r="290" spans="1:20" s="226" customFormat="1" x14ac:dyDescent="0.25">
      <c r="A290" s="340">
        <f>'A) Base RI'!A291</f>
        <v>5908</v>
      </c>
      <c r="B290" s="239" t="str">
        <f>'A) Base RI'!B291</f>
        <v>Chêne-Pâquier</v>
      </c>
      <c r="C290" s="255">
        <v>0</v>
      </c>
      <c r="D290" s="228">
        <f>'B) D RI'!AR291</f>
        <v>139</v>
      </c>
      <c r="E290" s="229">
        <f>'B) D RI'!S291</f>
        <v>79</v>
      </c>
      <c r="F290" s="10">
        <f>'B) D RI'!R291</f>
        <v>217379.35</v>
      </c>
      <c r="G290" s="10">
        <f>'B) D RI'!U291</f>
        <v>2751.637341772152</v>
      </c>
      <c r="H290" s="43">
        <f>'B) D RI'!T291</f>
        <v>201065.85</v>
      </c>
      <c r="I290" s="10">
        <f t="shared" si="53"/>
        <v>5090.274683544304</v>
      </c>
      <c r="J290" s="33">
        <f t="shared" si="52"/>
        <v>11970.426222870054</v>
      </c>
      <c r="K290" s="10">
        <f t="shared" si="47"/>
        <v>5090.274683544304</v>
      </c>
      <c r="L290" s="10">
        <f t="shared" si="51"/>
        <v>6880.1515393257496</v>
      </c>
      <c r="M290" s="10">
        <f>'D) Ecrêtage'!M289</f>
        <v>2751.637341772152</v>
      </c>
      <c r="N290" s="10">
        <f t="shared" si="48"/>
        <v>3416.3122640985243</v>
      </c>
      <c r="O290" s="59">
        <f t="shared" si="49"/>
        <v>8506.5869476428288</v>
      </c>
      <c r="P290" s="230"/>
      <c r="Q290" s="231"/>
      <c r="R290" s="227"/>
      <c r="S290" s="227"/>
      <c r="T290" s="232"/>
    </row>
    <row r="291" spans="1:20" s="226" customFormat="1" x14ac:dyDescent="0.25">
      <c r="A291" s="340">
        <f>'A) Base RI'!A292</f>
        <v>5909</v>
      </c>
      <c r="B291" s="239" t="str">
        <f>'A) Base RI'!B292</f>
        <v>Cheseaux-Noréaz</v>
      </c>
      <c r="C291" s="255">
        <v>1</v>
      </c>
      <c r="D291" s="228">
        <f>'B) D RI'!AR292</f>
        <v>705</v>
      </c>
      <c r="E291" s="229">
        <f>'B) D RI'!S292</f>
        <v>70</v>
      </c>
      <c r="F291" s="10">
        <f>'B) D RI'!R292</f>
        <v>1958129.15</v>
      </c>
      <c r="G291" s="10">
        <f>'B) D RI'!U292</f>
        <v>27973.27357142857</v>
      </c>
      <c r="H291" s="43">
        <f>'B) D RI'!T292</f>
        <v>1806820.7</v>
      </c>
      <c r="I291" s="10">
        <f t="shared" si="53"/>
        <v>51623.448571428569</v>
      </c>
      <c r="J291" s="33">
        <f t="shared" si="52"/>
        <v>60713.312857002784</v>
      </c>
      <c r="K291" s="10">
        <f t="shared" si="47"/>
        <v>0</v>
      </c>
      <c r="L291" s="10">
        <f t="shared" si="51"/>
        <v>60713.312857002784</v>
      </c>
      <c r="M291" s="10">
        <f>'D) Ecrêtage'!M290</f>
        <v>27973.27357142857</v>
      </c>
      <c r="N291" s="10">
        <f t="shared" si="48"/>
        <v>34730.389836731541</v>
      </c>
      <c r="O291" s="59">
        <f t="shared" si="49"/>
        <v>34730.389836731541</v>
      </c>
      <c r="P291" s="230"/>
      <c r="Q291" s="231"/>
      <c r="R291" s="227"/>
      <c r="S291" s="227"/>
      <c r="T291" s="232"/>
    </row>
    <row r="292" spans="1:20" s="226" customFormat="1" x14ac:dyDescent="0.25">
      <c r="A292" s="340">
        <f>'A) Base RI'!A293</f>
        <v>5910</v>
      </c>
      <c r="B292" s="239" t="str">
        <f>'A) Base RI'!B293</f>
        <v>Cronay</v>
      </c>
      <c r="C292" s="255">
        <v>0</v>
      </c>
      <c r="D292" s="228">
        <f>'B) D RI'!AR293</f>
        <v>380</v>
      </c>
      <c r="E292" s="229">
        <f>'B) D RI'!S293</f>
        <v>79</v>
      </c>
      <c r="F292" s="10">
        <f>'B) D RI'!R293</f>
        <v>800111.1</v>
      </c>
      <c r="G292" s="10">
        <f>'B) D RI'!U293</f>
        <v>10127.988607594936</v>
      </c>
      <c r="H292" s="43">
        <f>'B) D RI'!T293</f>
        <v>748465.4</v>
      </c>
      <c r="I292" s="10">
        <f t="shared" si="53"/>
        <v>18948.491139240508</v>
      </c>
      <c r="J292" s="33">
        <f t="shared" si="52"/>
        <v>32724.906220795827</v>
      </c>
      <c r="K292" s="10">
        <f t="shared" si="47"/>
        <v>18948.491139240508</v>
      </c>
      <c r="L292" s="10">
        <f t="shared" si="51"/>
        <v>13776.415081555318</v>
      </c>
      <c r="M292" s="10">
        <f>'D) Ecrêtage'!M291</f>
        <v>10127.988607594936</v>
      </c>
      <c r="N292" s="10">
        <f t="shared" si="48"/>
        <v>12574.466542343422</v>
      </c>
      <c r="O292" s="59">
        <f t="shared" si="49"/>
        <v>31522.957681583932</v>
      </c>
      <c r="P292" s="230"/>
      <c r="Q292" s="231"/>
      <c r="R292" s="227"/>
      <c r="S292" s="227"/>
      <c r="T292" s="232"/>
    </row>
    <row r="293" spans="1:20" s="226" customFormat="1" x14ac:dyDescent="0.25">
      <c r="A293" s="340">
        <f>'A) Base RI'!A294</f>
        <v>5911</v>
      </c>
      <c r="B293" s="239" t="str">
        <f>'A) Base RI'!B294</f>
        <v>Cuarny</v>
      </c>
      <c r="C293" s="255">
        <v>0</v>
      </c>
      <c r="D293" s="228">
        <f>'B) D RI'!AR294</f>
        <v>241</v>
      </c>
      <c r="E293" s="229">
        <f>'B) D RI'!S294</f>
        <v>79</v>
      </c>
      <c r="F293" s="10">
        <f>'B) D RI'!R294</f>
        <v>558963.51</v>
      </c>
      <c r="G293" s="10">
        <f>'B) D RI'!U294</f>
        <v>7075.4874683544303</v>
      </c>
      <c r="H293" s="43">
        <f>'B) D RI'!T294</f>
        <v>527360.51</v>
      </c>
      <c r="I293" s="10">
        <f t="shared" si="53"/>
        <v>13350.898987341772</v>
      </c>
      <c r="J293" s="33">
        <f t="shared" si="52"/>
        <v>20754.479997925777</v>
      </c>
      <c r="K293" s="10">
        <f t="shared" si="47"/>
        <v>13350.898987341772</v>
      </c>
      <c r="L293" s="10">
        <f t="shared" si="51"/>
        <v>7403.5810105840046</v>
      </c>
      <c r="M293" s="10">
        <f>'D) Ecrêtage'!M292</f>
        <v>7075.4874683544303</v>
      </c>
      <c r="N293" s="10">
        <f t="shared" si="48"/>
        <v>8784.6149802019281</v>
      </c>
      <c r="O293" s="59">
        <f t="shared" si="49"/>
        <v>22135.513967543702</v>
      </c>
      <c r="P293" s="230"/>
      <c r="Q293" s="231"/>
      <c r="R293" s="227"/>
      <c r="S293" s="227"/>
      <c r="T293" s="232"/>
    </row>
    <row r="294" spans="1:20" s="226" customFormat="1" x14ac:dyDescent="0.25">
      <c r="A294" s="340">
        <f>'A) Base RI'!A295</f>
        <v>5912</v>
      </c>
      <c r="B294" s="239" t="str">
        <f>'A) Base RI'!B295</f>
        <v>Démoret</v>
      </c>
      <c r="C294" s="255">
        <v>0</v>
      </c>
      <c r="D294" s="228">
        <f>'B) D RI'!AR295</f>
        <v>146</v>
      </c>
      <c r="E294" s="229">
        <f>'B) D RI'!S295</f>
        <v>81</v>
      </c>
      <c r="F294" s="10">
        <f>'B) D RI'!R295</f>
        <v>258396.55999999997</v>
      </c>
      <c r="G294" s="10">
        <f>'B) D RI'!U295</f>
        <v>3190.0809876543208</v>
      </c>
      <c r="H294" s="43">
        <f>'B) D RI'!T295</f>
        <v>239256.85999999996</v>
      </c>
      <c r="I294" s="10">
        <f t="shared" si="53"/>
        <v>5907.5767901234558</v>
      </c>
      <c r="J294" s="33">
        <f t="shared" si="52"/>
        <v>12573.253442726818</v>
      </c>
      <c r="K294" s="10">
        <f t="shared" si="47"/>
        <v>5907.5767901234558</v>
      </c>
      <c r="L294" s="10">
        <f t="shared" si="51"/>
        <v>6665.6766526033625</v>
      </c>
      <c r="M294" s="10">
        <f>'D) Ecrêtage'!M293</f>
        <v>3190.0809876543208</v>
      </c>
      <c r="N294" s="10">
        <f t="shared" si="48"/>
        <v>3960.6646690483162</v>
      </c>
      <c r="O294" s="59">
        <f t="shared" si="49"/>
        <v>9868.2414591717716</v>
      </c>
      <c r="P294" s="230"/>
      <c r="Q294" s="231"/>
      <c r="R294" s="227"/>
      <c r="S294" s="227"/>
      <c r="T294" s="232"/>
    </row>
    <row r="295" spans="1:20" s="226" customFormat="1" x14ac:dyDescent="0.25">
      <c r="A295" s="340">
        <f>'A) Base RI'!A296</f>
        <v>5913</v>
      </c>
      <c r="B295" s="239" t="str">
        <f>'A) Base RI'!B296</f>
        <v>Donneloye</v>
      </c>
      <c r="C295" s="255">
        <v>0</v>
      </c>
      <c r="D295" s="228">
        <f>'B) D RI'!AR296</f>
        <v>813</v>
      </c>
      <c r="E295" s="229">
        <f>'B) D RI'!S296</f>
        <v>73</v>
      </c>
      <c r="F295" s="10">
        <f>'B) D RI'!R296</f>
        <v>1475878.8199999998</v>
      </c>
      <c r="G295" s="10">
        <f>'B) D RI'!U296</f>
        <v>20217.518082191778</v>
      </c>
      <c r="H295" s="43">
        <f>'B) D RI'!T296</f>
        <v>1369293.8699999999</v>
      </c>
      <c r="I295" s="10">
        <f t="shared" si="53"/>
        <v>37514.900547945203</v>
      </c>
      <c r="J295" s="33">
        <f t="shared" si="52"/>
        <v>70014.07567765002</v>
      </c>
      <c r="K295" s="10">
        <f t="shared" si="47"/>
        <v>37514.900547945203</v>
      </c>
      <c r="L295" s="10">
        <f t="shared" si="51"/>
        <v>32499.175129704818</v>
      </c>
      <c r="M295" s="10">
        <f>'D) Ecrêtage'!M294</f>
        <v>20217.518082191778</v>
      </c>
      <c r="N295" s="10">
        <f t="shared" si="48"/>
        <v>25101.183911591466</v>
      </c>
      <c r="O295" s="59">
        <f t="shared" si="49"/>
        <v>62616.084459536665</v>
      </c>
      <c r="P295" s="230"/>
      <c r="Q295" s="231"/>
      <c r="R295" s="227"/>
      <c r="S295" s="227"/>
      <c r="T295" s="232"/>
    </row>
    <row r="296" spans="1:20" s="226" customFormat="1" x14ac:dyDescent="0.25">
      <c r="A296" s="340">
        <f>'A) Base RI'!A297</f>
        <v>5914</v>
      </c>
      <c r="B296" s="239" t="str">
        <f>'A) Base RI'!B297</f>
        <v>Ependes</v>
      </c>
      <c r="C296" s="255">
        <v>1</v>
      </c>
      <c r="D296" s="228">
        <f>'B) D RI'!AR297</f>
        <v>361</v>
      </c>
      <c r="E296" s="229">
        <f>'B) D RI'!S297</f>
        <v>75</v>
      </c>
      <c r="F296" s="10">
        <f>'B) D RI'!R297</f>
        <v>749914.89</v>
      </c>
      <c r="G296" s="10">
        <f>'B) D RI'!U297</f>
        <v>9998.8652000000002</v>
      </c>
      <c r="H296" s="43">
        <f>'B) D RI'!T297</f>
        <v>696222.64</v>
      </c>
      <c r="I296" s="10">
        <f t="shared" si="53"/>
        <v>18565.937066666665</v>
      </c>
      <c r="J296" s="33">
        <f t="shared" si="52"/>
        <v>31088.660909756036</v>
      </c>
      <c r="K296" s="10">
        <f t="shared" si="47"/>
        <v>0</v>
      </c>
      <c r="L296" s="10">
        <f t="shared" si="51"/>
        <v>31088.660909756036</v>
      </c>
      <c r="M296" s="10">
        <f>'D) Ecrêtage'!M295</f>
        <v>9998.8652000000002</v>
      </c>
      <c r="N296" s="10">
        <f t="shared" si="48"/>
        <v>12414.152581541934</v>
      </c>
      <c r="O296" s="59">
        <f t="shared" si="49"/>
        <v>12414.152581541934</v>
      </c>
      <c r="P296" s="230"/>
      <c r="Q296" s="231"/>
      <c r="R296" s="227"/>
      <c r="S296" s="227"/>
      <c r="T296" s="232"/>
    </row>
    <row r="297" spans="1:20" s="226" customFormat="1" x14ac:dyDescent="0.25">
      <c r="A297" s="340">
        <f>'A) Base RI'!A298</f>
        <v>5919</v>
      </c>
      <c r="B297" s="239" t="str">
        <f>'A) Base RI'!B298</f>
        <v>Mathod</v>
      </c>
      <c r="C297" s="255">
        <v>1</v>
      </c>
      <c r="D297" s="228">
        <f>'B) D RI'!AR298</f>
        <v>617</v>
      </c>
      <c r="E297" s="229">
        <f>'B) D RI'!S298</f>
        <v>72</v>
      </c>
      <c r="F297" s="10">
        <f>'B) D RI'!R298</f>
        <v>1150142.77</v>
      </c>
      <c r="G297" s="10">
        <f>'B) D RI'!U298</f>
        <v>15974.205138888889</v>
      </c>
      <c r="H297" s="43">
        <f>'B) D RI'!T298</f>
        <v>1048810.07</v>
      </c>
      <c r="I297" s="10">
        <f t="shared" si="53"/>
        <v>29133.613055555557</v>
      </c>
      <c r="J297" s="33">
        <f t="shared" si="52"/>
        <v>53134.913521660594</v>
      </c>
      <c r="K297" s="10">
        <f t="shared" si="47"/>
        <v>0</v>
      </c>
      <c r="L297" s="10">
        <f t="shared" si="51"/>
        <v>53134.913521660594</v>
      </c>
      <c r="M297" s="10">
        <f>'D) Ecrêtage'!M296</f>
        <v>15974.205138888889</v>
      </c>
      <c r="N297" s="10">
        <f t="shared" si="48"/>
        <v>19832.872630687922</v>
      </c>
      <c r="O297" s="59">
        <f t="shared" si="49"/>
        <v>19832.872630687922</v>
      </c>
      <c r="P297" s="230"/>
      <c r="Q297" s="231"/>
      <c r="R297" s="227"/>
      <c r="S297" s="227"/>
      <c r="T297" s="232"/>
    </row>
    <row r="298" spans="1:20" s="226" customFormat="1" x14ac:dyDescent="0.25">
      <c r="A298" s="340">
        <f>'A) Base RI'!A299</f>
        <v>5921</v>
      </c>
      <c r="B298" s="239" t="str">
        <f>'A) Base RI'!B299</f>
        <v>Molondin</v>
      </c>
      <c r="C298" s="255">
        <v>0</v>
      </c>
      <c r="D298" s="228">
        <f>'B) D RI'!AR299</f>
        <v>232</v>
      </c>
      <c r="E298" s="229">
        <f>'B) D RI'!S299</f>
        <v>81</v>
      </c>
      <c r="F298" s="10">
        <f>'B) D RI'!R299</f>
        <v>439698.52</v>
      </c>
      <c r="G298" s="10">
        <f>'B) D RI'!U299</f>
        <v>5428.3767901234569</v>
      </c>
      <c r="H298" s="43">
        <f>'B) D RI'!T299</f>
        <v>411017.52</v>
      </c>
      <c r="I298" s="10">
        <f t="shared" si="53"/>
        <v>10148.580740740741</v>
      </c>
      <c r="J298" s="33">
        <f t="shared" si="52"/>
        <v>19979.416429538505</v>
      </c>
      <c r="K298" s="10">
        <f t="shared" si="47"/>
        <v>10148.580740740741</v>
      </c>
      <c r="L298" s="10">
        <f t="shared" si="51"/>
        <v>9830.8356887977643</v>
      </c>
      <c r="M298" s="10">
        <f>'D) Ecrêtage'!M297</f>
        <v>5428.3767901234569</v>
      </c>
      <c r="N298" s="10">
        <f t="shared" si="48"/>
        <v>6739.6345880023891</v>
      </c>
      <c r="O298" s="59">
        <f t="shared" si="49"/>
        <v>16888.215328743128</v>
      </c>
      <c r="P298" s="230"/>
      <c r="Q298" s="231"/>
      <c r="R298" s="227"/>
      <c r="S298" s="227"/>
      <c r="T298" s="232"/>
    </row>
    <row r="299" spans="1:20" s="226" customFormat="1" x14ac:dyDescent="0.25">
      <c r="A299" s="340">
        <f>'A) Base RI'!A300</f>
        <v>5922</v>
      </c>
      <c r="B299" s="239" t="str">
        <f>'A) Base RI'!B300</f>
        <v>Montagny-près-Yverdon</v>
      </c>
      <c r="C299" s="255">
        <v>0</v>
      </c>
      <c r="D299" s="228">
        <f>'B) D RI'!AR300</f>
        <v>717</v>
      </c>
      <c r="E299" s="229">
        <f>'B) D RI'!S300</f>
        <v>61</v>
      </c>
      <c r="F299" s="10">
        <f>'B) D RI'!R300</f>
        <v>2932951.9824999999</v>
      </c>
      <c r="G299" s="10">
        <f>'B) D RI'!U300</f>
        <v>48081.180040983607</v>
      </c>
      <c r="H299" s="43">
        <f>'B) D RI'!T300</f>
        <v>2584721.87</v>
      </c>
      <c r="I299" s="10">
        <f t="shared" si="53"/>
        <v>84744.979344262305</v>
      </c>
      <c r="J299" s="33">
        <f t="shared" si="52"/>
        <v>61746.73094818581</v>
      </c>
      <c r="K299" s="10">
        <f t="shared" si="47"/>
        <v>61746.73094818581</v>
      </c>
      <c r="L299" s="10">
        <f t="shared" si="51"/>
        <v>0</v>
      </c>
      <c r="M299" s="10">
        <f>'D) Ecrêtage'!M298</f>
        <v>46148.683999846275</v>
      </c>
      <c r="N299" s="10">
        <f t="shared" si="48"/>
        <v>57296.182431927831</v>
      </c>
      <c r="O299" s="59">
        <f t="shared" si="49"/>
        <v>119042.91338011363</v>
      </c>
      <c r="P299" s="230"/>
      <c r="Q299" s="231"/>
      <c r="R299" s="227"/>
      <c r="S299" s="227"/>
      <c r="T299" s="232"/>
    </row>
    <row r="300" spans="1:20" s="226" customFormat="1" x14ac:dyDescent="0.25">
      <c r="A300" s="340">
        <f>'A) Base RI'!A301</f>
        <v>5923</v>
      </c>
      <c r="B300" s="239" t="str">
        <f>'A) Base RI'!B301</f>
        <v>Oppens</v>
      </c>
      <c r="C300" s="255">
        <v>0</v>
      </c>
      <c r="D300" s="228">
        <f>'B) D RI'!AR301</f>
        <v>187</v>
      </c>
      <c r="E300" s="229">
        <f>'B) D RI'!S301</f>
        <v>81</v>
      </c>
      <c r="F300" s="10">
        <f>'B) D RI'!R301</f>
        <v>377084.4800000001</v>
      </c>
      <c r="G300" s="10">
        <f>'B) D RI'!U301</f>
        <v>4655.3639506172849</v>
      </c>
      <c r="H300" s="43">
        <f>'B) D RI'!T301</f>
        <v>353278.08000000007</v>
      </c>
      <c r="I300" s="10">
        <f t="shared" si="53"/>
        <v>8722.9155555555571</v>
      </c>
      <c r="J300" s="33">
        <f t="shared" si="52"/>
        <v>16104.098587602157</v>
      </c>
      <c r="K300" s="10">
        <f t="shared" si="47"/>
        <v>8722.9155555555571</v>
      </c>
      <c r="L300" s="10">
        <f t="shared" si="51"/>
        <v>7381.1830320465997</v>
      </c>
      <c r="M300" s="10">
        <f>'D) Ecrêtage'!M299</f>
        <v>4655.3639506172849</v>
      </c>
      <c r="N300" s="10">
        <f t="shared" si="48"/>
        <v>5779.8957431262124</v>
      </c>
      <c r="O300" s="59">
        <f t="shared" si="49"/>
        <v>14502.811298681769</v>
      </c>
      <c r="P300" s="230"/>
      <c r="Q300" s="231"/>
      <c r="R300" s="227"/>
      <c r="S300" s="227"/>
      <c r="T300" s="232"/>
    </row>
    <row r="301" spans="1:20" s="226" customFormat="1" x14ac:dyDescent="0.25">
      <c r="A301" s="340">
        <f>'A) Base RI'!A302</f>
        <v>5924</v>
      </c>
      <c r="B301" s="239" t="str">
        <f>'A) Base RI'!B302</f>
        <v>Orges</v>
      </c>
      <c r="C301" s="255">
        <v>0</v>
      </c>
      <c r="D301" s="228">
        <f>'B) D RI'!AR302</f>
        <v>336</v>
      </c>
      <c r="E301" s="229">
        <f>'B) D RI'!S302</f>
        <v>74</v>
      </c>
      <c r="F301" s="10">
        <f>'B) D RI'!R302</f>
        <v>783256.57000000007</v>
      </c>
      <c r="G301" s="10">
        <f>'B) D RI'!U302</f>
        <v>10584.548243243244</v>
      </c>
      <c r="H301" s="43">
        <f>'B) D RI'!T302</f>
        <v>743646.52</v>
      </c>
      <c r="I301" s="10">
        <f t="shared" si="53"/>
        <v>20098.554594594596</v>
      </c>
      <c r="J301" s="33">
        <f t="shared" si="52"/>
        <v>28935.706553124732</v>
      </c>
      <c r="K301" s="10">
        <f t="shared" si="47"/>
        <v>20098.554594594596</v>
      </c>
      <c r="L301" s="10">
        <f t="shared" si="51"/>
        <v>8837.1519585301357</v>
      </c>
      <c r="M301" s="10">
        <f>'D) Ecrêtage'!M300</f>
        <v>10584.548243243244</v>
      </c>
      <c r="N301" s="10">
        <f t="shared" si="48"/>
        <v>13141.310965799723</v>
      </c>
      <c r="O301" s="59">
        <f t="shared" si="49"/>
        <v>33239.865560394319</v>
      </c>
      <c r="P301" s="230"/>
      <c r="Q301" s="231"/>
      <c r="R301" s="227"/>
      <c r="S301" s="227"/>
      <c r="T301" s="232"/>
    </row>
    <row r="302" spans="1:20" s="226" customFormat="1" x14ac:dyDescent="0.25">
      <c r="A302" s="340">
        <f>'A) Base RI'!A303</f>
        <v>5925</v>
      </c>
      <c r="B302" s="239" t="str">
        <f>'A) Base RI'!B303</f>
        <v>Orzens</v>
      </c>
      <c r="C302" s="255">
        <v>0</v>
      </c>
      <c r="D302" s="228">
        <f>'B) D RI'!AR303</f>
        <v>195</v>
      </c>
      <c r="E302" s="229">
        <f>'B) D RI'!S303</f>
        <v>79</v>
      </c>
      <c r="F302" s="10">
        <f>'B) D RI'!R303</f>
        <v>377720.4</v>
      </c>
      <c r="G302" s="10">
        <f>'B) D RI'!U303</f>
        <v>4781.2708860759494</v>
      </c>
      <c r="H302" s="43">
        <f>'B) D RI'!T303</f>
        <v>346800.2</v>
      </c>
      <c r="I302" s="10">
        <f t="shared" si="53"/>
        <v>8779.7518987341773</v>
      </c>
      <c r="J302" s="33">
        <f t="shared" si="52"/>
        <v>16793.043981724175</v>
      </c>
      <c r="K302" s="10">
        <f t="shared" si="47"/>
        <v>8779.7518987341773</v>
      </c>
      <c r="L302" s="10">
        <f t="shared" si="51"/>
        <v>8013.2920829899977</v>
      </c>
      <c r="M302" s="10">
        <f>'D) Ecrêtage'!M301</f>
        <v>4781.2708860759494</v>
      </c>
      <c r="N302" s="10">
        <f t="shared" si="48"/>
        <v>5936.2162731657827</v>
      </c>
      <c r="O302" s="59">
        <f t="shared" si="49"/>
        <v>14715.96817189996</v>
      </c>
      <c r="P302" s="230"/>
      <c r="Q302" s="231"/>
      <c r="R302" s="227"/>
      <c r="S302" s="227"/>
      <c r="T302" s="232"/>
    </row>
    <row r="303" spans="1:20" s="226" customFormat="1" x14ac:dyDescent="0.25">
      <c r="A303" s="340">
        <f>'A) Base RI'!A304</f>
        <v>5926</v>
      </c>
      <c r="B303" s="239" t="str">
        <f>'A) Base RI'!B304</f>
        <v>Pomy</v>
      </c>
      <c r="C303" s="255">
        <v>1</v>
      </c>
      <c r="D303" s="228">
        <f>'B) D RI'!AR304</f>
        <v>785</v>
      </c>
      <c r="E303" s="229">
        <f>'B) D RI'!S304</f>
        <v>71</v>
      </c>
      <c r="F303" s="10">
        <f>'B) D RI'!R304</f>
        <v>1657901.82</v>
      </c>
      <c r="G303" s="10">
        <f>'B) D RI'!U304</f>
        <v>23350.72985915493</v>
      </c>
      <c r="H303" s="43">
        <f>'B) D RI'!T304</f>
        <v>1541400.32</v>
      </c>
      <c r="I303" s="10">
        <f t="shared" si="53"/>
        <v>43419.727323943662</v>
      </c>
      <c r="J303" s="33">
        <f t="shared" si="52"/>
        <v>67602.766798222961</v>
      </c>
      <c r="K303" s="10">
        <f t="shared" si="47"/>
        <v>0</v>
      </c>
      <c r="L303" s="10">
        <f t="shared" si="51"/>
        <v>67602.766798222961</v>
      </c>
      <c r="M303" s="10">
        <f>'D) Ecrêtage'!M302</f>
        <v>23350.72985915493</v>
      </c>
      <c r="N303" s="10">
        <f t="shared" si="48"/>
        <v>28991.242262363579</v>
      </c>
      <c r="O303" s="59">
        <f t="shared" si="49"/>
        <v>28991.242262363579</v>
      </c>
      <c r="P303" s="230"/>
      <c r="Q303" s="231"/>
      <c r="R303" s="227"/>
      <c r="S303" s="227"/>
      <c r="T303" s="232"/>
    </row>
    <row r="304" spans="1:20" s="226" customFormat="1" x14ac:dyDescent="0.25">
      <c r="A304" s="340">
        <f>'A) Base RI'!A305</f>
        <v>5928</v>
      </c>
      <c r="B304" s="239" t="str">
        <f>'A) Base RI'!B305</f>
        <v>Rovray</v>
      </c>
      <c r="C304" s="255">
        <v>0</v>
      </c>
      <c r="D304" s="228">
        <f>'B) D RI'!AR305</f>
        <v>187</v>
      </c>
      <c r="E304" s="229">
        <f>'B) D RI'!S305</f>
        <v>73</v>
      </c>
      <c r="F304" s="10">
        <f>'B) D RI'!R305</f>
        <v>328191.63999999996</v>
      </c>
      <c r="G304" s="10">
        <f>'B) D RI'!U305</f>
        <v>4495.7758904109587</v>
      </c>
      <c r="H304" s="43">
        <f>'B) D RI'!T305</f>
        <v>307818.83999999997</v>
      </c>
      <c r="I304" s="10">
        <f t="shared" si="53"/>
        <v>8433.3928767123271</v>
      </c>
      <c r="J304" s="33">
        <f t="shared" si="52"/>
        <v>16104.098587602157</v>
      </c>
      <c r="K304" s="10">
        <f t="shared" ref="K304:K314" si="54">IF(C304=1,0,IF(J304&gt;I304,I304,J304))</f>
        <v>8433.3928767123271</v>
      </c>
      <c r="L304" s="10">
        <f t="shared" si="51"/>
        <v>7670.7057108898298</v>
      </c>
      <c r="M304" s="10">
        <f>'D) Ecrêtage'!M303</f>
        <v>4495.7758904109587</v>
      </c>
      <c r="N304" s="10">
        <f t="shared" si="48"/>
        <v>5581.7582055190805</v>
      </c>
      <c r="O304" s="59">
        <f t="shared" si="49"/>
        <v>14015.151082231409</v>
      </c>
      <c r="P304" s="230"/>
      <c r="Q304" s="231"/>
      <c r="R304" s="227"/>
      <c r="S304" s="227"/>
      <c r="T304" s="232"/>
    </row>
    <row r="305" spans="1:20" s="226" customFormat="1" x14ac:dyDescent="0.25">
      <c r="A305" s="340">
        <f>'A) Base RI'!A306</f>
        <v>5929</v>
      </c>
      <c r="B305" s="239" t="str">
        <f>'A) Base RI'!B306</f>
        <v>Suchy</v>
      </c>
      <c r="C305" s="255">
        <v>1</v>
      </c>
      <c r="D305" s="228">
        <f>'B) D RI'!AR306</f>
        <v>605</v>
      </c>
      <c r="E305" s="229">
        <f>'B) D RI'!S306</f>
        <v>70</v>
      </c>
      <c r="F305" s="10">
        <f>'B) D RI'!R306</f>
        <v>1198290.4024999999</v>
      </c>
      <c r="G305" s="10">
        <f>'B) D RI'!U306</f>
        <v>17118.434321428569</v>
      </c>
      <c r="H305" s="43">
        <f>'B) D RI'!T306</f>
        <v>1098678.5899999999</v>
      </c>
      <c r="I305" s="10">
        <f t="shared" si="53"/>
        <v>31390.816857142854</v>
      </c>
      <c r="J305" s="33">
        <f t="shared" si="52"/>
        <v>52101.495430477567</v>
      </c>
      <c r="K305" s="10">
        <f t="shared" si="54"/>
        <v>0</v>
      </c>
      <c r="L305" s="10">
        <f t="shared" si="51"/>
        <v>52101.495430477567</v>
      </c>
      <c r="M305" s="10">
        <f>'D) Ecrêtage'!M304</f>
        <v>17118.434321428569</v>
      </c>
      <c r="N305" s="10">
        <f t="shared" si="48"/>
        <v>21253.497409217849</v>
      </c>
      <c r="O305" s="59">
        <f t="shared" si="49"/>
        <v>21253.497409217849</v>
      </c>
      <c r="P305" s="230"/>
      <c r="Q305" s="231"/>
      <c r="R305" s="227"/>
      <c r="S305" s="227"/>
      <c r="T305" s="232"/>
    </row>
    <row r="306" spans="1:20" s="226" customFormat="1" x14ac:dyDescent="0.25">
      <c r="A306" s="340">
        <f>'A) Base RI'!A307</f>
        <v>5930</v>
      </c>
      <c r="B306" s="239" t="str">
        <f>'A) Base RI'!B307</f>
        <v>Suscévaz</v>
      </c>
      <c r="C306" s="255">
        <v>1</v>
      </c>
      <c r="D306" s="228">
        <f>'B) D RI'!AR307</f>
        <v>200</v>
      </c>
      <c r="E306" s="229">
        <f>'B) D RI'!S307</f>
        <v>72</v>
      </c>
      <c r="F306" s="10">
        <f>'B) D RI'!R307</f>
        <v>386115.22</v>
      </c>
      <c r="G306" s="10">
        <f>'B) D RI'!U307</f>
        <v>5362.7113888888889</v>
      </c>
      <c r="H306" s="43">
        <f>'B) D RI'!T307</f>
        <v>358928.82</v>
      </c>
      <c r="I306" s="10">
        <f t="shared" si="53"/>
        <v>9970.2450000000008</v>
      </c>
      <c r="J306" s="33">
        <f t="shared" si="52"/>
        <v>17223.634853050437</v>
      </c>
      <c r="K306" s="10">
        <f t="shared" si="54"/>
        <v>0</v>
      </c>
      <c r="L306" s="10">
        <f t="shared" si="51"/>
        <v>17223.634853050437</v>
      </c>
      <c r="M306" s="10">
        <f>'D) Ecrêtage'!M305</f>
        <v>5362.7113888888889</v>
      </c>
      <c r="N306" s="10">
        <f t="shared" si="48"/>
        <v>6658.1073052609336</v>
      </c>
      <c r="O306" s="59">
        <f t="shared" si="49"/>
        <v>6658.1073052609336</v>
      </c>
      <c r="P306" s="230"/>
      <c r="Q306" s="231"/>
      <c r="R306" s="227"/>
      <c r="S306" s="227"/>
      <c r="T306" s="232"/>
    </row>
    <row r="307" spans="1:20" s="226" customFormat="1" x14ac:dyDescent="0.25">
      <c r="A307" s="340">
        <f>'A) Base RI'!A308</f>
        <v>5931</v>
      </c>
      <c r="B307" s="239" t="str">
        <f>'A) Base RI'!B308</f>
        <v>Treycovagnes</v>
      </c>
      <c r="C307" s="255">
        <v>1</v>
      </c>
      <c r="D307" s="228">
        <f>'B) D RI'!AR308</f>
        <v>456</v>
      </c>
      <c r="E307" s="229">
        <f>'B) D RI'!S308</f>
        <v>75</v>
      </c>
      <c r="F307" s="10">
        <f>'B) D RI'!R308</f>
        <v>996649.23</v>
      </c>
      <c r="G307" s="10">
        <f>'B) D RI'!U308</f>
        <v>13288.6564</v>
      </c>
      <c r="H307" s="43">
        <f>'B) D RI'!T308</f>
        <v>923411.02999999991</v>
      </c>
      <c r="I307" s="10">
        <f t="shared" si="53"/>
        <v>24624.294133333329</v>
      </c>
      <c r="J307" s="33">
        <f t="shared" si="52"/>
        <v>39269.887464954991</v>
      </c>
      <c r="K307" s="10">
        <f t="shared" si="54"/>
        <v>0</v>
      </c>
      <c r="L307" s="10">
        <f t="shared" si="51"/>
        <v>39269.887464954991</v>
      </c>
      <c r="M307" s="10">
        <f>'D) Ecrêtage'!M306</f>
        <v>13288.6564</v>
      </c>
      <c r="N307" s="10">
        <f t="shared" si="48"/>
        <v>16498.613077940459</v>
      </c>
      <c r="O307" s="59">
        <f t="shared" si="49"/>
        <v>16498.613077940459</v>
      </c>
      <c r="P307" s="230"/>
      <c r="Q307" s="231"/>
      <c r="R307" s="227"/>
      <c r="S307" s="227"/>
      <c r="T307" s="232"/>
    </row>
    <row r="308" spans="1:20" s="226" customFormat="1" x14ac:dyDescent="0.25">
      <c r="A308" s="340">
        <f>'A) Base RI'!A309</f>
        <v>5932</v>
      </c>
      <c r="B308" s="239" t="str">
        <f>'A) Base RI'!B309</f>
        <v>Ursins</v>
      </c>
      <c r="C308" s="255">
        <v>0</v>
      </c>
      <c r="D308" s="228">
        <f>'B) D RI'!AR309</f>
        <v>218</v>
      </c>
      <c r="E308" s="229">
        <f>'B) D RI'!S309</f>
        <v>78</v>
      </c>
      <c r="F308" s="10">
        <f>'B) D RI'!R309</f>
        <v>534977.1</v>
      </c>
      <c r="G308" s="10">
        <f>'B) D RI'!U309</f>
        <v>6858.6807692307693</v>
      </c>
      <c r="H308" s="43">
        <f>'B) D RI'!T309</f>
        <v>504446.39999999997</v>
      </c>
      <c r="I308" s="10">
        <f t="shared" si="53"/>
        <v>12934.523076923077</v>
      </c>
      <c r="J308" s="33">
        <f t="shared" si="52"/>
        <v>18773.761989824976</v>
      </c>
      <c r="K308" s="10">
        <f t="shared" si="54"/>
        <v>12934.523076923077</v>
      </c>
      <c r="L308" s="10">
        <f t="shared" si="51"/>
        <v>5839.2389129018993</v>
      </c>
      <c r="M308" s="10">
        <f>'D) Ecrêtage'!M307</f>
        <v>6858.6807692307693</v>
      </c>
      <c r="N308" s="10">
        <f t="shared" si="48"/>
        <v>8515.4372895554352</v>
      </c>
      <c r="O308" s="59">
        <f t="shared" si="49"/>
        <v>21449.96036647851</v>
      </c>
      <c r="P308" s="230"/>
      <c r="Q308" s="231"/>
      <c r="R308" s="227"/>
      <c r="S308" s="227"/>
      <c r="T308" s="232"/>
    </row>
    <row r="309" spans="1:20" s="226" customFormat="1" x14ac:dyDescent="0.25">
      <c r="A309" s="340">
        <f>'A) Base RI'!A310</f>
        <v>5933</v>
      </c>
      <c r="B309" s="239" t="str">
        <f>'A) Base RI'!B310</f>
        <v>Valeyres-sous-Montagny</v>
      </c>
      <c r="C309" s="255">
        <v>0</v>
      </c>
      <c r="D309" s="228">
        <f>'B) D RI'!AR310</f>
        <v>705</v>
      </c>
      <c r="E309" s="229">
        <f>'B) D RI'!S310</f>
        <v>72</v>
      </c>
      <c r="F309" s="10">
        <f>'B) D RI'!R310</f>
        <v>1494950.1700000002</v>
      </c>
      <c r="G309" s="10">
        <f>'B) D RI'!U310</f>
        <v>20763.196805555559</v>
      </c>
      <c r="H309" s="43">
        <f>'B) D RI'!T310</f>
        <v>1389537.9700000002</v>
      </c>
      <c r="I309" s="10">
        <f t="shared" si="53"/>
        <v>38598.276944444449</v>
      </c>
      <c r="J309" s="33">
        <f t="shared" ref="J309:J314" si="55">+$I$315/$D$315*D309</f>
        <v>60713.312857002784</v>
      </c>
      <c r="K309" s="10">
        <f t="shared" si="54"/>
        <v>38598.276944444449</v>
      </c>
      <c r="L309" s="10">
        <f t="shared" si="51"/>
        <v>22115.035912558335</v>
      </c>
      <c r="M309" s="10">
        <f>'D) Ecrêtage'!M308</f>
        <v>20763.196805555559</v>
      </c>
      <c r="N309" s="10">
        <f t="shared" si="48"/>
        <v>25778.674686478498</v>
      </c>
      <c r="O309" s="59">
        <f t="shared" si="49"/>
        <v>64376.951630922951</v>
      </c>
      <c r="P309" s="230"/>
      <c r="Q309" s="231"/>
      <c r="R309" s="227"/>
      <c r="S309" s="227"/>
      <c r="T309" s="232"/>
    </row>
    <row r="310" spans="1:20" s="226" customFormat="1" x14ac:dyDescent="0.25">
      <c r="A310" s="340">
        <f>'A) Base RI'!A311</f>
        <v>5934</v>
      </c>
      <c r="B310" s="239" t="str">
        <f>'A) Base RI'!B311</f>
        <v>Valeyres-sous-Ursins</v>
      </c>
      <c r="C310" s="255">
        <v>0</v>
      </c>
      <c r="D310" s="228">
        <f>'B) D RI'!AR311</f>
        <v>238</v>
      </c>
      <c r="E310" s="229">
        <f>'B) D RI'!S311</f>
        <v>79</v>
      </c>
      <c r="F310" s="10">
        <f>'B) D RI'!R311</f>
        <v>544753.27</v>
      </c>
      <c r="G310" s="10">
        <f>'B) D RI'!U311</f>
        <v>6895.611012658228</v>
      </c>
      <c r="H310" s="43">
        <f>'B) D RI'!T311</f>
        <v>515890.97</v>
      </c>
      <c r="I310" s="10">
        <f t="shared" si="53"/>
        <v>13060.530886075949</v>
      </c>
      <c r="J310" s="33">
        <f t="shared" si="55"/>
        <v>20496.125475130018</v>
      </c>
      <c r="K310" s="10">
        <f t="shared" si="54"/>
        <v>13060.530886075949</v>
      </c>
      <c r="L310" s="10">
        <f t="shared" si="51"/>
        <v>7435.5945890540697</v>
      </c>
      <c r="M310" s="10">
        <f>'D) Ecrêtage'!M309</f>
        <v>6895.611012658228</v>
      </c>
      <c r="N310" s="10">
        <f t="shared" si="48"/>
        <v>8561.2882604018032</v>
      </c>
      <c r="O310" s="59">
        <f t="shared" si="49"/>
        <v>21621.819146477752</v>
      </c>
      <c r="P310" s="230"/>
      <c r="Q310" s="231"/>
      <c r="R310" s="227"/>
      <c r="S310" s="227"/>
      <c r="T310" s="232"/>
    </row>
    <row r="311" spans="1:20" s="226" customFormat="1" x14ac:dyDescent="0.25">
      <c r="A311" s="340">
        <f>'A) Base RI'!A312</f>
        <v>5935</v>
      </c>
      <c r="B311" s="239" t="str">
        <f>'A) Base RI'!B312</f>
        <v>Villars-Epeney</v>
      </c>
      <c r="C311" s="255">
        <v>0</v>
      </c>
      <c r="D311" s="228">
        <f>'B) D RI'!AR312</f>
        <v>106</v>
      </c>
      <c r="E311" s="229">
        <f>'B) D RI'!S312</f>
        <v>60</v>
      </c>
      <c r="F311" s="10">
        <f>'B) D RI'!R312</f>
        <v>330476.98</v>
      </c>
      <c r="G311" s="10">
        <f>'B) D RI'!U312</f>
        <v>5507.9496666666664</v>
      </c>
      <c r="H311" s="43">
        <f>'B) D RI'!T312</f>
        <v>312928.02999999997</v>
      </c>
      <c r="I311" s="10">
        <f t="shared" si="53"/>
        <v>10430.934333333333</v>
      </c>
      <c r="J311" s="33">
        <f t="shared" si="55"/>
        <v>9128.5264721167314</v>
      </c>
      <c r="K311" s="10">
        <f t="shared" si="54"/>
        <v>9128.5264721167314</v>
      </c>
      <c r="L311" s="10">
        <f t="shared" si="51"/>
        <v>0</v>
      </c>
      <c r="M311" s="10">
        <f>'D) Ecrêtage'!M310</f>
        <v>5507.9496666666664</v>
      </c>
      <c r="N311" s="10">
        <f t="shared" si="48"/>
        <v>6838.4287822435117</v>
      </c>
      <c r="O311" s="59">
        <f t="shared" si="49"/>
        <v>15966.955254360244</v>
      </c>
      <c r="P311" s="230"/>
      <c r="Q311" s="231"/>
      <c r="R311" s="227"/>
      <c r="S311" s="227"/>
      <c r="T311" s="232"/>
    </row>
    <row r="312" spans="1:20" s="226" customFormat="1" x14ac:dyDescent="0.25">
      <c r="A312" s="340">
        <f>'A) Base RI'!A313</f>
        <v>5937</v>
      </c>
      <c r="B312" s="239" t="str">
        <f>'A) Base RI'!B313</f>
        <v>Vugelles-La Mothe</v>
      </c>
      <c r="C312" s="255">
        <v>0</v>
      </c>
      <c r="D312" s="228">
        <f>'B) D RI'!AR313</f>
        <v>122</v>
      </c>
      <c r="E312" s="229">
        <f>'B) D RI'!S313</f>
        <v>70</v>
      </c>
      <c r="F312" s="10">
        <f>'B) D RI'!R313</f>
        <v>202364.86857142858</v>
      </c>
      <c r="G312" s="10">
        <f>'B) D RI'!U313</f>
        <v>2890.9266938775513</v>
      </c>
      <c r="H312" s="43">
        <f>'B) D RI'!T313</f>
        <v>187225.44</v>
      </c>
      <c r="I312" s="10">
        <f t="shared" si="53"/>
        <v>5349.2982857142861</v>
      </c>
      <c r="J312" s="33">
        <f t="shared" si="55"/>
        <v>10506.417260360766</v>
      </c>
      <c r="K312" s="10">
        <f t="shared" si="54"/>
        <v>5349.2982857142861</v>
      </c>
      <c r="L312" s="10">
        <f t="shared" si="51"/>
        <v>5157.1189746464797</v>
      </c>
      <c r="M312" s="10">
        <f>'D) Ecrêtage'!M311</f>
        <v>2890.9266938775513</v>
      </c>
      <c r="N312" s="10">
        <f t="shared" si="48"/>
        <v>3589.2478158269892</v>
      </c>
      <c r="O312" s="59">
        <f t="shared" si="49"/>
        <v>8938.5461015412748</v>
      </c>
      <c r="P312" s="230"/>
      <c r="Q312" s="231"/>
      <c r="R312" s="227"/>
      <c r="S312" s="227"/>
      <c r="T312" s="232"/>
    </row>
    <row r="313" spans="1:20" s="226" customFormat="1" x14ac:dyDescent="0.25">
      <c r="A313" s="340">
        <f>'A) Base RI'!A314</f>
        <v>5938</v>
      </c>
      <c r="B313" s="239" t="str">
        <f>'A) Base RI'!B314</f>
        <v>Yverdon-les-Bains</v>
      </c>
      <c r="C313" s="255">
        <v>1</v>
      </c>
      <c r="D313" s="228">
        <f>'B) D RI'!AR314</f>
        <v>30208</v>
      </c>
      <c r="E313" s="229">
        <f>'B) D RI'!S314</f>
        <v>76.5</v>
      </c>
      <c r="F313" s="10">
        <f>'B) D RI'!R314</f>
        <v>61346469.570000008</v>
      </c>
      <c r="G313" s="10">
        <f>'B) D RI'!U314</f>
        <v>801914.63490196085</v>
      </c>
      <c r="H313" s="43">
        <f>'B) D RI'!T314</f>
        <v>56908887.020000011</v>
      </c>
      <c r="I313" s="10">
        <f t="shared" si="53"/>
        <v>1487814.0397385624</v>
      </c>
      <c r="J313" s="33">
        <f t="shared" si="55"/>
        <v>2601457.808204738</v>
      </c>
      <c r="K313" s="10">
        <f t="shared" si="54"/>
        <v>0</v>
      </c>
      <c r="L313" s="10">
        <f t="shared" si="51"/>
        <v>2601457.808204738</v>
      </c>
      <c r="M313" s="10">
        <f>'D) Ecrêtage'!M312</f>
        <v>801914.63490196085</v>
      </c>
      <c r="N313" s="10">
        <f t="shared" si="48"/>
        <v>995622.04669430223</v>
      </c>
      <c r="O313" s="59">
        <f t="shared" si="49"/>
        <v>995622.04669430223</v>
      </c>
      <c r="P313" s="230"/>
      <c r="Q313" s="231"/>
      <c r="R313" s="227"/>
      <c r="S313" s="227"/>
      <c r="T313" s="232"/>
    </row>
    <row r="314" spans="1:20" s="226" customFormat="1" x14ac:dyDescent="0.25">
      <c r="A314" s="341">
        <f>'A) Base RI'!A315</f>
        <v>5939</v>
      </c>
      <c r="B314" s="239" t="str">
        <f>'A) Base RI'!B315</f>
        <v>Yvonand</v>
      </c>
      <c r="C314" s="255">
        <v>0</v>
      </c>
      <c r="D314" s="228">
        <f>'B) D RI'!AR315</f>
        <v>3351</v>
      </c>
      <c r="E314" s="229">
        <f>'B) D RI'!S315</f>
        <v>73</v>
      </c>
      <c r="F314" s="10">
        <f>'B) D RI'!R315</f>
        <v>6819180.0199999996</v>
      </c>
      <c r="G314" s="10">
        <f>'B) D RI'!U315</f>
        <v>93413.424931506845</v>
      </c>
      <c r="H314" s="43">
        <f>'B) D RI'!T315</f>
        <v>6299883.8199999994</v>
      </c>
      <c r="I314" s="20">
        <f t="shared" si="53"/>
        <v>172599.55671232875</v>
      </c>
      <c r="J314" s="113">
        <f t="shared" si="55"/>
        <v>288582.00196286006</v>
      </c>
      <c r="K314" s="10">
        <f t="shared" si="54"/>
        <v>172599.55671232875</v>
      </c>
      <c r="L314" s="20">
        <f t="shared" si="51"/>
        <v>115982.44525053131</v>
      </c>
      <c r="M314" s="20">
        <f>'D) Ecrêtage'!M313</f>
        <v>93413.424931506845</v>
      </c>
      <c r="N314" s="20">
        <f>+$N$5*M314</f>
        <v>115978.01221123966</v>
      </c>
      <c r="O314" s="107">
        <f t="shared" si="49"/>
        <v>288577.56892356841</v>
      </c>
      <c r="P314" s="230"/>
      <c r="Q314" s="231"/>
      <c r="R314" s="227"/>
      <c r="S314" s="227"/>
      <c r="T314" s="232"/>
    </row>
    <row r="315" spans="1:20" s="226" customFormat="1" x14ac:dyDescent="0.25">
      <c r="A315" s="32"/>
      <c r="B315" s="126">
        <f>COUNTA(B6:B314)</f>
        <v>309</v>
      </c>
      <c r="C315" s="249">
        <f>SUM(C6:C314)</f>
        <v>52</v>
      </c>
      <c r="D315" s="241">
        <f>SUM(D6:D314)</f>
        <v>794384</v>
      </c>
      <c r="E315" s="241"/>
      <c r="F315" s="241">
        <f t="shared" ref="F315:M315" si="56">SUM(F6:F314)</f>
        <v>2500172743.3220067</v>
      </c>
      <c r="G315" s="241">
        <f t="shared" si="56"/>
        <v>36767173.359367341</v>
      </c>
      <c r="H315" s="241">
        <f t="shared" si="56"/>
        <v>2325821962.690002</v>
      </c>
      <c r="I315" s="258">
        <f>SUM(I6:I314)</f>
        <v>68410899.745528087</v>
      </c>
      <c r="J315" s="241">
        <f t="shared" si="56"/>
        <v>68410899.745528072</v>
      </c>
      <c r="K315" s="503">
        <f t="shared" si="56"/>
        <v>21752206.397732314</v>
      </c>
      <c r="L315" s="243">
        <f t="shared" si="56"/>
        <v>46658693.347795814</v>
      </c>
      <c r="M315" s="241">
        <f t="shared" si="56"/>
        <v>35582677.91930794</v>
      </c>
      <c r="N315" s="250">
        <f>Paramètres!B67-K315</f>
        <v>44177892.602267683</v>
      </c>
      <c r="O315" s="244">
        <f>SUM(O6:O314)</f>
        <v>65930098.99999997</v>
      </c>
      <c r="P315" s="227"/>
      <c r="R315" s="227"/>
      <c r="S315" s="227"/>
    </row>
    <row r="316" spans="1:20" s="226" customFormat="1" x14ac:dyDescent="0.25">
      <c r="A316" s="225"/>
      <c r="B316" s="225"/>
      <c r="C316" s="225"/>
      <c r="D316" s="225"/>
      <c r="E316" s="225"/>
      <c r="F316" s="225"/>
      <c r="G316" s="225"/>
      <c r="H316" s="225"/>
      <c r="I316" s="256"/>
      <c r="J316" s="225"/>
      <c r="K316" s="225"/>
      <c r="L316" s="233"/>
      <c r="M316" s="225"/>
      <c r="N316" s="233"/>
      <c r="O316" s="225"/>
      <c r="P316" s="227"/>
      <c r="R316" s="227"/>
      <c r="S316" s="227"/>
    </row>
    <row r="317" spans="1:20" x14ac:dyDescent="0.25">
      <c r="I317" s="256"/>
      <c r="J317" s="256"/>
      <c r="K317" s="256"/>
      <c r="L317" s="256"/>
      <c r="M317" s="256"/>
      <c r="N317" s="256"/>
      <c r="O317" s="256"/>
    </row>
  </sheetData>
  <protectedRanges>
    <protectedRange sqref="C6:C314"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00B0F0"/>
  </sheetPr>
  <dimension ref="A1:R317"/>
  <sheetViews>
    <sheetView workbookViewId="0">
      <selection sqref="A1:E1"/>
    </sheetView>
  </sheetViews>
  <sheetFormatPr baseColWidth="10" defaultColWidth="10.75" defaultRowHeight="15" x14ac:dyDescent="0.25"/>
  <cols>
    <col min="1" max="1" width="7.5" style="14" customWidth="1"/>
    <col min="2" max="2" width="20.25" style="14" bestFit="1" customWidth="1"/>
    <col min="3" max="3" width="6.125" style="16" bestFit="1" customWidth="1"/>
    <col min="4" max="4" width="6.5" style="161" bestFit="1" customWidth="1"/>
    <col min="5" max="5" width="8.625" style="161" bestFit="1" customWidth="1"/>
    <col min="6" max="6" width="9.5" style="14" bestFit="1" customWidth="1"/>
    <col min="7" max="7" width="10.625" style="14" customWidth="1"/>
    <col min="8" max="8" width="10.75" style="14" customWidth="1"/>
    <col min="9" max="10" width="9.375" style="14" bestFit="1" customWidth="1"/>
    <col min="11" max="11" width="9.625" style="14" bestFit="1" customWidth="1"/>
    <col min="12" max="12" width="11.25" style="14" bestFit="1" customWidth="1"/>
    <col min="13" max="13" width="8.625" style="14" bestFit="1" customWidth="1"/>
    <col min="14" max="14" width="9.5" style="14" bestFit="1" customWidth="1"/>
    <col min="15" max="15" width="1.375" style="14" customWidth="1"/>
    <col min="16" max="16" width="13" style="6" bestFit="1" customWidth="1"/>
    <col min="17" max="16384" width="10.75" style="14"/>
  </cols>
  <sheetData>
    <row r="1" spans="1:18" s="45" customFormat="1" ht="20.25" customHeight="1" x14ac:dyDescent="0.2">
      <c r="A1" s="607" t="s">
        <v>486</v>
      </c>
      <c r="B1" s="608"/>
      <c r="C1" s="608"/>
      <c r="D1" s="608"/>
      <c r="E1" s="608"/>
      <c r="F1" s="74"/>
      <c r="G1" s="74"/>
      <c r="H1" s="74"/>
      <c r="I1" s="74"/>
      <c r="J1" s="74"/>
      <c r="K1" s="74"/>
      <c r="L1" s="74"/>
      <c r="M1" s="74"/>
      <c r="N1" s="74"/>
      <c r="P1" s="46"/>
    </row>
    <row r="2" spans="1:18" s="45" customFormat="1" ht="20.25" customHeight="1" x14ac:dyDescent="0.2">
      <c r="A2" s="304">
        <f>Paramètres!B5</f>
        <v>2017</v>
      </c>
      <c r="C2" s="142"/>
      <c r="D2" s="305"/>
      <c r="E2" s="305"/>
      <c r="F2" s="74"/>
      <c r="G2" s="74"/>
      <c r="H2" s="74"/>
      <c r="I2" s="74"/>
      <c r="J2" s="74"/>
      <c r="K2" s="74"/>
      <c r="L2" s="74"/>
      <c r="M2" s="74"/>
      <c r="N2" s="74"/>
      <c r="P2" s="46"/>
    </row>
    <row r="3" spans="1:18" x14ac:dyDescent="0.25">
      <c r="D3" s="14"/>
      <c r="E3" s="14"/>
    </row>
    <row r="4" spans="1:18" ht="53.25" customHeight="1" x14ac:dyDescent="0.25">
      <c r="A4" s="568" t="s">
        <v>50</v>
      </c>
      <c r="B4" s="568" t="s">
        <v>101</v>
      </c>
      <c r="C4" s="588" t="s">
        <v>367</v>
      </c>
      <c r="D4" s="598" t="s">
        <v>368</v>
      </c>
      <c r="E4" s="598" t="s">
        <v>434</v>
      </c>
      <c r="F4" s="598" t="s">
        <v>98</v>
      </c>
      <c r="G4" s="598" t="s">
        <v>150</v>
      </c>
      <c r="H4" s="598" t="s">
        <v>144</v>
      </c>
      <c r="I4" s="598" t="s">
        <v>418</v>
      </c>
      <c r="J4" s="598" t="s">
        <v>216</v>
      </c>
      <c r="K4" s="598" t="s">
        <v>131</v>
      </c>
      <c r="L4" s="598" t="s">
        <v>217</v>
      </c>
      <c r="M4" s="598" t="s">
        <v>507</v>
      </c>
      <c r="N4" s="605" t="s">
        <v>143</v>
      </c>
      <c r="O4" s="604" t="s">
        <v>528</v>
      </c>
    </row>
    <row r="5" spans="1:18" ht="14.25" customHeight="1" x14ac:dyDescent="0.25">
      <c r="A5" s="570"/>
      <c r="B5" s="570"/>
      <c r="C5" s="594"/>
      <c r="D5" s="609"/>
      <c r="E5" s="609"/>
      <c r="F5" s="609"/>
      <c r="G5" s="599"/>
      <c r="H5" s="599"/>
      <c r="I5" s="599"/>
      <c r="J5" s="609"/>
      <c r="K5" s="609"/>
      <c r="L5" s="599"/>
      <c r="M5" s="599"/>
      <c r="N5" s="606"/>
      <c r="O5" s="604"/>
    </row>
    <row r="6" spans="1:18" s="165" customFormat="1" x14ac:dyDescent="0.25">
      <c r="A6" s="342">
        <f>'B) D RI'!A7</f>
        <v>5401</v>
      </c>
      <c r="B6" s="163" t="str">
        <f>'B) D RI'!B7</f>
        <v>Aigle</v>
      </c>
      <c r="C6" s="347">
        <f>'B) D RI'!S7</f>
        <v>67.5</v>
      </c>
      <c r="D6" s="348">
        <f>'B) D RI'!AR7</f>
        <v>10153</v>
      </c>
      <c r="E6" s="345">
        <f>'D) Ecrêtage'!M5</f>
        <v>280807.53491358022</v>
      </c>
      <c r="F6" s="168">
        <f>'E) Fact soc'!G11</f>
        <v>5497131.1512782583</v>
      </c>
      <c r="G6" s="346">
        <f>'H) Péréquation directe'!I16</f>
        <v>-3073286.5037240135</v>
      </c>
      <c r="H6" s="168">
        <f>+'I) Dépenses thématiques'!O5</f>
        <v>-2214657.1332454197</v>
      </c>
      <c r="I6" s="346">
        <f>'K) Plafonnement aide'!J5</f>
        <v>0</v>
      </c>
      <c r="J6" s="168">
        <f>'J) Plafonnement effort'!I5</f>
        <v>0</v>
      </c>
      <c r="K6" s="346">
        <f>'L) Plafonnement taux'!Q6</f>
        <v>0</v>
      </c>
      <c r="L6" s="343">
        <f>F6+G6+H6+I6+J6+K6</f>
        <v>209187.51430882514</v>
      </c>
      <c r="M6" s="246">
        <f>'M) Police'!O6</f>
        <v>348638.32192315668</v>
      </c>
      <c r="N6" s="245">
        <f>L6+M6</f>
        <v>557825.83623198187</v>
      </c>
      <c r="P6" s="307"/>
      <c r="R6" s="352"/>
    </row>
    <row r="7" spans="1:18" s="165" customFormat="1" x14ac:dyDescent="0.25">
      <c r="A7" s="162">
        <f>'B) D RI'!A8</f>
        <v>5402</v>
      </c>
      <c r="B7" s="163" t="str">
        <f>'B) D RI'!B8</f>
        <v>Bex</v>
      </c>
      <c r="C7" s="347">
        <f>'B) D RI'!S8</f>
        <v>71</v>
      </c>
      <c r="D7" s="164">
        <f>'B) D RI'!AR8</f>
        <v>7719</v>
      </c>
      <c r="E7" s="345">
        <f>'D) Ecrêtage'!M6</f>
        <v>178888.62591549297</v>
      </c>
      <c r="F7" s="349">
        <f>'E) Fact soc'!G12</f>
        <v>3573781.1379599469</v>
      </c>
      <c r="G7" s="346">
        <f>'H) Péréquation directe'!I17</f>
        <v>-3422634.2376927491</v>
      </c>
      <c r="H7" s="349">
        <f>+'I) Dépenses thématiques'!O6</f>
        <v>-1770089.9156839098</v>
      </c>
      <c r="I7" s="346">
        <f>'K) Plafonnement aide'!J6</f>
        <v>0</v>
      </c>
      <c r="J7" s="349">
        <f>'J) Plafonnement effort'!I6</f>
        <v>0</v>
      </c>
      <c r="K7" s="346">
        <f>'L) Plafonnement taux'!Q7</f>
        <v>0</v>
      </c>
      <c r="L7" s="344">
        <f t="shared" ref="L7:L61" si="0">F7+G7+H7+I7+J7+K7</f>
        <v>-1618943.015416712</v>
      </c>
      <c r="M7" s="246">
        <f>'M) Police'!O7</f>
        <v>222100.27366078566</v>
      </c>
      <c r="N7" s="246">
        <f t="shared" ref="N7:N70" si="1">L7+M7</f>
        <v>-1396842.7417559263</v>
      </c>
      <c r="P7" s="307"/>
      <c r="R7" s="352"/>
    </row>
    <row r="8" spans="1:18" s="165" customFormat="1" x14ac:dyDescent="0.25">
      <c r="A8" s="162">
        <f>'B) D RI'!A9</f>
        <v>5403</v>
      </c>
      <c r="B8" s="163" t="str">
        <f>'B) D RI'!B9</f>
        <v>Chessel</v>
      </c>
      <c r="C8" s="347">
        <f>'B) D RI'!S9</f>
        <v>74</v>
      </c>
      <c r="D8" s="164">
        <f>'B) D RI'!AR9</f>
        <v>403</v>
      </c>
      <c r="E8" s="345">
        <f>'D) Ecrêtage'!M7</f>
        <v>9797.3922972972978</v>
      </c>
      <c r="F8" s="349">
        <f>'E) Fact soc'!G13</f>
        <v>182730.78328490676</v>
      </c>
      <c r="G8" s="346">
        <f>'H) Péréquation directe'!I18</f>
        <v>-38147.120511408692</v>
      </c>
      <c r="H8" s="349">
        <f>+'I) Dépenses thématiques'!O7</f>
        <v>-32634.696202804476</v>
      </c>
      <c r="I8" s="346">
        <f>'K) Plafonnement aide'!J7</f>
        <v>0</v>
      </c>
      <c r="J8" s="349">
        <f>'J) Plafonnement effort'!I7</f>
        <v>0</v>
      </c>
      <c r="K8" s="346">
        <f>'L) Plafonnement taux'!Q8</f>
        <v>0</v>
      </c>
      <c r="L8" s="344">
        <f t="shared" si="0"/>
        <v>111948.96657069359</v>
      </c>
      <c r="M8" s="246">
        <f>'M) Police'!O8</f>
        <v>30211.141849333093</v>
      </c>
      <c r="N8" s="246">
        <f t="shared" si="1"/>
        <v>142160.10842002669</v>
      </c>
      <c r="P8" s="307"/>
      <c r="R8" s="352"/>
    </row>
    <row r="9" spans="1:18" s="165" customFormat="1" x14ac:dyDescent="0.25">
      <c r="A9" s="162">
        <f>'B) D RI'!A10</f>
        <v>5404</v>
      </c>
      <c r="B9" s="163" t="str">
        <f>'B) D RI'!B10</f>
        <v>Corbeyrier</v>
      </c>
      <c r="C9" s="347">
        <f>'B) D RI'!S10</f>
        <v>70</v>
      </c>
      <c r="D9" s="164">
        <f>'B) D RI'!AR10</f>
        <v>437</v>
      </c>
      <c r="E9" s="345">
        <f>'D) Ecrêtage'!M8</f>
        <v>10965.354952380952</v>
      </c>
      <c r="F9" s="349">
        <f>'E) Fact soc'!G14</f>
        <v>362023.81767954293</v>
      </c>
      <c r="G9" s="346">
        <f>'H) Péréquation directe'!I19</f>
        <v>-7941.8379363017739</v>
      </c>
      <c r="H9" s="349">
        <f>+'I) Dépenses thématiques'!O8</f>
        <v>-212155.45638692493</v>
      </c>
      <c r="I9" s="346">
        <f>'K) Plafonnement aide'!J8</f>
        <v>0</v>
      </c>
      <c r="J9" s="349">
        <f>'J) Plafonnement effort'!I8</f>
        <v>0</v>
      </c>
      <c r="K9" s="346">
        <f>'L) Plafonnement taux'!Q9</f>
        <v>0</v>
      </c>
      <c r="L9" s="344">
        <f t="shared" si="0"/>
        <v>141926.52335631623</v>
      </c>
      <c r="M9" s="246">
        <f>'M) Police'!O9</f>
        <v>33373.776163184666</v>
      </c>
      <c r="N9" s="246">
        <f t="shared" si="1"/>
        <v>175300.2995195009</v>
      </c>
      <c r="P9" s="307"/>
      <c r="R9" s="352"/>
    </row>
    <row r="10" spans="1:18" s="165" customFormat="1" x14ac:dyDescent="0.25">
      <c r="A10" s="162">
        <f>'B) D RI'!A11</f>
        <v>5405</v>
      </c>
      <c r="B10" s="163" t="str">
        <f>'B) D RI'!B11</f>
        <v>Gryon</v>
      </c>
      <c r="C10" s="347">
        <f>'B) D RI'!S11</f>
        <v>75</v>
      </c>
      <c r="D10" s="164">
        <f>'B) D RI'!AR11</f>
        <v>1364</v>
      </c>
      <c r="E10" s="345">
        <f>'D) Ecrêtage'!M9</f>
        <v>69949.839511111102</v>
      </c>
      <c r="F10" s="349">
        <f>'E) Fact soc'!G15</f>
        <v>1374407.3026966406</v>
      </c>
      <c r="G10" s="346">
        <f>'H) Péréquation directe'!I20</f>
        <v>1068580.020088749</v>
      </c>
      <c r="H10" s="349">
        <f>+'I) Dépenses thématiques'!O9</f>
        <v>-787781.72050879593</v>
      </c>
      <c r="I10" s="346">
        <f>'K) Plafonnement aide'!J9</f>
        <v>0</v>
      </c>
      <c r="J10" s="349">
        <f>'J) Plafonnement effort'!I9</f>
        <v>0</v>
      </c>
      <c r="K10" s="346">
        <f>'L) Plafonnement taux'!Q10</f>
        <v>0</v>
      </c>
      <c r="L10" s="344">
        <f t="shared" si="0"/>
        <v>1655205.6022765937</v>
      </c>
      <c r="M10" s="246">
        <f>'M) Police'!O10</f>
        <v>204311.84313056589</v>
      </c>
      <c r="N10" s="246">
        <f t="shared" si="1"/>
        <v>1859517.4454071596</v>
      </c>
      <c r="P10" s="307"/>
      <c r="R10" s="352"/>
    </row>
    <row r="11" spans="1:18" s="165" customFormat="1" x14ac:dyDescent="0.25">
      <c r="A11" s="162">
        <f>'B) D RI'!A12</f>
        <v>5406</v>
      </c>
      <c r="B11" s="163" t="str">
        <f>'B) D RI'!B12</f>
        <v>Lavey-Morcles</v>
      </c>
      <c r="C11" s="347">
        <f>'B) D RI'!S12</f>
        <v>71</v>
      </c>
      <c r="D11" s="164">
        <f>'B) D RI'!AR12</f>
        <v>926</v>
      </c>
      <c r="E11" s="345">
        <f>'D) Ecrêtage'!M10</f>
        <v>22205.009750812569</v>
      </c>
      <c r="F11" s="349">
        <f>'E) Fact soc'!G16</f>
        <v>411162.64102558268</v>
      </c>
      <c r="G11" s="346">
        <f>'H) Péréquation directe'!I21</f>
        <v>-66720.032072790316</v>
      </c>
      <c r="H11" s="349">
        <f>+'I) Dépenses thématiques'!O10</f>
        <v>-148969.91864725109</v>
      </c>
      <c r="I11" s="346">
        <f>'K) Plafonnement aide'!J10</f>
        <v>0</v>
      </c>
      <c r="J11" s="349">
        <f>'J) Plafonnement effort'!I10</f>
        <v>0</v>
      </c>
      <c r="K11" s="346">
        <f>'L) Plafonnement taux'!Q11</f>
        <v>0</v>
      </c>
      <c r="L11" s="344">
        <f t="shared" si="0"/>
        <v>195472.69030554127</v>
      </c>
      <c r="M11" s="246">
        <f>'M) Police'!O11</f>
        <v>67664.960781931411</v>
      </c>
      <c r="N11" s="246">
        <f t="shared" si="1"/>
        <v>263137.65108747268</v>
      </c>
      <c r="P11" s="307"/>
      <c r="R11" s="352"/>
    </row>
    <row r="12" spans="1:18" s="165" customFormat="1" x14ac:dyDescent="0.25">
      <c r="A12" s="162">
        <f>'B) D RI'!A13</f>
        <v>5407</v>
      </c>
      <c r="B12" s="163" t="str">
        <f>'B) D RI'!B13</f>
        <v>Leysin</v>
      </c>
      <c r="C12" s="347">
        <f>'B) D RI'!S13</f>
        <v>78</v>
      </c>
      <c r="D12" s="164">
        <f>'B) D RI'!AR13</f>
        <v>4023</v>
      </c>
      <c r="E12" s="345">
        <f>'D) Ecrêtage'!M11</f>
        <v>89269.724615384606</v>
      </c>
      <c r="F12" s="349">
        <f>'E) Fact soc'!G17</f>
        <v>1691342.5148461899</v>
      </c>
      <c r="G12" s="346">
        <f>'H) Péréquation directe'!I22</f>
        <v>-1841883.2430047849</v>
      </c>
      <c r="H12" s="349">
        <f>+'I) Dépenses thématiques'!O11</f>
        <v>-1890450.6127020728</v>
      </c>
      <c r="I12" s="346">
        <f>'K) Plafonnement aide'!J11</f>
        <v>0</v>
      </c>
      <c r="J12" s="349">
        <f>'J) Plafonnement effort'!I11</f>
        <v>0</v>
      </c>
      <c r="K12" s="346">
        <f>'L) Plafonnement taux'!Q12</f>
        <v>0</v>
      </c>
      <c r="L12" s="344">
        <f t="shared" si="0"/>
        <v>-2040991.3408606679</v>
      </c>
      <c r="M12" s="246">
        <f>'M) Police'!O12</f>
        <v>267731.8966258656</v>
      </c>
      <c r="N12" s="246">
        <f t="shared" si="1"/>
        <v>-1773259.4442348024</v>
      </c>
      <c r="P12" s="307"/>
      <c r="R12" s="352"/>
    </row>
    <row r="13" spans="1:18" s="165" customFormat="1" x14ac:dyDescent="0.25">
      <c r="A13" s="162">
        <f>'B) D RI'!A14</f>
        <v>5408</v>
      </c>
      <c r="B13" s="163" t="str">
        <f>'B) D RI'!B14</f>
        <v>Noville</v>
      </c>
      <c r="C13" s="347">
        <f>'B) D RI'!S14</f>
        <v>78.5</v>
      </c>
      <c r="D13" s="164">
        <f>'B) D RI'!AR14</f>
        <v>1055</v>
      </c>
      <c r="E13" s="345">
        <f>'D) Ecrêtage'!M12</f>
        <v>34371.486709129509</v>
      </c>
      <c r="F13" s="349">
        <f>'E) Fact soc'!G18</f>
        <v>658299.29600875045</v>
      </c>
      <c r="G13" s="346">
        <f>'H) Péréquation directe'!I23</f>
        <v>202386.50439302146</v>
      </c>
      <c r="H13" s="349">
        <f>+'I) Dépenses thématiques'!O12</f>
        <v>-171174.92267138243</v>
      </c>
      <c r="I13" s="346">
        <f>'K) Plafonnement aide'!J12</f>
        <v>0</v>
      </c>
      <c r="J13" s="349">
        <f>'J) Plafonnement effort'!I12</f>
        <v>0</v>
      </c>
      <c r="K13" s="346">
        <f>'L) Plafonnement taux'!Q13</f>
        <v>0</v>
      </c>
      <c r="L13" s="344">
        <f t="shared" si="0"/>
        <v>689510.87773038947</v>
      </c>
      <c r="M13" s="246">
        <f>'M) Police'!O13</f>
        <v>106538.09478294314</v>
      </c>
      <c r="N13" s="246">
        <f t="shared" si="1"/>
        <v>796048.97251333261</v>
      </c>
      <c r="P13" s="307"/>
      <c r="R13" s="352"/>
    </row>
    <row r="14" spans="1:18" s="165" customFormat="1" x14ac:dyDescent="0.25">
      <c r="A14" s="162">
        <f>'B) D RI'!A15</f>
        <v>5409</v>
      </c>
      <c r="B14" s="163" t="str">
        <f>'B) D RI'!B15</f>
        <v>Ollon</v>
      </c>
      <c r="C14" s="347">
        <f>'B) D RI'!S15</f>
        <v>68</v>
      </c>
      <c r="D14" s="164">
        <f>'B) D RI'!AR15</f>
        <v>7494</v>
      </c>
      <c r="E14" s="345">
        <f>'D) Ecrêtage'!M13</f>
        <v>372011.63303167425</v>
      </c>
      <c r="F14" s="349">
        <f>'E) Fact soc'!G19</f>
        <v>7053387.2458765525</v>
      </c>
      <c r="G14" s="346">
        <f>'H) Péréquation directe'!I24</f>
        <v>3621157.896127725</v>
      </c>
      <c r="H14" s="349">
        <f>+'I) Dépenses thématiques'!O13</f>
        <v>-1935779.8891487489</v>
      </c>
      <c r="I14" s="346">
        <f>'K) Plafonnement aide'!J13</f>
        <v>0</v>
      </c>
      <c r="J14" s="349">
        <f>'J) Plafonnement effort'!I13</f>
        <v>0</v>
      </c>
      <c r="K14" s="346">
        <f>'L) Plafonnement taux'!Q14</f>
        <v>0</v>
      </c>
      <c r="L14" s="344">
        <f t="shared" si="0"/>
        <v>8738765.2528555281</v>
      </c>
      <c r="M14" s="246">
        <f>'M) Police'!O14</f>
        <v>461873.33084196289</v>
      </c>
      <c r="N14" s="246">
        <f t="shared" si="1"/>
        <v>9200638.5836974904</v>
      </c>
      <c r="P14" s="307"/>
      <c r="R14" s="352"/>
    </row>
    <row r="15" spans="1:18" s="165" customFormat="1" x14ac:dyDescent="0.25">
      <c r="A15" s="162">
        <f>'B) D RI'!A16</f>
        <v>5410</v>
      </c>
      <c r="B15" s="163" t="str">
        <f>'B) D RI'!B16</f>
        <v>Ormont-Dessous</v>
      </c>
      <c r="C15" s="347">
        <f>'B) D RI'!S16</f>
        <v>78.5</v>
      </c>
      <c r="D15" s="164">
        <f>'B) D RI'!AR16</f>
        <v>1117</v>
      </c>
      <c r="E15" s="345">
        <f>'D) Ecrêtage'!M14</f>
        <v>38315.886284501066</v>
      </c>
      <c r="F15" s="349">
        <f>'E) Fact soc'!G20</f>
        <v>777342.23084215156</v>
      </c>
      <c r="G15" s="346">
        <f>'H) Péréquation directe'!I25</f>
        <v>282432.5004802008</v>
      </c>
      <c r="H15" s="349">
        <f>+'I) Dépenses thématiques'!O14</f>
        <v>-866871.43445259181</v>
      </c>
      <c r="I15" s="346">
        <f>'K) Plafonnement aide'!J14</f>
        <v>0</v>
      </c>
      <c r="J15" s="349">
        <f>'J) Plafonnement effort'!I14</f>
        <v>0</v>
      </c>
      <c r="K15" s="346">
        <f>'L) Plafonnement taux'!Q15</f>
        <v>0</v>
      </c>
      <c r="L15" s="344">
        <f t="shared" si="0"/>
        <v>192903.2968697605</v>
      </c>
      <c r="M15" s="246">
        <f>'M) Police'!O15</f>
        <v>114740.33674123374</v>
      </c>
      <c r="N15" s="246">
        <f t="shared" si="1"/>
        <v>307643.63361099421</v>
      </c>
      <c r="P15" s="307"/>
      <c r="R15" s="352"/>
    </row>
    <row r="16" spans="1:18" s="165" customFormat="1" x14ac:dyDescent="0.25">
      <c r="A16" s="162">
        <f>'B) D RI'!A17</f>
        <v>5411</v>
      </c>
      <c r="B16" s="163" t="str">
        <f>'B) D RI'!B17</f>
        <v>Ormont-Dessus</v>
      </c>
      <c r="C16" s="347">
        <f>'B) D RI'!S17</f>
        <v>76</v>
      </c>
      <c r="D16" s="164">
        <f>'B) D RI'!AR17</f>
        <v>1467</v>
      </c>
      <c r="E16" s="345">
        <f>'D) Ecrêtage'!M15</f>
        <v>79923.40364035088</v>
      </c>
      <c r="F16" s="349">
        <f>'E) Fact soc'!G21</f>
        <v>1462826.9739623754</v>
      </c>
      <c r="G16" s="346">
        <f>'H) Péréquation directe'!I26</f>
        <v>1217356.7866202951</v>
      </c>
      <c r="H16" s="349">
        <f>+'I) Dépenses thématiques'!O15</f>
        <v>-873672.23818706255</v>
      </c>
      <c r="I16" s="346">
        <f>'K) Plafonnement aide'!J15</f>
        <v>0</v>
      </c>
      <c r="J16" s="349">
        <f>'J) Plafonnement effort'!I15</f>
        <v>0</v>
      </c>
      <c r="K16" s="346">
        <f>'L) Plafonnement taux'!Q16</f>
        <v>0</v>
      </c>
      <c r="L16" s="344">
        <f t="shared" si="0"/>
        <v>1806511.522395608</v>
      </c>
      <c r="M16" s="246">
        <f>'M) Police'!O16</f>
        <v>225564.75496142622</v>
      </c>
      <c r="N16" s="246">
        <f t="shared" si="1"/>
        <v>2032076.2773570342</v>
      </c>
      <c r="P16" s="307"/>
      <c r="R16" s="352"/>
    </row>
    <row r="17" spans="1:18" s="165" customFormat="1" x14ac:dyDescent="0.25">
      <c r="A17" s="162">
        <f>'B) D RI'!A18</f>
        <v>5412</v>
      </c>
      <c r="B17" s="163" t="str">
        <f>'B) D RI'!B18</f>
        <v>Rennaz</v>
      </c>
      <c r="C17" s="347">
        <f>'B) D RI'!S18</f>
        <v>67.5</v>
      </c>
      <c r="D17" s="164">
        <f>'B) D RI'!AR18</f>
        <v>839</v>
      </c>
      <c r="E17" s="345">
        <f>'D) Ecrêtage'!M16</f>
        <v>31498.582370370365</v>
      </c>
      <c r="F17" s="349">
        <f>'E) Fact soc'!G22</f>
        <v>549344.99699101911</v>
      </c>
      <c r="G17" s="346">
        <f>'H) Péréquation directe'!I27</f>
        <v>389420.09536922473</v>
      </c>
      <c r="H17" s="349">
        <f>+'I) Dépenses thématiques'!O16</f>
        <v>0</v>
      </c>
      <c r="I17" s="346">
        <f>'K) Plafonnement aide'!J16</f>
        <v>0</v>
      </c>
      <c r="J17" s="349">
        <f>'J) Plafonnement effort'!I16</f>
        <v>0</v>
      </c>
      <c r="K17" s="346">
        <f>'L) Plafonnement taux'!Q17</f>
        <v>0</v>
      </c>
      <c r="L17" s="344">
        <f t="shared" si="0"/>
        <v>938765.0923602439</v>
      </c>
      <c r="M17" s="246">
        <f>'M) Police'!O17</f>
        <v>95594.365619479737</v>
      </c>
      <c r="N17" s="246">
        <f t="shared" si="1"/>
        <v>1034359.4579797236</v>
      </c>
      <c r="P17" s="307"/>
      <c r="R17" s="352"/>
    </row>
    <row r="18" spans="1:18" s="165" customFormat="1" x14ac:dyDescent="0.25">
      <c r="A18" s="162">
        <f>'B) D RI'!A19</f>
        <v>5413</v>
      </c>
      <c r="B18" s="163" t="str">
        <f>'B) D RI'!B19</f>
        <v>Roche</v>
      </c>
      <c r="C18" s="347">
        <f>'B) D RI'!S19</f>
        <v>68</v>
      </c>
      <c r="D18" s="164">
        <f>'B) D RI'!AR19</f>
        <v>1650</v>
      </c>
      <c r="E18" s="345">
        <f>'D) Ecrêtage'!M17</f>
        <v>37711.950000000012</v>
      </c>
      <c r="F18" s="349">
        <f>'E) Fact soc'!G23</f>
        <v>729387.24180311942</v>
      </c>
      <c r="G18" s="346">
        <f>'H) Péréquation directe'!I28</f>
        <v>-290886.75168191455</v>
      </c>
      <c r="H18" s="349">
        <f>+'I) Dépenses thématiques'!O17</f>
        <v>-33949.311004829098</v>
      </c>
      <c r="I18" s="346">
        <f>'K) Plafonnement aide'!J17</f>
        <v>0</v>
      </c>
      <c r="J18" s="349">
        <f>'J) Plafonnement effort'!I17</f>
        <v>0</v>
      </c>
      <c r="K18" s="346">
        <f>'L) Plafonnement taux'!Q18</f>
        <v>0</v>
      </c>
      <c r="L18" s="344">
        <f t="shared" si="0"/>
        <v>404551.17911637574</v>
      </c>
      <c r="M18" s="246">
        <f>'M) Police'!O18</f>
        <v>114799.05786072416</v>
      </c>
      <c r="N18" s="246">
        <f t="shared" si="1"/>
        <v>519350.23697709991</v>
      </c>
      <c r="P18" s="307"/>
      <c r="R18" s="352"/>
    </row>
    <row r="19" spans="1:18" s="165" customFormat="1" x14ac:dyDescent="0.25">
      <c r="A19" s="162">
        <f>'B) D RI'!A20</f>
        <v>5414</v>
      </c>
      <c r="B19" s="163" t="str">
        <f>'B) D RI'!B20</f>
        <v>Villeneuve</v>
      </c>
      <c r="C19" s="347">
        <f>'B) D RI'!S20</f>
        <v>69</v>
      </c>
      <c r="D19" s="164">
        <f>'B) D RI'!AR20</f>
        <v>5672</v>
      </c>
      <c r="E19" s="345">
        <f>'D) Ecrêtage'!M18</f>
        <v>168706.05608695652</v>
      </c>
      <c r="F19" s="349">
        <f>'E) Fact soc'!G24</f>
        <v>3496307.8479907103</v>
      </c>
      <c r="G19" s="346">
        <f>'H) Péréquation directe'!I29</f>
        <v>-671173.83381675696</v>
      </c>
      <c r="H19" s="349">
        <f>+'I) Dépenses thématiques'!O18</f>
        <v>-1511172.785015641</v>
      </c>
      <c r="I19" s="346">
        <f>'K) Plafonnement aide'!J18</f>
        <v>0</v>
      </c>
      <c r="J19" s="349">
        <f>'J) Plafonnement effort'!I18</f>
        <v>0</v>
      </c>
      <c r="K19" s="346">
        <f>'L) Plafonnement taux'!Q19</f>
        <v>0</v>
      </c>
      <c r="L19" s="344">
        <f t="shared" si="0"/>
        <v>1313961.2291583123</v>
      </c>
      <c r="M19" s="246">
        <f>'M) Police'!O19</f>
        <v>512954.29132298322</v>
      </c>
      <c r="N19" s="246">
        <f t="shared" si="1"/>
        <v>1826915.5204812954</v>
      </c>
      <c r="P19" s="307"/>
      <c r="R19" s="352"/>
    </row>
    <row r="20" spans="1:18" s="165" customFormat="1" x14ac:dyDescent="0.25">
      <c r="A20" s="162">
        <f>'B) D RI'!A21</f>
        <v>5415</v>
      </c>
      <c r="B20" s="163" t="str">
        <f>'B) D RI'!B21</f>
        <v>Yvorne</v>
      </c>
      <c r="C20" s="347">
        <f>'B) D RI'!S21</f>
        <v>71.5</v>
      </c>
      <c r="D20" s="164">
        <f>'B) D RI'!AR21</f>
        <v>1057</v>
      </c>
      <c r="E20" s="345">
        <f>'D) Ecrêtage'!M19</f>
        <v>35013.467459207466</v>
      </c>
      <c r="F20" s="349">
        <f>'E) Fact soc'!G25</f>
        <v>651549.07372867852</v>
      </c>
      <c r="G20" s="346">
        <f>'H) Péréquation directe'!I30</f>
        <v>278495.36076718569</v>
      </c>
      <c r="H20" s="349">
        <f>+'I) Dépenses thématiques'!O19</f>
        <v>-97105.816939089622</v>
      </c>
      <c r="I20" s="346">
        <f>'K) Plafonnement aide'!J19</f>
        <v>0</v>
      </c>
      <c r="J20" s="349">
        <f>'J) Plafonnement effort'!I19</f>
        <v>0</v>
      </c>
      <c r="K20" s="346">
        <f>'L) Plafonnement taux'!Q20</f>
        <v>0</v>
      </c>
      <c r="L20" s="344">
        <f t="shared" si="0"/>
        <v>832938.61755677452</v>
      </c>
      <c r="M20" s="246">
        <f>'M) Police'!O20</f>
        <v>107240.50165911211</v>
      </c>
      <c r="N20" s="246">
        <f t="shared" si="1"/>
        <v>940179.11921588657</v>
      </c>
      <c r="P20" s="307"/>
      <c r="R20" s="352"/>
    </row>
    <row r="21" spans="1:18" s="165" customFormat="1" x14ac:dyDescent="0.25">
      <c r="A21" s="162">
        <f>'B) D RI'!A22</f>
        <v>5421</v>
      </c>
      <c r="B21" s="163" t="str">
        <f>'B) D RI'!B22</f>
        <v>Apples</v>
      </c>
      <c r="C21" s="347">
        <f>'B) D RI'!S22</f>
        <v>76</v>
      </c>
      <c r="D21" s="164">
        <f>'B) D RI'!AR22</f>
        <v>1437</v>
      </c>
      <c r="E21" s="345">
        <f>'D) Ecrêtage'!M20</f>
        <v>59328.525131578965</v>
      </c>
      <c r="F21" s="349">
        <f>'E) Fact soc'!G26</f>
        <v>1020687.3537507604</v>
      </c>
      <c r="G21" s="346">
        <f>'H) Péréquation directe'!I31</f>
        <v>731412.96397368354</v>
      </c>
      <c r="H21" s="349">
        <f>+'I) Dépenses thématiques'!O20</f>
        <v>-166186.97819218089</v>
      </c>
      <c r="I21" s="346">
        <f>'K) Plafonnement aide'!J20</f>
        <v>0</v>
      </c>
      <c r="J21" s="349">
        <f>'J) Plafonnement effort'!I20</f>
        <v>0</v>
      </c>
      <c r="K21" s="346">
        <f>'L) Plafonnement taux'!Q21</f>
        <v>0</v>
      </c>
      <c r="L21" s="344">
        <f t="shared" si="0"/>
        <v>1585913.3395322631</v>
      </c>
      <c r="M21" s="246">
        <f>'M) Police'!O21</f>
        <v>184709.8889285535</v>
      </c>
      <c r="N21" s="246">
        <f t="shared" si="1"/>
        <v>1770623.2284608167</v>
      </c>
      <c r="P21" s="307"/>
      <c r="R21" s="352"/>
    </row>
    <row r="22" spans="1:18" s="165" customFormat="1" x14ac:dyDescent="0.25">
      <c r="A22" s="162">
        <f>'B) D RI'!A23</f>
        <v>5422</v>
      </c>
      <c r="B22" s="163" t="str">
        <f>'B) D RI'!B23</f>
        <v>Aubonne</v>
      </c>
      <c r="C22" s="347">
        <f>'B) D RI'!S23</f>
        <v>68</v>
      </c>
      <c r="D22" s="164">
        <f>'B) D RI'!AR23</f>
        <v>3269</v>
      </c>
      <c r="E22" s="345">
        <f>'D) Ecrêtage'!M21</f>
        <v>243071.90261791559</v>
      </c>
      <c r="F22" s="349">
        <f>'E) Fact soc'!G27</f>
        <v>6655464.6521777082</v>
      </c>
      <c r="G22" s="346">
        <f>'H) Péréquation directe'!I32</f>
        <v>3570702.3772582328</v>
      </c>
      <c r="H22" s="349">
        <f>+'I) Dépenses thématiques'!O21</f>
        <v>-26142.597433139792</v>
      </c>
      <c r="I22" s="346">
        <f>'K) Plafonnement aide'!J21</f>
        <v>0</v>
      </c>
      <c r="J22" s="349">
        <f>'J) Plafonnement effort'!I21</f>
        <v>0</v>
      </c>
      <c r="K22" s="346">
        <f>'L) Plafonnement taux'!Q22</f>
        <v>0</v>
      </c>
      <c r="L22" s="344">
        <f t="shared" si="0"/>
        <v>10200024.4320028</v>
      </c>
      <c r="M22" s="246">
        <f>'M) Police'!O22</f>
        <v>583307.72724747937</v>
      </c>
      <c r="N22" s="246">
        <f t="shared" si="1"/>
        <v>10783332.159250278</v>
      </c>
      <c r="P22" s="307"/>
      <c r="R22" s="352"/>
    </row>
    <row r="23" spans="1:18" s="165" customFormat="1" x14ac:dyDescent="0.25">
      <c r="A23" s="162">
        <f>'B) D RI'!A24</f>
        <v>5423</v>
      </c>
      <c r="B23" s="163" t="str">
        <f>'B) D RI'!B24</f>
        <v>Ballens</v>
      </c>
      <c r="C23" s="347">
        <f>'B) D RI'!S24</f>
        <v>69</v>
      </c>
      <c r="D23" s="164">
        <f>'B) D RI'!AR24</f>
        <v>527</v>
      </c>
      <c r="E23" s="345">
        <f>'D) Ecrêtage'!M22</f>
        <v>16703.466521739134</v>
      </c>
      <c r="F23" s="349">
        <f>'E) Fact soc'!G28</f>
        <v>321126.77241594717</v>
      </c>
      <c r="G23" s="346">
        <f>'H) Péréquation directe'!I33</f>
        <v>126269.12688911002</v>
      </c>
      <c r="H23" s="349">
        <f>+'I) Dépenses thématiques'!O22</f>
        <v>-53864.878027782666</v>
      </c>
      <c r="I23" s="346">
        <f>'K) Plafonnement aide'!J22</f>
        <v>0</v>
      </c>
      <c r="J23" s="349">
        <f>'J) Plafonnement effort'!I22</f>
        <v>0</v>
      </c>
      <c r="K23" s="346">
        <f>'L) Plafonnement taux'!Q23</f>
        <v>0</v>
      </c>
      <c r="L23" s="344">
        <f t="shared" si="0"/>
        <v>393531.02127727453</v>
      </c>
      <c r="M23" s="246">
        <f>'M) Police'!O23</f>
        <v>51873.449266643256</v>
      </c>
      <c r="N23" s="246">
        <f t="shared" si="1"/>
        <v>445404.47054391779</v>
      </c>
      <c r="P23" s="307"/>
      <c r="R23" s="352"/>
    </row>
    <row r="24" spans="1:18" s="165" customFormat="1" x14ac:dyDescent="0.25">
      <c r="A24" s="162">
        <f>'B) D RI'!A25</f>
        <v>5424</v>
      </c>
      <c r="B24" s="163" t="str">
        <f>'B) D RI'!B25</f>
        <v>Berolle</v>
      </c>
      <c r="C24" s="347">
        <f>'B) D RI'!S25</f>
        <v>77</v>
      </c>
      <c r="D24" s="164">
        <f>'B) D RI'!AR25</f>
        <v>301</v>
      </c>
      <c r="E24" s="345">
        <f>'D) Ecrêtage'!M23</f>
        <v>11342.941168831172</v>
      </c>
      <c r="F24" s="349">
        <f>'E) Fact soc'!G29</f>
        <v>190525.88456905133</v>
      </c>
      <c r="G24" s="346">
        <f>'H) Péréquation directe'!I34</f>
        <v>129600.36821996227</v>
      </c>
      <c r="H24" s="349">
        <f>+'I) Dépenses thématiques'!O23</f>
        <v>-11354.192853663983</v>
      </c>
      <c r="I24" s="346">
        <f>'K) Plafonnement aide'!J23</f>
        <v>0</v>
      </c>
      <c r="J24" s="349">
        <f>'J) Plafonnement effort'!I23</f>
        <v>0</v>
      </c>
      <c r="K24" s="346">
        <f>'L) Plafonnement taux'!Q24</f>
        <v>0</v>
      </c>
      <c r="L24" s="344">
        <f t="shared" si="0"/>
        <v>308772.05993534962</v>
      </c>
      <c r="M24" s="246">
        <f>'M) Police'!O24</f>
        <v>35475.692392613055</v>
      </c>
      <c r="N24" s="246">
        <f t="shared" si="1"/>
        <v>344247.75232796266</v>
      </c>
      <c r="P24" s="307"/>
      <c r="R24" s="352"/>
    </row>
    <row r="25" spans="1:18" s="165" customFormat="1" x14ac:dyDescent="0.25">
      <c r="A25" s="162">
        <f>'B) D RI'!A26</f>
        <v>5425</v>
      </c>
      <c r="B25" s="163" t="str">
        <f>'B) D RI'!B26</f>
        <v>Bière</v>
      </c>
      <c r="C25" s="347">
        <f>'B) D RI'!S26</f>
        <v>68</v>
      </c>
      <c r="D25" s="164">
        <f>'B) D RI'!AR26</f>
        <v>1577</v>
      </c>
      <c r="E25" s="345">
        <f>'D) Ecrêtage'!M24</f>
        <v>41451.382114604457</v>
      </c>
      <c r="F25" s="349">
        <f>'E) Fact soc'!G30</f>
        <v>700101.15772462368</v>
      </c>
      <c r="G25" s="346">
        <f>'H) Péréquation directe'!I35</f>
        <v>-67819.865432588384</v>
      </c>
      <c r="H25" s="349">
        <f>+'I) Dépenses thématiques'!O24</f>
        <v>-537812.1566864776</v>
      </c>
      <c r="I25" s="346">
        <f>'K) Plafonnement aide'!J24</f>
        <v>0</v>
      </c>
      <c r="J25" s="349">
        <f>'J) Plafonnement effort'!I24</f>
        <v>0</v>
      </c>
      <c r="K25" s="346">
        <f>'L) Plafonnement taux'!Q25</f>
        <v>0</v>
      </c>
      <c r="L25" s="344">
        <f t="shared" si="0"/>
        <v>94469.135605557705</v>
      </c>
      <c r="M25" s="246">
        <f>'M) Police'!O25</f>
        <v>128306.10868227013</v>
      </c>
      <c r="N25" s="246">
        <f t="shared" si="1"/>
        <v>222775.24428782784</v>
      </c>
      <c r="P25" s="307"/>
      <c r="R25" s="352"/>
    </row>
    <row r="26" spans="1:18" s="165" customFormat="1" x14ac:dyDescent="0.25">
      <c r="A26" s="162">
        <f>'B) D RI'!A27</f>
        <v>5426</v>
      </c>
      <c r="B26" s="163" t="str">
        <f>'B) D RI'!B27</f>
        <v>Bougy-Villars</v>
      </c>
      <c r="C26" s="347">
        <f>'B) D RI'!S27</f>
        <v>66</v>
      </c>
      <c r="D26" s="164">
        <f>'B) D RI'!AR27</f>
        <v>483</v>
      </c>
      <c r="E26" s="345">
        <f>'D) Ecrêtage'!M25</f>
        <v>41849.005745343922</v>
      </c>
      <c r="F26" s="349">
        <f>'E) Fact soc'!G31</f>
        <v>1664729.7702949075</v>
      </c>
      <c r="G26" s="346">
        <f>'H) Péréquation directe'!I36</f>
        <v>725988.78250153351</v>
      </c>
      <c r="H26" s="349">
        <f>+'I) Dépenses thématiques'!O25</f>
        <v>0</v>
      </c>
      <c r="I26" s="346">
        <f>'K) Plafonnement aide'!J25</f>
        <v>0</v>
      </c>
      <c r="J26" s="349">
        <f>'J) Plafonnement effort'!I25</f>
        <v>0</v>
      </c>
      <c r="K26" s="346">
        <f>'L) Plafonnement taux'!Q26</f>
        <v>0</v>
      </c>
      <c r="L26" s="344">
        <f t="shared" si="0"/>
        <v>2390718.5527964411</v>
      </c>
      <c r="M26" s="246">
        <f>'M) Police'!O26</f>
        <v>93552.968622377768</v>
      </c>
      <c r="N26" s="246">
        <f t="shared" si="1"/>
        <v>2484271.5214188187</v>
      </c>
      <c r="P26" s="307"/>
      <c r="R26" s="352"/>
    </row>
    <row r="27" spans="1:18" s="165" customFormat="1" x14ac:dyDescent="0.25">
      <c r="A27" s="162">
        <f>'B) D RI'!A28</f>
        <v>5427</v>
      </c>
      <c r="B27" s="163" t="str">
        <f>'B) D RI'!B28</f>
        <v>Féchy</v>
      </c>
      <c r="C27" s="347">
        <f>'B) D RI'!S28</f>
        <v>64</v>
      </c>
      <c r="D27" s="164">
        <f>'B) D RI'!AR28</f>
        <v>895</v>
      </c>
      <c r="E27" s="345">
        <f>'D) Ecrêtage'!M26</f>
        <v>71582.758278952533</v>
      </c>
      <c r="F27" s="349">
        <f>'E) Fact soc'!G32</f>
        <v>2124800.8098297333</v>
      </c>
      <c r="G27" s="346">
        <f>'H) Péréquation directe'!I37</f>
        <v>1235004.682922543</v>
      </c>
      <c r="H27" s="349">
        <f>+'I) Dépenses thématiques'!O26</f>
        <v>0</v>
      </c>
      <c r="I27" s="346">
        <f>'K) Plafonnement aide'!J26</f>
        <v>0</v>
      </c>
      <c r="J27" s="349">
        <f>'J) Plafonnement effort'!I26</f>
        <v>0</v>
      </c>
      <c r="K27" s="346">
        <f>'L) Plafonnement taux'!Q27</f>
        <v>0</v>
      </c>
      <c r="L27" s="344">
        <f t="shared" si="0"/>
        <v>3359805.4927522764</v>
      </c>
      <c r="M27" s="246">
        <f>'M) Police'!O27</f>
        <v>165949.77973873855</v>
      </c>
      <c r="N27" s="246">
        <f t="shared" si="1"/>
        <v>3525755.272491015</v>
      </c>
      <c r="P27" s="307"/>
      <c r="R27" s="352"/>
    </row>
    <row r="28" spans="1:18" s="165" customFormat="1" x14ac:dyDescent="0.25">
      <c r="A28" s="162">
        <f>'B) D RI'!A29</f>
        <v>5428</v>
      </c>
      <c r="B28" s="163" t="str">
        <f>'B) D RI'!B29</f>
        <v>Gimel</v>
      </c>
      <c r="C28" s="347">
        <f>'B) D RI'!S29</f>
        <v>71.5</v>
      </c>
      <c r="D28" s="164">
        <f>'B) D RI'!AR29</f>
        <v>2016</v>
      </c>
      <c r="E28" s="345">
        <f>'D) Ecrêtage'!M27</f>
        <v>62694.643076923086</v>
      </c>
      <c r="F28" s="349">
        <f>'E) Fact soc'!G33</f>
        <v>1363282.8282484557</v>
      </c>
      <c r="G28" s="346">
        <f>'H) Péréquation directe'!I38</f>
        <v>148604.49115195684</v>
      </c>
      <c r="H28" s="349">
        <f>+'I) Dépenses thématiques'!O27</f>
        <v>-519152.84632904961</v>
      </c>
      <c r="I28" s="346">
        <f>'K) Plafonnement aide'!J27</f>
        <v>0</v>
      </c>
      <c r="J28" s="349">
        <f>'J) Plafonnement effort'!I27</f>
        <v>0</v>
      </c>
      <c r="K28" s="346">
        <f>'L) Plafonnement taux'!Q28</f>
        <v>0</v>
      </c>
      <c r="L28" s="344">
        <f t="shared" si="0"/>
        <v>992734.47307136282</v>
      </c>
      <c r="M28" s="246">
        <f>'M) Police'!O28</f>
        <v>193926.11072977993</v>
      </c>
      <c r="N28" s="246">
        <f t="shared" si="1"/>
        <v>1186660.5838011429</v>
      </c>
      <c r="P28" s="307"/>
      <c r="R28" s="352"/>
    </row>
    <row r="29" spans="1:18" s="165" customFormat="1" x14ac:dyDescent="0.25">
      <c r="A29" s="162">
        <f>'B) D RI'!A30</f>
        <v>5429</v>
      </c>
      <c r="B29" s="163" t="str">
        <f>'B) D RI'!B30</f>
        <v>Longirod</v>
      </c>
      <c r="C29" s="347">
        <f>'B) D RI'!S30</f>
        <v>81</v>
      </c>
      <c r="D29" s="164">
        <f>'B) D RI'!AR30</f>
        <v>469</v>
      </c>
      <c r="E29" s="345">
        <f>'D) Ecrêtage'!M28</f>
        <v>14895.063209876542</v>
      </c>
      <c r="F29" s="349">
        <f>'E) Fact soc'!G34</f>
        <v>265190.3850463811</v>
      </c>
      <c r="G29" s="346">
        <f>'H) Péréquation directe'!I39</f>
        <v>69803.289511250332</v>
      </c>
      <c r="H29" s="349">
        <f>+'I) Dépenses thématiques'!O28</f>
        <v>-94917.795331281697</v>
      </c>
      <c r="I29" s="346">
        <f>'K) Plafonnement aide'!J28</f>
        <v>0</v>
      </c>
      <c r="J29" s="349">
        <f>'J) Plafonnement effort'!I28</f>
        <v>0</v>
      </c>
      <c r="K29" s="346">
        <f>'L) Plafonnement taux'!Q29</f>
        <v>0</v>
      </c>
      <c r="L29" s="344">
        <f t="shared" si="0"/>
        <v>240075.87922634973</v>
      </c>
      <c r="M29" s="246">
        <f>'M) Police'!O29</f>
        <v>45968.588690082644</v>
      </c>
      <c r="N29" s="246">
        <f t="shared" si="1"/>
        <v>286044.46791643236</v>
      </c>
      <c r="P29" s="307"/>
      <c r="R29" s="352"/>
    </row>
    <row r="30" spans="1:18" s="165" customFormat="1" x14ac:dyDescent="0.25">
      <c r="A30" s="162">
        <f>'B) D RI'!A31</f>
        <v>5430</v>
      </c>
      <c r="B30" s="163" t="str">
        <f>'B) D RI'!B31</f>
        <v>Marchissy</v>
      </c>
      <c r="C30" s="347">
        <f>'B) D RI'!S31</f>
        <v>79</v>
      </c>
      <c r="D30" s="164">
        <f>'B) D RI'!AR31</f>
        <v>455</v>
      </c>
      <c r="E30" s="345">
        <f>'D) Ecrêtage'!M29</f>
        <v>13624.129113924049</v>
      </c>
      <c r="F30" s="349">
        <f>'E) Fact soc'!G35</f>
        <v>256647.26314555519</v>
      </c>
      <c r="G30" s="346">
        <f>'H) Péréquation directe'!I40</f>
        <v>39501.617703080265</v>
      </c>
      <c r="H30" s="349">
        <f>+'I) Dépenses thématiques'!O29</f>
        <v>-200738.54328112697</v>
      </c>
      <c r="I30" s="346">
        <f>'K) Plafonnement aide'!J29</f>
        <v>0</v>
      </c>
      <c r="J30" s="349">
        <f>'J) Plafonnement effort'!I29</f>
        <v>0</v>
      </c>
      <c r="K30" s="346">
        <f>'L) Plafonnement taux'!Q30</f>
        <v>0</v>
      </c>
      <c r="L30" s="344">
        <f t="shared" si="0"/>
        <v>95410.337567508483</v>
      </c>
      <c r="M30" s="246">
        <f>'M) Police'!O30</f>
        <v>42110.909896646903</v>
      </c>
      <c r="N30" s="246">
        <f t="shared" si="1"/>
        <v>137521.24746415537</v>
      </c>
      <c r="P30" s="307"/>
      <c r="R30" s="352"/>
    </row>
    <row r="31" spans="1:18" s="165" customFormat="1" x14ac:dyDescent="0.25">
      <c r="A31" s="162">
        <f>'B) D RI'!A32</f>
        <v>5431</v>
      </c>
      <c r="B31" s="163" t="str">
        <f>'B) D RI'!B32</f>
        <v>Mollens</v>
      </c>
      <c r="C31" s="347">
        <f>'B) D RI'!S32</f>
        <v>74</v>
      </c>
      <c r="D31" s="164">
        <f>'B) D RI'!AR32</f>
        <v>301</v>
      </c>
      <c r="E31" s="345">
        <f>'D) Ecrêtage'!M30</f>
        <v>8975.9641891891897</v>
      </c>
      <c r="F31" s="349">
        <f>'E) Fact soc'!G36</f>
        <v>149269.32504075507</v>
      </c>
      <c r="G31" s="346">
        <f>'H) Péréquation directe'!I41</f>
        <v>38223.288461347329</v>
      </c>
      <c r="H31" s="349">
        <f>+'I) Dépenses thématiques'!O30</f>
        <v>-21259.025097393016</v>
      </c>
      <c r="I31" s="346">
        <f>'K) Plafonnement aide'!J30</f>
        <v>0</v>
      </c>
      <c r="J31" s="349">
        <f>'J) Plafonnement effort'!I30</f>
        <v>0</v>
      </c>
      <c r="K31" s="346">
        <f>'L) Plafonnement taux'!Q31</f>
        <v>0</v>
      </c>
      <c r="L31" s="344">
        <f t="shared" si="0"/>
        <v>166233.58840470936</v>
      </c>
      <c r="M31" s="246">
        <f>'M) Police'!O31</f>
        <v>27787.074351594514</v>
      </c>
      <c r="N31" s="246">
        <f t="shared" si="1"/>
        <v>194020.66275630388</v>
      </c>
      <c r="P31" s="307"/>
      <c r="R31" s="352"/>
    </row>
    <row r="32" spans="1:18" s="165" customFormat="1" x14ac:dyDescent="0.25">
      <c r="A32" s="162">
        <f>'B) D RI'!A33</f>
        <v>5432</v>
      </c>
      <c r="B32" s="163" t="str">
        <f>'B) D RI'!B33</f>
        <v>Montherod</v>
      </c>
      <c r="C32" s="347">
        <f>'B) D RI'!S33</f>
        <v>78</v>
      </c>
      <c r="D32" s="164">
        <f>'B) D RI'!AR33</f>
        <v>534</v>
      </c>
      <c r="E32" s="345">
        <f>'D) Ecrêtage'!M31</f>
        <v>18019.761538461538</v>
      </c>
      <c r="F32" s="349">
        <f>'E) Fact soc'!G37</f>
        <v>330706.91573209071</v>
      </c>
      <c r="G32" s="346">
        <f>'H) Péréquation directe'!I42</f>
        <v>137878.10846937276</v>
      </c>
      <c r="H32" s="349">
        <f>+'I) Dépenses thématiques'!O31</f>
        <v>0</v>
      </c>
      <c r="I32" s="346">
        <f>'K) Plafonnement aide'!J31</f>
        <v>0</v>
      </c>
      <c r="J32" s="349">
        <f>'J) Plafonnement effort'!I31</f>
        <v>0</v>
      </c>
      <c r="K32" s="346">
        <f>'L) Plafonnement taux'!Q32</f>
        <v>0</v>
      </c>
      <c r="L32" s="344">
        <f t="shared" si="0"/>
        <v>468585.02420146344</v>
      </c>
      <c r="M32" s="246">
        <f>'M) Police'!O32</f>
        <v>55903.397040690208</v>
      </c>
      <c r="N32" s="246">
        <f t="shared" si="1"/>
        <v>524488.42124215362</v>
      </c>
      <c r="P32" s="307"/>
      <c r="R32" s="352"/>
    </row>
    <row r="33" spans="1:18" s="165" customFormat="1" x14ac:dyDescent="0.25">
      <c r="A33" s="162">
        <f>'B) D RI'!A34</f>
        <v>5434</v>
      </c>
      <c r="B33" s="163" t="str">
        <f>'B) D RI'!B34</f>
        <v>Saint-George</v>
      </c>
      <c r="C33" s="347">
        <f>'B) D RI'!S34</f>
        <v>71</v>
      </c>
      <c r="D33" s="164">
        <f>'B) D RI'!AR34</f>
        <v>1031</v>
      </c>
      <c r="E33" s="345">
        <f>'D) Ecrêtage'!M32</f>
        <v>37243.682394366202</v>
      </c>
      <c r="F33" s="349">
        <f>'E) Fact soc'!G38</f>
        <v>784102.33948151662</v>
      </c>
      <c r="G33" s="346">
        <f>'H) Péréquation directe'!I43</f>
        <v>400156.53354745009</v>
      </c>
      <c r="H33" s="349">
        <f>+'I) Dépenses thématiques'!O32</f>
        <v>-62648.607874679867</v>
      </c>
      <c r="I33" s="346">
        <f>'K) Plafonnement aide'!J32</f>
        <v>0</v>
      </c>
      <c r="J33" s="349">
        <f>'J) Plafonnement effort'!I32</f>
        <v>0</v>
      </c>
      <c r="K33" s="346">
        <f>'L) Plafonnement taux'!Q33</f>
        <v>0</v>
      </c>
      <c r="L33" s="344">
        <f t="shared" si="0"/>
        <v>1121610.2651542868</v>
      </c>
      <c r="M33" s="246">
        <f>'M) Police'!O33</f>
        <v>114698.43137406849</v>
      </c>
      <c r="N33" s="246">
        <f t="shared" si="1"/>
        <v>1236308.6965283551</v>
      </c>
      <c r="P33" s="307"/>
      <c r="R33" s="352"/>
    </row>
    <row r="34" spans="1:18" s="165" customFormat="1" x14ac:dyDescent="0.25">
      <c r="A34" s="162">
        <f>'B) D RI'!A35</f>
        <v>5435</v>
      </c>
      <c r="B34" s="163" t="str">
        <f>'B) D RI'!B35</f>
        <v>Saint-Livres</v>
      </c>
      <c r="C34" s="347">
        <f>'B) D RI'!S35</f>
        <v>69</v>
      </c>
      <c r="D34" s="164">
        <f>'B) D RI'!AR35</f>
        <v>683</v>
      </c>
      <c r="E34" s="345">
        <f>'D) Ecrêtage'!M33</f>
        <v>25784.308260869562</v>
      </c>
      <c r="F34" s="349">
        <f>'E) Fact soc'!G39</f>
        <v>391560.41549274296</v>
      </c>
      <c r="G34" s="346">
        <f>'H) Péréquation directe'!I44</f>
        <v>318313.40483104181</v>
      </c>
      <c r="H34" s="349">
        <f>+'I) Dépenses thématiques'!O33</f>
        <v>-37064.746091579887</v>
      </c>
      <c r="I34" s="346">
        <f>'K) Plafonnement aide'!J33</f>
        <v>0</v>
      </c>
      <c r="J34" s="349">
        <f>'J) Plafonnement effort'!I33</f>
        <v>0</v>
      </c>
      <c r="K34" s="346">
        <f>'L) Plafonnement taux'!Q34</f>
        <v>0</v>
      </c>
      <c r="L34" s="344">
        <f t="shared" si="0"/>
        <v>672809.07423220493</v>
      </c>
      <c r="M34" s="246">
        <f>'M) Police'!O34</f>
        <v>80077.746783243434</v>
      </c>
      <c r="N34" s="246">
        <f t="shared" si="1"/>
        <v>752886.82101544831</v>
      </c>
      <c r="P34" s="307"/>
      <c r="R34" s="352"/>
    </row>
    <row r="35" spans="1:18" s="165" customFormat="1" x14ac:dyDescent="0.25">
      <c r="A35" s="162">
        <f>'B) D RI'!A36</f>
        <v>5436</v>
      </c>
      <c r="B35" s="163" t="str">
        <f>'B) D RI'!B36</f>
        <v>Saint-Oyens</v>
      </c>
      <c r="C35" s="347">
        <f>'B) D RI'!S36</f>
        <v>81</v>
      </c>
      <c r="D35" s="164">
        <f>'B) D RI'!AR36</f>
        <v>366</v>
      </c>
      <c r="E35" s="345">
        <f>'D) Ecrêtage'!M34</f>
        <v>11330.196234567902</v>
      </c>
      <c r="F35" s="349">
        <f>'E) Fact soc'!G40</f>
        <v>256408.9173609456</v>
      </c>
      <c r="G35" s="346">
        <f>'H) Péréquation directe'!I45</f>
        <v>41393.597775749426</v>
      </c>
      <c r="H35" s="349">
        <f>+'I) Dépenses thématiques'!O34</f>
        <v>-123647.44584529736</v>
      </c>
      <c r="I35" s="346">
        <f>'K) Plafonnement aide'!J34</f>
        <v>0</v>
      </c>
      <c r="J35" s="349">
        <f>'J) Plafonnement effort'!I34</f>
        <v>0</v>
      </c>
      <c r="K35" s="346">
        <f>'L) Plafonnement taux'!Q35</f>
        <v>0</v>
      </c>
      <c r="L35" s="344">
        <f t="shared" si="0"/>
        <v>174155.06929139764</v>
      </c>
      <c r="M35" s="246">
        <f>'M) Police'!O35</f>
        <v>35220.698765741086</v>
      </c>
      <c r="N35" s="246">
        <f t="shared" si="1"/>
        <v>209375.76805713872</v>
      </c>
      <c r="P35" s="307"/>
      <c r="R35" s="352"/>
    </row>
    <row r="36" spans="1:18" s="165" customFormat="1" x14ac:dyDescent="0.25">
      <c r="A36" s="162">
        <f>'B) D RI'!A37</f>
        <v>5437</v>
      </c>
      <c r="B36" s="163" t="str">
        <f>'B) D RI'!B37</f>
        <v>Saubraz</v>
      </c>
      <c r="C36" s="347">
        <f>'B) D RI'!S37</f>
        <v>80</v>
      </c>
      <c r="D36" s="164">
        <f>'B) D RI'!AR37</f>
        <v>420</v>
      </c>
      <c r="E36" s="345">
        <f>'D) Ecrêtage'!M35</f>
        <v>9948.7022499999985</v>
      </c>
      <c r="F36" s="349">
        <f>'E) Fact soc'!G41</f>
        <v>171681.94120820408</v>
      </c>
      <c r="G36" s="346">
        <f>'H) Péréquation directe'!I46</f>
        <v>-82817.365267852612</v>
      </c>
      <c r="H36" s="349">
        <f>+'I) Dépenses thématiques'!O35</f>
        <v>-65614.718426368636</v>
      </c>
      <c r="I36" s="346">
        <f>'K) Plafonnement aide'!J35</f>
        <v>0</v>
      </c>
      <c r="J36" s="349">
        <f>'J) Plafonnement effort'!I35</f>
        <v>0</v>
      </c>
      <c r="K36" s="346">
        <f>'L) Plafonnement taux'!Q36</f>
        <v>0</v>
      </c>
      <c r="L36" s="344">
        <f t="shared" si="0"/>
        <v>23249.857513982832</v>
      </c>
      <c r="M36" s="246">
        <f>'M) Police'!O36</f>
        <v>30632.351962469991</v>
      </c>
      <c r="N36" s="246">
        <f t="shared" si="1"/>
        <v>53882.209476452823</v>
      </c>
      <c r="P36" s="307"/>
      <c r="R36" s="352"/>
    </row>
    <row r="37" spans="1:18" s="165" customFormat="1" x14ac:dyDescent="0.25">
      <c r="A37" s="162">
        <f>'B) D RI'!A38</f>
        <v>5451</v>
      </c>
      <c r="B37" s="163" t="str">
        <f>'B) D RI'!B38</f>
        <v>Avenches</v>
      </c>
      <c r="C37" s="347">
        <f>'B) D RI'!S38</f>
        <v>68</v>
      </c>
      <c r="D37" s="164">
        <f>'B) D RI'!AR38</f>
        <v>4210</v>
      </c>
      <c r="E37" s="345">
        <f>'D) Ecrêtage'!M36</f>
        <v>97584.0206372549</v>
      </c>
      <c r="F37" s="349">
        <f>'E) Fact soc'!G42</f>
        <v>1918546.5524765793</v>
      </c>
      <c r="G37" s="346">
        <f>'H) Péréquation directe'!I47</f>
        <v>-1254541.770183075</v>
      </c>
      <c r="H37" s="349">
        <f>+'I) Dépenses thématiques'!O36</f>
        <v>-1533210.4895041583</v>
      </c>
      <c r="I37" s="346">
        <f>'K) Plafonnement aide'!J36</f>
        <v>0</v>
      </c>
      <c r="J37" s="349">
        <f>'J) Plafonnement effort'!I36</f>
        <v>0</v>
      </c>
      <c r="K37" s="346">
        <f>'L) Plafonnement taux'!Q37</f>
        <v>0</v>
      </c>
      <c r="L37" s="344">
        <f t="shared" si="0"/>
        <v>-869205.70721065393</v>
      </c>
      <c r="M37" s="246">
        <f>'M) Police'!O37</f>
        <v>289627.91213512048</v>
      </c>
      <c r="N37" s="246">
        <f t="shared" si="1"/>
        <v>-579577.79507553345</v>
      </c>
      <c r="P37" s="307"/>
      <c r="R37" s="352"/>
    </row>
    <row r="38" spans="1:18" s="165" customFormat="1" x14ac:dyDescent="0.25">
      <c r="A38" s="162">
        <f>'B) D RI'!A39</f>
        <v>5456</v>
      </c>
      <c r="B38" s="163" t="str">
        <f>'B) D RI'!B39</f>
        <v>Cudrefin</v>
      </c>
      <c r="C38" s="347">
        <f>'B) D RI'!S39</f>
        <v>59</v>
      </c>
      <c r="D38" s="164">
        <f>'B) D RI'!AR39</f>
        <v>1589</v>
      </c>
      <c r="E38" s="345">
        <f>'D) Ecrêtage'!M37</f>
        <v>55901.49875706216</v>
      </c>
      <c r="F38" s="349">
        <f>'E) Fact soc'!G43</f>
        <v>1027971.7545347136</v>
      </c>
      <c r="G38" s="346">
        <f>'H) Péréquation directe'!I48</f>
        <v>519940.16430820734</v>
      </c>
      <c r="H38" s="349">
        <f>+'I) Dépenses thématiques'!O37</f>
        <v>-289814.71284318762</v>
      </c>
      <c r="I38" s="346">
        <f>'K) Plafonnement aide'!J37</f>
        <v>0</v>
      </c>
      <c r="J38" s="349">
        <f>'J) Plafonnement effort'!I37</f>
        <v>0</v>
      </c>
      <c r="K38" s="346">
        <f>'L) Plafonnement taux'!Q38</f>
        <v>0</v>
      </c>
      <c r="L38" s="344">
        <f t="shared" si="0"/>
        <v>1258097.2059997334</v>
      </c>
      <c r="M38" s="246">
        <f>'M) Police'!O38</f>
        <v>171008.52448828844</v>
      </c>
      <c r="N38" s="246">
        <f t="shared" si="1"/>
        <v>1429105.7304880219</v>
      </c>
      <c r="P38" s="307"/>
      <c r="R38" s="352"/>
    </row>
    <row r="39" spans="1:18" s="165" customFormat="1" x14ac:dyDescent="0.25">
      <c r="A39" s="162">
        <f>'B) D RI'!A40</f>
        <v>5458</v>
      </c>
      <c r="B39" s="163" t="str">
        <f>'B) D RI'!B40</f>
        <v>Faoug</v>
      </c>
      <c r="C39" s="347">
        <f>'B) D RI'!S40</f>
        <v>64</v>
      </c>
      <c r="D39" s="164">
        <f>'B) D RI'!AR40</f>
        <v>893</v>
      </c>
      <c r="E39" s="345">
        <f>'D) Ecrêtage'!M38</f>
        <v>34800.236562500002</v>
      </c>
      <c r="F39" s="349">
        <f>'E) Fact soc'!G44</f>
        <v>652223.01801633672</v>
      </c>
      <c r="G39" s="346">
        <f>'H) Péréquation directe'!I49</f>
        <v>470600.14237907785</v>
      </c>
      <c r="H39" s="349">
        <f>+'I) Dépenses thématiques'!O38</f>
        <v>-83884.130468641437</v>
      </c>
      <c r="I39" s="346">
        <f>'K) Plafonnement aide'!J38</f>
        <v>0</v>
      </c>
      <c r="J39" s="349">
        <f>'J) Plafonnement effort'!I38</f>
        <v>0</v>
      </c>
      <c r="K39" s="346">
        <f>'L) Plafonnement taux'!Q39</f>
        <v>0</v>
      </c>
      <c r="L39" s="344">
        <f t="shared" si="0"/>
        <v>1038939.0299267732</v>
      </c>
      <c r="M39" s="246">
        <f>'M) Police'!O39</f>
        <v>107532.79116125063</v>
      </c>
      <c r="N39" s="246">
        <f t="shared" si="1"/>
        <v>1146471.8210880237</v>
      </c>
      <c r="P39" s="307"/>
      <c r="R39" s="352"/>
    </row>
    <row r="40" spans="1:18" s="165" customFormat="1" x14ac:dyDescent="0.25">
      <c r="A40" s="162">
        <f>'B) D RI'!A41</f>
        <v>5464</v>
      </c>
      <c r="B40" s="163" t="str">
        <f>'B) D RI'!B41</f>
        <v>Vully-les-Lacs</v>
      </c>
      <c r="C40" s="347">
        <f>'B) D RI'!S41</f>
        <v>67</v>
      </c>
      <c r="D40" s="164">
        <f>'B) D RI'!AR41</f>
        <v>3080</v>
      </c>
      <c r="E40" s="345">
        <f>'D) Ecrêtage'!M39</f>
        <v>98954.06119402984</v>
      </c>
      <c r="F40" s="349">
        <f>'E) Fact soc'!G45</f>
        <v>1786695.463595578</v>
      </c>
      <c r="G40" s="346">
        <f>'H) Péréquation directe'!I50</f>
        <v>304335.07716056611</v>
      </c>
      <c r="H40" s="349">
        <f>+'I) Dépenses thématiques'!O39</f>
        <v>-459421.12814760528</v>
      </c>
      <c r="I40" s="346">
        <f>'K) Plafonnement aide'!J39</f>
        <v>0</v>
      </c>
      <c r="J40" s="349">
        <f>'J) Plafonnement effort'!I39</f>
        <v>0</v>
      </c>
      <c r="K40" s="346">
        <f>'L) Plafonnement taux'!Q40</f>
        <v>0</v>
      </c>
      <c r="L40" s="344">
        <f t="shared" si="0"/>
        <v>1631609.4126085388</v>
      </c>
      <c r="M40" s="246">
        <f>'M) Police'!O40</f>
        <v>302849.17846146994</v>
      </c>
      <c r="N40" s="246">
        <f t="shared" si="1"/>
        <v>1934458.5910700087</v>
      </c>
      <c r="P40" s="307"/>
      <c r="R40" s="352"/>
    </row>
    <row r="41" spans="1:18" s="165" customFormat="1" x14ac:dyDescent="0.25">
      <c r="A41" s="162">
        <f>'B) D RI'!A42</f>
        <v>5471</v>
      </c>
      <c r="B41" s="163" t="str">
        <f>'B) D RI'!B42</f>
        <v>Bettens</v>
      </c>
      <c r="C41" s="347">
        <f>'B) D RI'!S42</f>
        <v>70</v>
      </c>
      <c r="D41" s="164">
        <f>'B) D RI'!AR42</f>
        <v>574</v>
      </c>
      <c r="E41" s="345">
        <f>'D) Ecrêtage'!M40</f>
        <v>19215.411857142855</v>
      </c>
      <c r="F41" s="349">
        <f>'E) Fact soc'!G46</f>
        <v>395879.93978429388</v>
      </c>
      <c r="G41" s="346">
        <f>'H) Péréquation directe'!I51</f>
        <v>172169.69797533739</v>
      </c>
      <c r="H41" s="349">
        <f>+'I) Dépenses thématiques'!O40</f>
        <v>0</v>
      </c>
      <c r="I41" s="346">
        <f>'K) Plafonnement aide'!J40</f>
        <v>0</v>
      </c>
      <c r="J41" s="349">
        <f>'J) Plafonnement effort'!I40</f>
        <v>0</v>
      </c>
      <c r="K41" s="346">
        <f>'L) Plafonnement taux'!Q41</f>
        <v>0</v>
      </c>
      <c r="L41" s="344">
        <f t="shared" si="0"/>
        <v>568049.63775963127</v>
      </c>
      <c r="M41" s="246">
        <f>'M) Police'!O41</f>
        <v>59072.507907839856</v>
      </c>
      <c r="N41" s="246">
        <f t="shared" si="1"/>
        <v>627122.14566747111</v>
      </c>
      <c r="P41" s="307"/>
      <c r="R41" s="352"/>
    </row>
    <row r="42" spans="1:18" s="165" customFormat="1" x14ac:dyDescent="0.25">
      <c r="A42" s="162">
        <f>'B) D RI'!A43</f>
        <v>5472</v>
      </c>
      <c r="B42" s="163" t="str">
        <f>'B) D RI'!B43</f>
        <v>Bournens</v>
      </c>
      <c r="C42" s="347">
        <f>'B) D RI'!S43</f>
        <v>80</v>
      </c>
      <c r="D42" s="164">
        <f>'B) D RI'!AR43</f>
        <v>419</v>
      </c>
      <c r="E42" s="345">
        <f>'D) Ecrêtage'!M41</f>
        <v>15134.969000000003</v>
      </c>
      <c r="F42" s="349">
        <f>'E) Fact soc'!G47</f>
        <v>252600.00851148245</v>
      </c>
      <c r="G42" s="346">
        <f>'H) Péréquation directe'!I52</f>
        <v>146095.4748375889</v>
      </c>
      <c r="H42" s="349">
        <f>+'I) Dépenses thématiques'!O41</f>
        <v>-35133.964930793089</v>
      </c>
      <c r="I42" s="346">
        <f>'K) Plafonnement aide'!J41</f>
        <v>0</v>
      </c>
      <c r="J42" s="349">
        <f>'J) Plafonnement effort'!I41</f>
        <v>0</v>
      </c>
      <c r="K42" s="346">
        <f>'L) Plafonnement taux'!Q42</f>
        <v>0</v>
      </c>
      <c r="L42" s="344">
        <f t="shared" si="0"/>
        <v>363561.51841827825</v>
      </c>
      <c r="M42" s="246">
        <f>'M) Police'!O42</f>
        <v>47117.084341193418</v>
      </c>
      <c r="N42" s="246">
        <f t="shared" si="1"/>
        <v>410678.60275947169</v>
      </c>
      <c r="P42" s="307"/>
      <c r="R42" s="352"/>
    </row>
    <row r="43" spans="1:18" s="165" customFormat="1" x14ac:dyDescent="0.25">
      <c r="A43" s="162">
        <f>'B) D RI'!A44</f>
        <v>5473</v>
      </c>
      <c r="B43" s="163" t="str">
        <f>'B) D RI'!B44</f>
        <v>Boussens</v>
      </c>
      <c r="C43" s="347">
        <f>'B) D RI'!S44</f>
        <v>69</v>
      </c>
      <c r="D43" s="164">
        <f>'B) D RI'!AR44</f>
        <v>982</v>
      </c>
      <c r="E43" s="345">
        <f>'D) Ecrêtage'!M42</f>
        <v>33278.780724637691</v>
      </c>
      <c r="F43" s="349">
        <f>'E) Fact soc'!G48</f>
        <v>546557.41745165014</v>
      </c>
      <c r="G43" s="346">
        <f>'H) Péréquation directe'!I53</f>
        <v>315826.18252981722</v>
      </c>
      <c r="H43" s="349">
        <f>+'I) Dépenses thématiques'!O42</f>
        <v>0</v>
      </c>
      <c r="I43" s="346">
        <f>'K) Plafonnement aide'!J42</f>
        <v>0</v>
      </c>
      <c r="J43" s="349">
        <f>'J) Plafonnement effort'!I42</f>
        <v>0</v>
      </c>
      <c r="K43" s="346">
        <f>'L) Plafonnement taux'!Q43</f>
        <v>0</v>
      </c>
      <c r="L43" s="344">
        <f t="shared" si="0"/>
        <v>862383.59998146736</v>
      </c>
      <c r="M43" s="246">
        <f>'M) Police'!O43</f>
        <v>103007.23052355522</v>
      </c>
      <c r="N43" s="246">
        <f t="shared" si="1"/>
        <v>965390.83050502255</v>
      </c>
      <c r="P43" s="307"/>
      <c r="R43" s="352"/>
    </row>
    <row r="44" spans="1:18" s="165" customFormat="1" x14ac:dyDescent="0.25">
      <c r="A44" s="162">
        <f>'B) D RI'!A45</f>
        <v>5474</v>
      </c>
      <c r="B44" s="163" t="str">
        <f>'B) D RI'!B45</f>
        <v>La Chaux (Cossonay)</v>
      </c>
      <c r="C44" s="347">
        <f>'B) D RI'!S45</f>
        <v>77</v>
      </c>
      <c r="D44" s="164">
        <f>'B) D RI'!AR45</f>
        <v>420</v>
      </c>
      <c r="E44" s="345">
        <f>'D) Ecrêtage'!M43</f>
        <v>13413.30380952381</v>
      </c>
      <c r="F44" s="349">
        <f>'E) Fact soc'!G49</f>
        <v>309292.38778300624</v>
      </c>
      <c r="G44" s="346">
        <f>'H) Péréquation directe'!I54</f>
        <v>79375.91369778465</v>
      </c>
      <c r="H44" s="349">
        <f>+'I) Dépenses thématiques'!O43</f>
        <v>-99328.325975120184</v>
      </c>
      <c r="I44" s="346">
        <f>'K) Plafonnement aide'!J43</f>
        <v>0</v>
      </c>
      <c r="J44" s="349">
        <f>'J) Plafonnement effort'!I43</f>
        <v>0</v>
      </c>
      <c r="K44" s="346">
        <f>'L) Plafonnement taux'!Q44</f>
        <v>0</v>
      </c>
      <c r="L44" s="344">
        <f t="shared" si="0"/>
        <v>289339.97550567071</v>
      </c>
      <c r="M44" s="246">
        <f>'M) Police'!O44</f>
        <v>41692.345420225174</v>
      </c>
      <c r="N44" s="246">
        <f t="shared" si="1"/>
        <v>331032.32092589588</v>
      </c>
      <c r="P44" s="307"/>
      <c r="R44" s="352"/>
    </row>
    <row r="45" spans="1:18" s="165" customFormat="1" x14ac:dyDescent="0.25">
      <c r="A45" s="162">
        <f>'B) D RI'!A46</f>
        <v>5475</v>
      </c>
      <c r="B45" s="163" t="str">
        <f>'B) D RI'!B46</f>
        <v>Chavannes-le-Veyron</v>
      </c>
      <c r="C45" s="347">
        <f>'B) D RI'!S46</f>
        <v>77</v>
      </c>
      <c r="D45" s="164">
        <f>'B) D RI'!AR46</f>
        <v>141</v>
      </c>
      <c r="E45" s="345">
        <f>'D) Ecrêtage'!M44</f>
        <v>3783.0914285714284</v>
      </c>
      <c r="F45" s="349">
        <f>'E) Fact soc'!G50</f>
        <v>59553.717440961795</v>
      </c>
      <c r="G45" s="346">
        <f>'H) Péréquation directe'!I55</f>
        <v>-3611.4268440877495</v>
      </c>
      <c r="H45" s="349">
        <f>+'I) Dépenses thématiques'!O44</f>
        <v>-40855.082416685313</v>
      </c>
      <c r="I45" s="346">
        <f>'K) Plafonnement aide'!J44</f>
        <v>0</v>
      </c>
      <c r="J45" s="349">
        <f>'J) Plafonnement effort'!I44</f>
        <v>0</v>
      </c>
      <c r="K45" s="346">
        <f>'L) Plafonnement taux'!Q45</f>
        <v>0</v>
      </c>
      <c r="L45" s="344">
        <f t="shared" si="0"/>
        <v>15087.208180188733</v>
      </c>
      <c r="M45" s="246">
        <f>'M) Police'!O45</f>
        <v>11676.679909470673</v>
      </c>
      <c r="N45" s="246">
        <f t="shared" si="1"/>
        <v>26763.888089659406</v>
      </c>
      <c r="P45" s="307"/>
      <c r="R45" s="352"/>
    </row>
    <row r="46" spans="1:18" s="165" customFormat="1" x14ac:dyDescent="0.25">
      <c r="A46" s="162">
        <f>'B) D RI'!A47</f>
        <v>5476</v>
      </c>
      <c r="B46" s="163" t="str">
        <f>'B) D RI'!B47</f>
        <v>Chevilly</v>
      </c>
      <c r="C46" s="347">
        <f>'B) D RI'!S47</f>
        <v>74</v>
      </c>
      <c r="D46" s="164">
        <f>'B) D RI'!AR47</f>
        <v>298</v>
      </c>
      <c r="E46" s="345">
        <f>'D) Ecrêtage'!M45</f>
        <v>10089.483198198201</v>
      </c>
      <c r="F46" s="349">
        <f>'E) Fact soc'!G51</f>
        <v>153699.78945996077</v>
      </c>
      <c r="G46" s="346">
        <f>'H) Péréquation directe'!I56</f>
        <v>86239.345563469673</v>
      </c>
      <c r="H46" s="349">
        <f>+'I) Dépenses thématiques'!O45</f>
        <v>-32263.138676660437</v>
      </c>
      <c r="I46" s="346">
        <f>'K) Plafonnement aide'!J45</f>
        <v>0</v>
      </c>
      <c r="J46" s="349">
        <f>'J) Plafonnement effort'!I45</f>
        <v>0</v>
      </c>
      <c r="K46" s="346">
        <f>'L) Plafonnement taux'!Q46</f>
        <v>0</v>
      </c>
      <c r="L46" s="344">
        <f t="shared" si="0"/>
        <v>207675.99634677003</v>
      </c>
      <c r="M46" s="246">
        <f>'M) Police'!O46</f>
        <v>31172.75423882504</v>
      </c>
      <c r="N46" s="246">
        <f t="shared" si="1"/>
        <v>238848.75058559506</v>
      </c>
      <c r="P46" s="307"/>
      <c r="R46" s="352"/>
    </row>
    <row r="47" spans="1:18" s="165" customFormat="1" x14ac:dyDescent="0.25">
      <c r="A47" s="162">
        <f>'B) D RI'!A48</f>
        <v>5477</v>
      </c>
      <c r="B47" s="163" t="str">
        <f>'B) D RI'!B48</f>
        <v>Cossonay</v>
      </c>
      <c r="C47" s="347">
        <f>'B) D RI'!S48</f>
        <v>71</v>
      </c>
      <c r="D47" s="164">
        <f>'B) D RI'!AR48</f>
        <v>3808</v>
      </c>
      <c r="E47" s="345">
        <f>'D) Ecrêtage'!M46</f>
        <v>126013.2271830986</v>
      </c>
      <c r="F47" s="349">
        <f>'E) Fact soc'!G52</f>
        <v>2480317.1199492486</v>
      </c>
      <c r="G47" s="346">
        <f>'H) Péréquation directe'!I57</f>
        <v>248417.64880334679</v>
      </c>
      <c r="H47" s="349">
        <f>+'I) Dépenses thématiques'!O46</f>
        <v>-530753.2696623815</v>
      </c>
      <c r="I47" s="346">
        <f>'K) Plafonnement aide'!J46</f>
        <v>0</v>
      </c>
      <c r="J47" s="349">
        <f>'J) Plafonnement effort'!I46</f>
        <v>0</v>
      </c>
      <c r="K47" s="346">
        <f>'L) Plafonnement taux'!Q47</f>
        <v>0</v>
      </c>
      <c r="L47" s="344">
        <f t="shared" si="0"/>
        <v>2197981.4990902138</v>
      </c>
      <c r="M47" s="246">
        <f>'M) Police'!O47</f>
        <v>391549.69521189877</v>
      </c>
      <c r="N47" s="246">
        <f t="shared" si="1"/>
        <v>2589531.1943021128</v>
      </c>
      <c r="P47" s="307"/>
      <c r="R47" s="352"/>
    </row>
    <row r="48" spans="1:18" s="165" customFormat="1" x14ac:dyDescent="0.25">
      <c r="A48" s="162">
        <f>'B) D RI'!A49</f>
        <v>5478</v>
      </c>
      <c r="B48" s="163" t="str">
        <f>'B) D RI'!B49</f>
        <v>Cottens</v>
      </c>
      <c r="C48" s="347">
        <f>'B) D RI'!S49</f>
        <v>74</v>
      </c>
      <c r="D48" s="164">
        <f>'B) D RI'!AR49</f>
        <v>477</v>
      </c>
      <c r="E48" s="345">
        <f>'D) Ecrêtage'!M47</f>
        <v>17030.362972972973</v>
      </c>
      <c r="F48" s="349">
        <f>'E) Fact soc'!G53</f>
        <v>296068.04944612284</v>
      </c>
      <c r="G48" s="346">
        <f>'H) Péréquation directe'!I58</f>
        <v>173460.88083062705</v>
      </c>
      <c r="H48" s="349">
        <f>+'I) Dépenses thématiques'!O47</f>
        <v>-28116.972013067189</v>
      </c>
      <c r="I48" s="346">
        <f>'K) Plafonnement aide'!J47</f>
        <v>0</v>
      </c>
      <c r="J48" s="349">
        <f>'J) Plafonnement effort'!I47</f>
        <v>0</v>
      </c>
      <c r="K48" s="346">
        <f>'L) Plafonnement taux'!Q48</f>
        <v>0</v>
      </c>
      <c r="L48" s="344">
        <f t="shared" si="0"/>
        <v>441411.95826368273</v>
      </c>
      <c r="M48" s="246">
        <f>'M) Police'!O48</f>
        <v>53088.033236260111</v>
      </c>
      <c r="N48" s="246">
        <f t="shared" si="1"/>
        <v>494499.99149994284</v>
      </c>
      <c r="P48" s="307"/>
      <c r="R48" s="352"/>
    </row>
    <row r="49" spans="1:18" s="165" customFormat="1" x14ac:dyDescent="0.25">
      <c r="A49" s="162">
        <f>'B) D RI'!A50</f>
        <v>5479</v>
      </c>
      <c r="B49" s="163" t="str">
        <f>'B) D RI'!B50</f>
        <v>Cuarnens</v>
      </c>
      <c r="C49" s="347">
        <f>'B) D RI'!S50</f>
        <v>77</v>
      </c>
      <c r="D49" s="164">
        <f>'B) D RI'!AR50</f>
        <v>479</v>
      </c>
      <c r="E49" s="345">
        <f>'D) Ecrêtage'!M48</f>
        <v>19628.392987012987</v>
      </c>
      <c r="F49" s="349">
        <f>'E) Fact soc'!G54</f>
        <v>357375.52190909226</v>
      </c>
      <c r="G49" s="346">
        <f>'H) Péréquation directe'!I59</f>
        <v>272549.79084622517</v>
      </c>
      <c r="H49" s="349">
        <f>+'I) Dépenses thématiques'!O48</f>
        <v>-105620.07613710273</v>
      </c>
      <c r="I49" s="346">
        <f>'K) Plafonnement aide'!J48</f>
        <v>0</v>
      </c>
      <c r="J49" s="349">
        <f>'J) Plafonnement effort'!I48</f>
        <v>0</v>
      </c>
      <c r="K49" s="346">
        <f>'L) Plafonnement taux'!Q49</f>
        <v>0</v>
      </c>
      <c r="L49" s="344">
        <f t="shared" si="0"/>
        <v>524305.23661821475</v>
      </c>
      <c r="M49" s="246">
        <f>'M) Police'!O49</f>
        <v>61305.89514346778</v>
      </c>
      <c r="N49" s="246">
        <f t="shared" si="1"/>
        <v>585611.13176168257</v>
      </c>
      <c r="P49" s="307"/>
      <c r="R49" s="352"/>
    </row>
    <row r="50" spans="1:18" s="165" customFormat="1" x14ac:dyDescent="0.25">
      <c r="A50" s="162">
        <f>'B) D RI'!A51</f>
        <v>5480</v>
      </c>
      <c r="B50" s="163" t="str">
        <f>'B) D RI'!B51</f>
        <v>Daillens</v>
      </c>
      <c r="C50" s="347">
        <f>'B) D RI'!S51</f>
        <v>71</v>
      </c>
      <c r="D50" s="164">
        <f>'B) D RI'!AR51</f>
        <v>998</v>
      </c>
      <c r="E50" s="345">
        <f>'D) Ecrêtage'!M49</f>
        <v>41809.315211267603</v>
      </c>
      <c r="F50" s="349">
        <f>'E) Fact soc'!G55</f>
        <v>704341.26490540081</v>
      </c>
      <c r="G50" s="346">
        <f>'H) Péréquation directe'!I60</f>
        <v>616453.45148613455</v>
      </c>
      <c r="H50" s="349">
        <f>+'I) Dépenses thématiques'!O49</f>
        <v>-122097.1197969551</v>
      </c>
      <c r="I50" s="346">
        <f>'K) Plafonnement aide'!J49</f>
        <v>0</v>
      </c>
      <c r="J50" s="349">
        <f>'J) Plafonnement effort'!I49</f>
        <v>0</v>
      </c>
      <c r="K50" s="346">
        <f>'L) Plafonnement taux'!Q50</f>
        <v>0</v>
      </c>
      <c r="L50" s="344">
        <f t="shared" si="0"/>
        <v>1198697.5965945804</v>
      </c>
      <c r="M50" s="246">
        <f>'M) Police'!O50</f>
        <v>127439.44425656978</v>
      </c>
      <c r="N50" s="246">
        <f t="shared" si="1"/>
        <v>1326137.0408511502</v>
      </c>
      <c r="P50" s="307"/>
      <c r="R50" s="352"/>
    </row>
    <row r="51" spans="1:18" s="165" customFormat="1" x14ac:dyDescent="0.25">
      <c r="A51" s="162">
        <f>'B) D RI'!A52</f>
        <v>5481</v>
      </c>
      <c r="B51" s="163" t="str">
        <f>'B) D RI'!B52</f>
        <v>Dizy</v>
      </c>
      <c r="C51" s="347">
        <f>'B) D RI'!S52</f>
        <v>79</v>
      </c>
      <c r="D51" s="164">
        <f>'B) D RI'!AR52</f>
        <v>229</v>
      </c>
      <c r="E51" s="345">
        <f>'D) Ecrêtage'!M50</f>
        <v>8477.634430379745</v>
      </c>
      <c r="F51" s="349">
        <f>'E) Fact soc'!G56</f>
        <v>136104.74972420218</v>
      </c>
      <c r="G51" s="346">
        <f>'H) Péréquation directe'!I61</f>
        <v>90004.225936056057</v>
      </c>
      <c r="H51" s="349">
        <f>+'I) Dépenses thématiques'!O50</f>
        <v>-6723.0856723155603</v>
      </c>
      <c r="I51" s="346">
        <f>'K) Plafonnement aide'!J50</f>
        <v>0</v>
      </c>
      <c r="J51" s="349">
        <f>'J) Plafonnement effort'!I50</f>
        <v>0</v>
      </c>
      <c r="K51" s="346">
        <f>'L) Plafonnement taux'!Q51</f>
        <v>0</v>
      </c>
      <c r="L51" s="344">
        <f t="shared" si="0"/>
        <v>219385.88998794268</v>
      </c>
      <c r="M51" s="246">
        <f>'M) Police'!O51</f>
        <v>26539.320429855467</v>
      </c>
      <c r="N51" s="246">
        <f t="shared" si="1"/>
        <v>245925.21041779814</v>
      </c>
      <c r="P51" s="307"/>
      <c r="R51" s="352"/>
    </row>
    <row r="52" spans="1:18" s="165" customFormat="1" x14ac:dyDescent="0.25">
      <c r="A52" s="162">
        <f>'B) D RI'!A53</f>
        <v>5482</v>
      </c>
      <c r="B52" s="163" t="str">
        <f>'B) D RI'!B53</f>
        <v>Eclépens</v>
      </c>
      <c r="C52" s="347">
        <f>'B) D RI'!S53</f>
        <v>46</v>
      </c>
      <c r="D52" s="164">
        <f>'B) D RI'!AR53</f>
        <v>1091</v>
      </c>
      <c r="E52" s="345">
        <f>'D) Ecrêtage'!M51</f>
        <v>50368.719782608692</v>
      </c>
      <c r="F52" s="349">
        <f>'E) Fact soc'!G57</f>
        <v>1021837.5612571582</v>
      </c>
      <c r="G52" s="346">
        <f>'H) Péréquation directe'!I62</f>
        <v>800960.16520596331</v>
      </c>
      <c r="H52" s="349">
        <f>+'I) Dépenses thématiques'!O51</f>
        <v>-84107.361400725174</v>
      </c>
      <c r="I52" s="346">
        <f>'K) Plafonnement aide'!J51</f>
        <v>0</v>
      </c>
      <c r="J52" s="349">
        <f>'J) Plafonnement effort'!I51</f>
        <v>0</v>
      </c>
      <c r="K52" s="346">
        <f>'L) Plafonnement taux'!Q52</f>
        <v>0</v>
      </c>
      <c r="L52" s="344">
        <f t="shared" si="0"/>
        <v>1738690.3650623963</v>
      </c>
      <c r="M52" s="246">
        <f>'M) Police'!O52</f>
        <v>144622.12250666122</v>
      </c>
      <c r="N52" s="246">
        <f t="shared" si="1"/>
        <v>1883312.4875690574</v>
      </c>
      <c r="P52" s="307"/>
      <c r="R52" s="352"/>
    </row>
    <row r="53" spans="1:18" s="165" customFormat="1" x14ac:dyDescent="0.25">
      <c r="A53" s="162">
        <f>'B) D RI'!A54</f>
        <v>5483</v>
      </c>
      <c r="B53" s="163" t="str">
        <f>'B) D RI'!B54</f>
        <v>Ferreyres</v>
      </c>
      <c r="C53" s="347">
        <f>'B) D RI'!S54</f>
        <v>76</v>
      </c>
      <c r="D53" s="164">
        <f>'B) D RI'!AR54</f>
        <v>322</v>
      </c>
      <c r="E53" s="345">
        <f>'D) Ecrêtage'!M52</f>
        <v>12305.209605263159</v>
      </c>
      <c r="F53" s="349">
        <f>'E) Fact soc'!G58</f>
        <v>197865.15766695878</v>
      </c>
      <c r="G53" s="346">
        <f>'H) Péréquation directe'!I63</f>
        <v>147111.85683074335</v>
      </c>
      <c r="H53" s="349">
        <f>+'I) Dépenses thématiques'!O52</f>
        <v>-6901.1450078834268</v>
      </c>
      <c r="I53" s="346">
        <f>'K) Plafonnement aide'!J52</f>
        <v>0</v>
      </c>
      <c r="J53" s="349">
        <f>'J) Plafonnement effort'!I52</f>
        <v>0</v>
      </c>
      <c r="K53" s="346">
        <f>'L) Plafonnement taux'!Q53</f>
        <v>0</v>
      </c>
      <c r="L53" s="344">
        <f t="shared" si="0"/>
        <v>338075.8694898187</v>
      </c>
      <c r="M53" s="246">
        <f>'M) Police'!O53</f>
        <v>38515.181819684905</v>
      </c>
      <c r="N53" s="246">
        <f t="shared" si="1"/>
        <v>376591.05130950361</v>
      </c>
      <c r="P53" s="307"/>
      <c r="R53" s="352"/>
    </row>
    <row r="54" spans="1:18" s="165" customFormat="1" x14ac:dyDescent="0.25">
      <c r="A54" s="162">
        <f>'B) D RI'!A55</f>
        <v>5484</v>
      </c>
      <c r="B54" s="163" t="str">
        <f>'B) D RI'!B55</f>
        <v>Gollion</v>
      </c>
      <c r="C54" s="347">
        <f>'B) D RI'!S55</f>
        <v>74</v>
      </c>
      <c r="D54" s="164">
        <f>'B) D RI'!AR55</f>
        <v>918</v>
      </c>
      <c r="E54" s="345">
        <f>'D) Ecrêtage'!M53</f>
        <v>34769.525540540541</v>
      </c>
      <c r="F54" s="349">
        <f>'E) Fact soc'!G59</f>
        <v>697463.40215374832</v>
      </c>
      <c r="G54" s="346">
        <f>'H) Péréquation directe'!I64</f>
        <v>414055.27122891671</v>
      </c>
      <c r="H54" s="349">
        <f>+'I) Dépenses thématiques'!O53</f>
        <v>-127235.20127207282</v>
      </c>
      <c r="I54" s="346">
        <f>'K) Plafonnement aide'!J53</f>
        <v>0</v>
      </c>
      <c r="J54" s="349">
        <f>'J) Plafonnement effort'!I53</f>
        <v>0</v>
      </c>
      <c r="K54" s="346">
        <f>'L) Plafonnement taux'!Q54</f>
        <v>0</v>
      </c>
      <c r="L54" s="344">
        <f t="shared" si="0"/>
        <v>984283.47211059218</v>
      </c>
      <c r="M54" s="246">
        <f>'M) Police'!O54</f>
        <v>108249.11394124142</v>
      </c>
      <c r="N54" s="246">
        <f t="shared" si="1"/>
        <v>1092532.5860518336</v>
      </c>
      <c r="P54" s="307"/>
      <c r="R54" s="352"/>
    </row>
    <row r="55" spans="1:18" s="165" customFormat="1" x14ac:dyDescent="0.25">
      <c r="A55" s="162">
        <f>'B) D RI'!A56</f>
        <v>5485</v>
      </c>
      <c r="B55" s="163" t="str">
        <f>'B) D RI'!B56</f>
        <v>Grancy</v>
      </c>
      <c r="C55" s="347">
        <f>'B) D RI'!S56</f>
        <v>70</v>
      </c>
      <c r="D55" s="164">
        <f>'B) D RI'!AR56</f>
        <v>403</v>
      </c>
      <c r="E55" s="345">
        <f>'D) Ecrêtage'!M54</f>
        <v>17864.595714285719</v>
      </c>
      <c r="F55" s="349">
        <f>'E) Fact soc'!G60</f>
        <v>312648.05628744751</v>
      </c>
      <c r="G55" s="346">
        <f>'H) Péréquation directe'!I65</f>
        <v>286831.41193967819</v>
      </c>
      <c r="H55" s="349">
        <f>+'I) Dépenses thématiques'!O54</f>
        <v>-33720.645606870246</v>
      </c>
      <c r="I55" s="346">
        <f>'K) Plafonnement aide'!J54</f>
        <v>0</v>
      </c>
      <c r="J55" s="349">
        <f>'J) Plafonnement effort'!I54</f>
        <v>0</v>
      </c>
      <c r="K55" s="346">
        <f>'L) Plafonnement taux'!Q55</f>
        <v>0</v>
      </c>
      <c r="L55" s="344">
        <f t="shared" si="0"/>
        <v>565758.82262025541</v>
      </c>
      <c r="M55" s="246">
        <f>'M) Police'!O55</f>
        <v>55897.102961086275</v>
      </c>
      <c r="N55" s="246">
        <f t="shared" si="1"/>
        <v>621655.92558134173</v>
      </c>
      <c r="P55" s="307"/>
      <c r="R55" s="352"/>
    </row>
    <row r="56" spans="1:18" s="165" customFormat="1" x14ac:dyDescent="0.25">
      <c r="A56" s="162">
        <f>'B) D RI'!A57</f>
        <v>5486</v>
      </c>
      <c r="B56" s="163" t="str">
        <f>'B) D RI'!B57</f>
        <v>L'Isle</v>
      </c>
      <c r="C56" s="347">
        <f>'B) D RI'!S57</f>
        <v>76</v>
      </c>
      <c r="D56" s="164">
        <f>'B) D RI'!AR57</f>
        <v>1005</v>
      </c>
      <c r="E56" s="345">
        <f>'D) Ecrêtage'!M55</f>
        <v>26187.199605263158</v>
      </c>
      <c r="F56" s="349">
        <f>'E) Fact soc'!G61</f>
        <v>500658.10288932425</v>
      </c>
      <c r="G56" s="346">
        <f>'H) Péréquation directe'!I66</f>
        <v>-48210.314866031753</v>
      </c>
      <c r="H56" s="349">
        <f>+'I) Dépenses thématiques'!O55</f>
        <v>-314379.86667890311</v>
      </c>
      <c r="I56" s="346">
        <f>'K) Plafonnement aide'!J55</f>
        <v>0</v>
      </c>
      <c r="J56" s="349">
        <f>'J) Plafonnement effort'!I55</f>
        <v>0</v>
      </c>
      <c r="K56" s="346">
        <f>'L) Plafonnement taux'!Q56</f>
        <v>0</v>
      </c>
      <c r="L56" s="344">
        <f t="shared" si="0"/>
        <v>138067.92134438938</v>
      </c>
      <c r="M56" s="246">
        <f>'M) Police'!O56</f>
        <v>79962.052930306585</v>
      </c>
      <c r="N56" s="246">
        <f t="shared" si="1"/>
        <v>218029.97427469597</v>
      </c>
      <c r="P56" s="307"/>
      <c r="R56" s="352"/>
    </row>
    <row r="57" spans="1:18" s="165" customFormat="1" x14ac:dyDescent="0.25">
      <c r="A57" s="162">
        <f>'B) D RI'!A58</f>
        <v>5487</v>
      </c>
      <c r="B57" s="163" t="str">
        <f>'B) D RI'!B58</f>
        <v>Lussery-Villars</v>
      </c>
      <c r="C57" s="347">
        <f>'B) D RI'!S58</f>
        <v>72</v>
      </c>
      <c r="D57" s="164">
        <f>'B) D RI'!AR58</f>
        <v>459</v>
      </c>
      <c r="E57" s="345">
        <f>'D) Ecrêtage'!M56</f>
        <v>14370.481805555557</v>
      </c>
      <c r="F57" s="349">
        <f>'E) Fact soc'!G62</f>
        <v>260939.56711144111</v>
      </c>
      <c r="G57" s="346">
        <f>'H) Péréquation directe'!I67</f>
        <v>92936.374811409158</v>
      </c>
      <c r="H57" s="349">
        <f>+'I) Dépenses thématiques'!O56</f>
        <v>-11963.264517833835</v>
      </c>
      <c r="I57" s="346">
        <f>'K) Plafonnement aide'!J56</f>
        <v>0</v>
      </c>
      <c r="J57" s="349">
        <f>'J) Plafonnement effort'!I56</f>
        <v>0</v>
      </c>
      <c r="K57" s="346">
        <f>'L) Plafonnement taux'!Q57</f>
        <v>0</v>
      </c>
      <c r="L57" s="344">
        <f t="shared" si="0"/>
        <v>341912.67740501644</v>
      </c>
      <c r="M57" s="246">
        <f>'M) Police'!O57</f>
        <v>44554.208396709219</v>
      </c>
      <c r="N57" s="246">
        <f t="shared" si="1"/>
        <v>386466.88580172567</v>
      </c>
      <c r="P57" s="307"/>
      <c r="R57" s="352"/>
    </row>
    <row r="58" spans="1:18" s="165" customFormat="1" x14ac:dyDescent="0.25">
      <c r="A58" s="162">
        <f>'B) D RI'!A59</f>
        <v>5488</v>
      </c>
      <c r="B58" s="163" t="str">
        <f>'B) D RI'!B59</f>
        <v>Mauraz</v>
      </c>
      <c r="C58" s="347">
        <f>'B) D RI'!S59</f>
        <v>74</v>
      </c>
      <c r="D58" s="164">
        <f>'B) D RI'!AR59</f>
        <v>60</v>
      </c>
      <c r="E58" s="345">
        <f>'D) Ecrêtage'!M57</f>
        <v>1634.9372972972974</v>
      </c>
      <c r="F58" s="349">
        <f>'E) Fact soc'!G63</f>
        <v>24548.8426655433</v>
      </c>
      <c r="G58" s="346">
        <f>'H) Péréquation directe'!I68</f>
        <v>1411.9721033689057</v>
      </c>
      <c r="H58" s="349">
        <f>+'I) Dépenses thématiques'!O57</f>
        <v>-1866.9824487338431</v>
      </c>
      <c r="I58" s="346">
        <f>'K) Plafonnement aide'!J57</f>
        <v>0</v>
      </c>
      <c r="J58" s="349">
        <f>'J) Plafonnement effort'!I57</f>
        <v>0</v>
      </c>
      <c r="K58" s="346">
        <f>'L) Plafonnement taux'!Q58</f>
        <v>0</v>
      </c>
      <c r="L58" s="344">
        <f t="shared" si="0"/>
        <v>24093.832320178361</v>
      </c>
      <c r="M58" s="246">
        <f>'M) Police'!O58</f>
        <v>5070.7140238032644</v>
      </c>
      <c r="N58" s="246">
        <f t="shared" si="1"/>
        <v>29164.546343981623</v>
      </c>
      <c r="P58" s="307"/>
      <c r="R58" s="352"/>
    </row>
    <row r="59" spans="1:18" s="165" customFormat="1" x14ac:dyDescent="0.25">
      <c r="A59" s="162">
        <f>'B) D RI'!A60</f>
        <v>5489</v>
      </c>
      <c r="B59" s="163" t="str">
        <f>'B) D RI'!B60</f>
        <v>Mex</v>
      </c>
      <c r="C59" s="347">
        <f>'B) D RI'!S60</f>
        <v>61</v>
      </c>
      <c r="D59" s="164">
        <f>'B) D RI'!AR60</f>
        <v>718</v>
      </c>
      <c r="E59" s="345">
        <f>'D) Ecrêtage'!M58</f>
        <v>52808.048182177503</v>
      </c>
      <c r="F59" s="349">
        <f>'E) Fact soc'!G64</f>
        <v>1380579.3613424839</v>
      </c>
      <c r="G59" s="346">
        <f>'H) Péréquation directe'!I69</f>
        <v>905383.59273455967</v>
      </c>
      <c r="H59" s="349">
        <f>+'I) Dépenses thématiques'!O58</f>
        <v>0</v>
      </c>
      <c r="I59" s="346">
        <f>'K) Plafonnement aide'!J58</f>
        <v>0</v>
      </c>
      <c r="J59" s="349">
        <f>'J) Plafonnement effort'!I58</f>
        <v>0</v>
      </c>
      <c r="K59" s="346">
        <f>'L) Plafonnement taux'!Q59</f>
        <v>0</v>
      </c>
      <c r="L59" s="344">
        <f t="shared" si="0"/>
        <v>2285962.9540770436</v>
      </c>
      <c r="M59" s="246">
        <f>'M) Police'!O59</f>
        <v>127397.00610968294</v>
      </c>
      <c r="N59" s="246">
        <f t="shared" si="1"/>
        <v>2413359.9601867264</v>
      </c>
      <c r="P59" s="307"/>
      <c r="R59" s="352"/>
    </row>
    <row r="60" spans="1:18" s="165" customFormat="1" x14ac:dyDescent="0.25">
      <c r="A60" s="162">
        <f>'B) D RI'!A61</f>
        <v>5490</v>
      </c>
      <c r="B60" s="163" t="str">
        <f>'B) D RI'!B61</f>
        <v>Moiry</v>
      </c>
      <c r="C60" s="347">
        <f>'B) D RI'!S61</f>
        <v>81</v>
      </c>
      <c r="D60" s="164">
        <f>'B) D RI'!AR61</f>
        <v>316</v>
      </c>
      <c r="E60" s="345">
        <f>'D) Ecrêtage'!M59</f>
        <v>8164.7235802469131</v>
      </c>
      <c r="F60" s="349">
        <f>'E) Fact soc'!G65</f>
        <v>129195.99371135344</v>
      </c>
      <c r="G60" s="346">
        <f>'H) Péréquation directe'!I70</f>
        <v>-36308.973848773749</v>
      </c>
      <c r="H60" s="349">
        <f>+'I) Dépenses thématiques'!O59</f>
        <v>-42929.610242238719</v>
      </c>
      <c r="I60" s="346">
        <f>'K) Plafonnement aide'!J59</f>
        <v>0</v>
      </c>
      <c r="J60" s="349">
        <f>'J) Plafonnement effort'!I59</f>
        <v>0</v>
      </c>
      <c r="K60" s="346">
        <f>'L) Plafonnement taux'!Q60</f>
        <v>0</v>
      </c>
      <c r="L60" s="344">
        <f t="shared" si="0"/>
        <v>49957.409620340972</v>
      </c>
      <c r="M60" s="246">
        <f>'M) Police'!O60</f>
        <v>25434.398823048126</v>
      </c>
      <c r="N60" s="246">
        <f t="shared" si="1"/>
        <v>75391.808443389105</v>
      </c>
      <c r="P60" s="307"/>
      <c r="R60" s="352"/>
    </row>
    <row r="61" spans="1:18" s="165" customFormat="1" x14ac:dyDescent="0.25">
      <c r="A61" s="162">
        <f>'B) D RI'!A62</f>
        <v>5491</v>
      </c>
      <c r="B61" s="163" t="str">
        <f>'B) D RI'!B62</f>
        <v>Mont-la-Ville</v>
      </c>
      <c r="C61" s="347">
        <f>'B) D RI'!S62</f>
        <v>76</v>
      </c>
      <c r="D61" s="164">
        <f>'B) D RI'!AR62</f>
        <v>417</v>
      </c>
      <c r="E61" s="345">
        <f>'D) Ecrêtage'!M60</f>
        <v>10538.480394736844</v>
      </c>
      <c r="F61" s="349">
        <f>'E) Fact soc'!G66</f>
        <v>181958.40853453299</v>
      </c>
      <c r="G61" s="346">
        <f>'H) Péréquation directe'!I71</f>
        <v>-33046.802065969736</v>
      </c>
      <c r="H61" s="349">
        <f>+'I) Dépenses thématiques'!O60</f>
        <v>-91385.437588633853</v>
      </c>
      <c r="I61" s="346">
        <f>'K) Plafonnement aide'!J60</f>
        <v>0</v>
      </c>
      <c r="J61" s="349">
        <f>'J) Plafonnement effort'!I60</f>
        <v>0</v>
      </c>
      <c r="K61" s="346">
        <f>'L) Plafonnement taux'!Q61</f>
        <v>0</v>
      </c>
      <c r="L61" s="344">
        <f t="shared" si="0"/>
        <v>57526.168879929406</v>
      </c>
      <c r="M61" s="246">
        <f>'M) Police'!O61</f>
        <v>32316.231197803401</v>
      </c>
      <c r="N61" s="246">
        <f t="shared" si="1"/>
        <v>89842.400077732804</v>
      </c>
      <c r="P61" s="307"/>
      <c r="R61" s="352"/>
    </row>
    <row r="62" spans="1:18" s="165" customFormat="1" x14ac:dyDescent="0.25">
      <c r="A62" s="162">
        <f>'B) D RI'!A63</f>
        <v>5492</v>
      </c>
      <c r="B62" s="163" t="str">
        <f>'B) D RI'!B63</f>
        <v>Montricher</v>
      </c>
      <c r="C62" s="347">
        <f>'B) D RI'!S63</f>
        <v>64</v>
      </c>
      <c r="D62" s="164">
        <f>'B) D RI'!AR63</f>
        <v>986</v>
      </c>
      <c r="E62" s="345">
        <f>'D) Ecrêtage'!M61</f>
        <v>159820.2900084072</v>
      </c>
      <c r="F62" s="349">
        <f>'E) Fact soc'!G67</f>
        <v>8769645.6939990465</v>
      </c>
      <c r="G62" s="346">
        <f>'H) Péréquation directe'!I72</f>
        <v>2857352.6973659601</v>
      </c>
      <c r="H62" s="349">
        <f>+'I) Dépenses thématiques'!O61</f>
        <v>-135056.83844568982</v>
      </c>
      <c r="I62" s="346">
        <f>'K) Plafonnement aide'!J61</f>
        <v>0</v>
      </c>
      <c r="J62" s="349">
        <f>'J) Plafonnement effort'!I61</f>
        <v>0</v>
      </c>
      <c r="K62" s="346">
        <f>'L) Plafonnement taux'!Q62</f>
        <v>0</v>
      </c>
      <c r="L62" s="344">
        <f t="shared" ref="L62:L116" si="2">F62+G62+H62+I62+J62+K62</f>
        <v>11491941.552919317</v>
      </c>
      <c r="M62" s="246">
        <f>'M) Police'!O62</f>
        <v>283338.38377164409</v>
      </c>
      <c r="N62" s="246">
        <f t="shared" si="1"/>
        <v>11775279.936690962</v>
      </c>
      <c r="P62" s="307"/>
      <c r="R62" s="352"/>
    </row>
    <row r="63" spans="1:18" s="165" customFormat="1" x14ac:dyDescent="0.25">
      <c r="A63" s="162">
        <f>'B) D RI'!A64</f>
        <v>5493</v>
      </c>
      <c r="B63" s="163" t="str">
        <f>'B) D RI'!B64</f>
        <v>Orny</v>
      </c>
      <c r="C63" s="347">
        <f>'B) D RI'!S64</f>
        <v>73</v>
      </c>
      <c r="D63" s="164">
        <f>'B) D RI'!AR64</f>
        <v>356</v>
      </c>
      <c r="E63" s="345">
        <f>'D) Ecrêtage'!M62</f>
        <v>9903.4061011591148</v>
      </c>
      <c r="F63" s="349">
        <f>'E) Fact soc'!G68</f>
        <v>204141.31735366752</v>
      </c>
      <c r="G63" s="346">
        <f>'H) Péréquation directe'!I73</f>
        <v>20062.703460636258</v>
      </c>
      <c r="H63" s="349">
        <f>+'I) Dépenses thématiques'!O62</f>
        <v>-313982.12800849049</v>
      </c>
      <c r="I63" s="346">
        <f>'K) Plafonnement aide'!J62</f>
        <v>0</v>
      </c>
      <c r="J63" s="349">
        <f>'J) Plafonnement effort'!I62</f>
        <v>0</v>
      </c>
      <c r="K63" s="346">
        <f>'L) Plafonnement taux'!Q63</f>
        <v>0</v>
      </c>
      <c r="L63" s="344">
        <f t="shared" si="2"/>
        <v>-89778.107194186712</v>
      </c>
      <c r="M63" s="246">
        <f>'M) Police'!O63</f>
        <v>30603.779407841968</v>
      </c>
      <c r="N63" s="246">
        <f t="shared" si="1"/>
        <v>-59174.327786344744</v>
      </c>
      <c r="P63" s="307"/>
      <c r="R63" s="352"/>
    </row>
    <row r="64" spans="1:18" s="165" customFormat="1" x14ac:dyDescent="0.25">
      <c r="A64" s="162">
        <f>'B) D RI'!A65</f>
        <v>5494</v>
      </c>
      <c r="B64" s="163" t="str">
        <f>'B) D RI'!B65</f>
        <v>Pampigny</v>
      </c>
      <c r="C64" s="347">
        <f>'B) D RI'!S65</f>
        <v>75</v>
      </c>
      <c r="D64" s="164">
        <f>'B) D RI'!AR65</f>
        <v>1124</v>
      </c>
      <c r="E64" s="345">
        <f>'D) Ecrêtage'!M63</f>
        <v>37200.871473015875</v>
      </c>
      <c r="F64" s="349">
        <f>'E) Fact soc'!G69</f>
        <v>588231.47171167308</v>
      </c>
      <c r="G64" s="346">
        <f>'H) Péréquation directe'!I74</f>
        <v>252487.41139912297</v>
      </c>
      <c r="H64" s="349">
        <f>+'I) Dépenses thématiques'!O63</f>
        <v>-216341.27309951902</v>
      </c>
      <c r="I64" s="346">
        <f>'K) Plafonnement aide'!J63</f>
        <v>0</v>
      </c>
      <c r="J64" s="349">
        <f>'J) Plafonnement effort'!I63</f>
        <v>0</v>
      </c>
      <c r="K64" s="346">
        <f>'L) Plafonnement taux'!Q64</f>
        <v>0</v>
      </c>
      <c r="L64" s="344">
        <f t="shared" si="2"/>
        <v>624377.61001127702</v>
      </c>
      <c r="M64" s="246">
        <f>'M) Police'!O64</f>
        <v>114841.86462734357</v>
      </c>
      <c r="N64" s="246">
        <f t="shared" si="1"/>
        <v>739219.47463862062</v>
      </c>
      <c r="P64" s="307"/>
      <c r="R64" s="352"/>
    </row>
    <row r="65" spans="1:18" s="165" customFormat="1" x14ac:dyDescent="0.25">
      <c r="A65" s="162">
        <f>'B) D RI'!A66</f>
        <v>5495</v>
      </c>
      <c r="B65" s="163" t="str">
        <f>'B) D RI'!B66</f>
        <v>Penthalaz</v>
      </c>
      <c r="C65" s="347">
        <f>'B) D RI'!S66</f>
        <v>74</v>
      </c>
      <c r="D65" s="164">
        <f>'B) D RI'!AR66</f>
        <v>3282</v>
      </c>
      <c r="E65" s="345">
        <f>'D) Ecrêtage'!M64</f>
        <v>93529.013513513521</v>
      </c>
      <c r="F65" s="349">
        <f>'E) Fact soc'!G70</f>
        <v>1783780.8777724958</v>
      </c>
      <c r="G65" s="346">
        <f>'H) Péréquation directe'!I75</f>
        <v>-363303.07274893555</v>
      </c>
      <c r="H65" s="349">
        <f>+'I) Dépenses thématiques'!O64</f>
        <v>-464744.56448920729</v>
      </c>
      <c r="I65" s="346">
        <f>'K) Plafonnement aide'!J64</f>
        <v>0</v>
      </c>
      <c r="J65" s="349">
        <f>'J) Plafonnement effort'!I64</f>
        <v>0</v>
      </c>
      <c r="K65" s="346">
        <f>'L) Plafonnement taux'!Q65</f>
        <v>0</v>
      </c>
      <c r="L65" s="344">
        <f t="shared" si="2"/>
        <v>955733.24053435307</v>
      </c>
      <c r="M65" s="246">
        <f>'M) Police'!O65</f>
        <v>287394.6313855531</v>
      </c>
      <c r="N65" s="246">
        <f t="shared" si="1"/>
        <v>1243127.8719199062</v>
      </c>
      <c r="P65" s="307"/>
      <c r="R65" s="352"/>
    </row>
    <row r="66" spans="1:18" s="165" customFormat="1" x14ac:dyDescent="0.25">
      <c r="A66" s="162">
        <f>'B) D RI'!A67</f>
        <v>5496</v>
      </c>
      <c r="B66" s="163" t="str">
        <f>'B) D RI'!B67</f>
        <v>Penthaz</v>
      </c>
      <c r="C66" s="347">
        <f>'B) D RI'!S67</f>
        <v>71</v>
      </c>
      <c r="D66" s="164">
        <f>'B) D RI'!AR67</f>
        <v>1726</v>
      </c>
      <c r="E66" s="345">
        <f>'D) Ecrêtage'!M65</f>
        <v>55364.179859154945</v>
      </c>
      <c r="F66" s="349">
        <f>'E) Fact soc'!G71</f>
        <v>976561.4911146129</v>
      </c>
      <c r="G66" s="346">
        <f>'H) Péréquation directe'!I76</f>
        <v>234441.37989810179</v>
      </c>
      <c r="H66" s="349">
        <f>+'I) Dépenses thématiques'!O65</f>
        <v>-231097.48917010348</v>
      </c>
      <c r="I66" s="346">
        <f>'K) Plafonnement aide'!J65</f>
        <v>0</v>
      </c>
      <c r="J66" s="349">
        <f>'J) Plafonnement effort'!I65</f>
        <v>0</v>
      </c>
      <c r="K66" s="346">
        <f>'L) Plafonnement taux'!Q66</f>
        <v>0</v>
      </c>
      <c r="L66" s="344">
        <f t="shared" si="2"/>
        <v>979905.38184261124</v>
      </c>
      <c r="M66" s="246">
        <f>'M) Police'!O66</f>
        <v>170771.67799085524</v>
      </c>
      <c r="N66" s="246">
        <f t="shared" si="1"/>
        <v>1150677.0598334665</v>
      </c>
      <c r="P66" s="307"/>
      <c r="R66" s="352"/>
    </row>
    <row r="67" spans="1:18" s="165" customFormat="1" x14ac:dyDescent="0.25">
      <c r="A67" s="162">
        <f>'B) D RI'!A68</f>
        <v>5497</v>
      </c>
      <c r="B67" s="163" t="str">
        <f>'B) D RI'!B68</f>
        <v>Pompaples</v>
      </c>
      <c r="C67" s="347">
        <f>'B) D RI'!S68</f>
        <v>66</v>
      </c>
      <c r="D67" s="164">
        <f>'B) D RI'!AR68</f>
        <v>854</v>
      </c>
      <c r="E67" s="345">
        <f>'D) Ecrêtage'!M66</f>
        <v>21756.171818181818</v>
      </c>
      <c r="F67" s="349">
        <f>'E) Fact soc'!G72</f>
        <v>578348.44832383166</v>
      </c>
      <c r="G67" s="346">
        <f>'H) Péréquation directe'!I77</f>
        <v>32532.335258142673</v>
      </c>
      <c r="H67" s="349">
        <f>+'I) Dépenses thématiques'!O66</f>
        <v>-173242.97869289515</v>
      </c>
      <c r="I67" s="346">
        <f>'K) Plafonnement aide'!J66</f>
        <v>0</v>
      </c>
      <c r="J67" s="349">
        <f>'J) Plafonnement effort'!I66</f>
        <v>0</v>
      </c>
      <c r="K67" s="346">
        <f>'L) Plafonnement taux'!Q67</f>
        <v>0</v>
      </c>
      <c r="L67" s="344">
        <f t="shared" si="2"/>
        <v>437637.80488907918</v>
      </c>
      <c r="M67" s="246">
        <f>'M) Police'!O67</f>
        <v>67012.607101965608</v>
      </c>
      <c r="N67" s="246">
        <f t="shared" si="1"/>
        <v>504650.41199104476</v>
      </c>
      <c r="P67" s="307"/>
      <c r="R67" s="352"/>
    </row>
    <row r="68" spans="1:18" s="165" customFormat="1" x14ac:dyDescent="0.25">
      <c r="A68" s="162">
        <f>'B) D RI'!A69</f>
        <v>5498</v>
      </c>
      <c r="B68" s="163" t="str">
        <f>'B) D RI'!B69</f>
        <v>La Sarraz</v>
      </c>
      <c r="C68" s="347">
        <f>'B) D RI'!S69</f>
        <v>66</v>
      </c>
      <c r="D68" s="164">
        <f>'B) D RI'!AR69</f>
        <v>2609</v>
      </c>
      <c r="E68" s="345">
        <f>'D) Ecrêtage'!M67</f>
        <v>71866.729696969705</v>
      </c>
      <c r="F68" s="349">
        <f>'E) Fact soc'!G73</f>
        <v>1510592.0026750276</v>
      </c>
      <c r="G68" s="346">
        <f>'H) Péréquation directe'!I78</f>
        <v>-104742.70032659243</v>
      </c>
      <c r="H68" s="349">
        <f>+'I) Dépenses thématiques'!O67</f>
        <v>-578803.74078429292</v>
      </c>
      <c r="I68" s="346">
        <f>'K) Plafonnement aide'!J67</f>
        <v>0</v>
      </c>
      <c r="J68" s="349">
        <f>'J) Plafonnement effort'!I67</f>
        <v>0</v>
      </c>
      <c r="K68" s="346">
        <f>'L) Plafonnement taux'!Q68</f>
        <v>0</v>
      </c>
      <c r="L68" s="344">
        <f t="shared" si="2"/>
        <v>827045.56156414223</v>
      </c>
      <c r="M68" s="246">
        <f>'M) Police'!O68</f>
        <v>221053.79114087689</v>
      </c>
      <c r="N68" s="246">
        <f t="shared" si="1"/>
        <v>1048099.3527050191</v>
      </c>
      <c r="P68" s="307"/>
      <c r="R68" s="352"/>
    </row>
    <row r="69" spans="1:18" s="165" customFormat="1" x14ac:dyDescent="0.25">
      <c r="A69" s="162">
        <f>'B) D RI'!A70</f>
        <v>5499</v>
      </c>
      <c r="B69" s="163" t="str">
        <f>'B) D RI'!B70</f>
        <v>Senarclens</v>
      </c>
      <c r="C69" s="347">
        <f>'B) D RI'!S70</f>
        <v>68.5</v>
      </c>
      <c r="D69" s="164">
        <f>'B) D RI'!AR70</f>
        <v>505</v>
      </c>
      <c r="E69" s="345">
        <f>'D) Ecrêtage'!M68</f>
        <v>20247.622335766424</v>
      </c>
      <c r="F69" s="349">
        <f>'E) Fact soc'!G74</f>
        <v>481464.42373190937</v>
      </c>
      <c r="G69" s="346">
        <f>'H) Péréquation directe'!I79</f>
        <v>280241.93487286271</v>
      </c>
      <c r="H69" s="349">
        <f>+'I) Dépenses thématiques'!O68</f>
        <v>-22565.077252560608</v>
      </c>
      <c r="I69" s="346">
        <f>'K) Plafonnement aide'!J68</f>
        <v>0</v>
      </c>
      <c r="J69" s="349">
        <f>'J) Plafonnement effort'!I68</f>
        <v>0</v>
      </c>
      <c r="K69" s="346">
        <f>'L) Plafonnement taux'!Q69</f>
        <v>0</v>
      </c>
      <c r="L69" s="344">
        <f t="shared" si="2"/>
        <v>739141.28135221137</v>
      </c>
      <c r="M69" s="246">
        <f>'M) Police'!O69</f>
        <v>63034.628061953685</v>
      </c>
      <c r="N69" s="246">
        <f t="shared" si="1"/>
        <v>802175.90941416507</v>
      </c>
      <c r="P69" s="307"/>
      <c r="R69" s="352"/>
    </row>
    <row r="70" spans="1:18" s="165" customFormat="1" x14ac:dyDescent="0.25">
      <c r="A70" s="162">
        <f>'B) D RI'!A71</f>
        <v>5500</v>
      </c>
      <c r="B70" s="163" t="str">
        <f>'B) D RI'!B71</f>
        <v>Sévery</v>
      </c>
      <c r="C70" s="347">
        <f>'B) D RI'!S71</f>
        <v>75</v>
      </c>
      <c r="D70" s="164">
        <f>'B) D RI'!AR71</f>
        <v>233</v>
      </c>
      <c r="E70" s="345">
        <f>'D) Ecrêtage'!M69</f>
        <v>8952.9604888888862</v>
      </c>
      <c r="F70" s="349">
        <f>'E) Fact soc'!G75</f>
        <v>150841.165834532</v>
      </c>
      <c r="G70" s="346">
        <f>'H) Péréquation directe'!I80</f>
        <v>109364.82745640835</v>
      </c>
      <c r="H70" s="349">
        <f>+'I) Dépenses thématiques'!O69</f>
        <v>-6704.0119491633759</v>
      </c>
      <c r="I70" s="346">
        <f>'K) Plafonnement aide'!J69</f>
        <v>0</v>
      </c>
      <c r="J70" s="349">
        <f>'J) Plafonnement effort'!I69</f>
        <v>0</v>
      </c>
      <c r="K70" s="346">
        <f>'L) Plafonnement taux'!Q70</f>
        <v>0</v>
      </c>
      <c r="L70" s="344">
        <f t="shared" si="2"/>
        <v>253501.98134177699</v>
      </c>
      <c r="M70" s="246">
        <f>'M) Police'!O70</f>
        <v>27943.967688537672</v>
      </c>
      <c r="N70" s="246">
        <f t="shared" si="1"/>
        <v>281445.94903031469</v>
      </c>
      <c r="P70" s="307"/>
      <c r="R70" s="352"/>
    </row>
    <row r="71" spans="1:18" s="165" customFormat="1" x14ac:dyDescent="0.25">
      <c r="A71" s="162">
        <f>'B) D RI'!A72</f>
        <v>5501</v>
      </c>
      <c r="B71" s="163" t="str">
        <f>'B) D RI'!B72</f>
        <v>Sullens</v>
      </c>
      <c r="C71" s="347">
        <f>'B) D RI'!S72</f>
        <v>70</v>
      </c>
      <c r="D71" s="164">
        <f>'B) D RI'!AR72</f>
        <v>1005</v>
      </c>
      <c r="E71" s="345">
        <f>'D) Ecrêtage'!M70</f>
        <v>34510.891142857145</v>
      </c>
      <c r="F71" s="349">
        <f>'E) Fact soc'!G76</f>
        <v>608677.21567754634</v>
      </c>
      <c r="G71" s="346">
        <f>'H) Péréquation directe'!I81</f>
        <v>333116.28887906519</v>
      </c>
      <c r="H71" s="349">
        <f>+'I) Dépenses thématiques'!O70</f>
        <v>-58044.501748697498</v>
      </c>
      <c r="I71" s="346">
        <f>'K) Plafonnement aide'!J70</f>
        <v>0</v>
      </c>
      <c r="J71" s="349">
        <f>'J) Plafonnement effort'!I70</f>
        <v>0</v>
      </c>
      <c r="K71" s="346">
        <f>'L) Plafonnement taux'!Q71</f>
        <v>0</v>
      </c>
      <c r="L71" s="344">
        <f t="shared" si="2"/>
        <v>883749.00280791405</v>
      </c>
      <c r="M71" s="246">
        <f>'M) Police'!O71</f>
        <v>105892.80713853432</v>
      </c>
      <c r="N71" s="246">
        <f t="shared" ref="N71:N134" si="3">L71+M71</f>
        <v>989641.80994644831</v>
      </c>
      <c r="P71" s="307"/>
      <c r="R71" s="352"/>
    </row>
    <row r="72" spans="1:18" s="165" customFormat="1" x14ac:dyDescent="0.25">
      <c r="A72" s="162">
        <f>'B) D RI'!A73</f>
        <v>5503</v>
      </c>
      <c r="B72" s="163" t="str">
        <f>'B) D RI'!B73</f>
        <v>Vufflens-la-Ville</v>
      </c>
      <c r="C72" s="347">
        <f>'B) D RI'!S73</f>
        <v>67</v>
      </c>
      <c r="D72" s="164">
        <f>'B) D RI'!AR73</f>
        <v>1284</v>
      </c>
      <c r="E72" s="345">
        <f>'D) Ecrêtage'!M71</f>
        <v>69488.630199004954</v>
      </c>
      <c r="F72" s="349">
        <f>'E) Fact soc'!G77</f>
        <v>1185959.6517711342</v>
      </c>
      <c r="G72" s="346">
        <f>'H) Péréquation directe'!I82</f>
        <v>1087715.1402086059</v>
      </c>
      <c r="H72" s="349">
        <f>+'I) Dépenses thématiques'!O71</f>
        <v>0</v>
      </c>
      <c r="I72" s="346">
        <f>'K) Plafonnement aide'!J71</f>
        <v>0</v>
      </c>
      <c r="J72" s="349">
        <f>'J) Plafonnement effort'!I71</f>
        <v>0</v>
      </c>
      <c r="K72" s="346">
        <f>'L) Plafonnement taux'!Q72</f>
        <v>0</v>
      </c>
      <c r="L72" s="344">
        <f t="shared" si="2"/>
        <v>2273674.7919797404</v>
      </c>
      <c r="M72" s="246">
        <f>'M) Police'!O72</f>
        <v>196849.77193148795</v>
      </c>
      <c r="N72" s="246">
        <f t="shared" si="3"/>
        <v>2470524.5639112284</v>
      </c>
      <c r="P72" s="307"/>
      <c r="R72" s="352"/>
    </row>
    <row r="73" spans="1:18" s="165" customFormat="1" x14ac:dyDescent="0.25">
      <c r="A73" s="162">
        <f>'B) D RI'!A74</f>
        <v>5511</v>
      </c>
      <c r="B73" s="163" t="str">
        <f>'B) D RI'!B74</f>
        <v>Assens</v>
      </c>
      <c r="C73" s="347">
        <f>'B) D RI'!S74</f>
        <v>70</v>
      </c>
      <c r="D73" s="164">
        <f>'B) D RI'!AR74</f>
        <v>1070</v>
      </c>
      <c r="E73" s="345">
        <f>'D) Ecrêtage'!M72</f>
        <v>49567.304285714286</v>
      </c>
      <c r="F73" s="349">
        <f>'E) Fact soc'!G78</f>
        <v>788657.82554249</v>
      </c>
      <c r="G73" s="346">
        <f>'H) Péréquation directe'!I83</f>
        <v>793404.83886683569</v>
      </c>
      <c r="H73" s="349">
        <f>+'I) Dépenses thématiques'!O72</f>
        <v>-121960.26810056187</v>
      </c>
      <c r="I73" s="346">
        <f>'K) Plafonnement aide'!J72</f>
        <v>0</v>
      </c>
      <c r="J73" s="349">
        <f>'J) Plafonnement effort'!I72</f>
        <v>0</v>
      </c>
      <c r="K73" s="346">
        <f>'L) Plafonnement taux'!Q73</f>
        <v>0</v>
      </c>
      <c r="L73" s="344">
        <f t="shared" si="2"/>
        <v>1460102.3963087639</v>
      </c>
      <c r="M73" s="246">
        <f>'M) Police'!O73</f>
        <v>153687.03793599753</v>
      </c>
      <c r="N73" s="246">
        <f t="shared" si="3"/>
        <v>1613789.4342447615</v>
      </c>
      <c r="P73" s="307"/>
      <c r="R73" s="352"/>
    </row>
    <row r="74" spans="1:18" s="165" customFormat="1" x14ac:dyDescent="0.25">
      <c r="A74" s="162">
        <f>'B) D RI'!A75</f>
        <v>5512</v>
      </c>
      <c r="B74" s="163" t="str">
        <f>'B) D RI'!B75</f>
        <v>Bercher</v>
      </c>
      <c r="C74" s="347">
        <f>'B) D RI'!S75</f>
        <v>79</v>
      </c>
      <c r="D74" s="164">
        <f>'B) D RI'!AR75</f>
        <v>1221</v>
      </c>
      <c r="E74" s="345">
        <f>'D) Ecrêtage'!M73</f>
        <v>38296.029873417712</v>
      </c>
      <c r="F74" s="349">
        <f>'E) Fact soc'!G79</f>
        <v>694893.81368238374</v>
      </c>
      <c r="G74" s="346">
        <f>'H) Péréquation directe'!I84</f>
        <v>126510.63641067117</v>
      </c>
      <c r="H74" s="349">
        <f>+'I) Dépenses thématiques'!O73</f>
        <v>-164586.64813847025</v>
      </c>
      <c r="I74" s="346">
        <f>'K) Plafonnement aide'!J73</f>
        <v>0</v>
      </c>
      <c r="J74" s="349">
        <f>'J) Plafonnement effort'!I73</f>
        <v>0</v>
      </c>
      <c r="K74" s="346">
        <f>'L) Plafonnement taux'!Q74</f>
        <v>0</v>
      </c>
      <c r="L74" s="344">
        <f t="shared" si="2"/>
        <v>656817.80195458466</v>
      </c>
      <c r="M74" s="246">
        <f>'M) Police'!O74</f>
        <v>118332.06406608876</v>
      </c>
      <c r="N74" s="246">
        <f t="shared" si="3"/>
        <v>775149.86602067342</v>
      </c>
      <c r="P74" s="307"/>
      <c r="R74" s="352"/>
    </row>
    <row r="75" spans="1:18" s="165" customFormat="1" x14ac:dyDescent="0.25">
      <c r="A75" s="162">
        <f>'B) D RI'!A76</f>
        <v>5513</v>
      </c>
      <c r="B75" s="163" t="str">
        <f>'B) D RI'!B76</f>
        <v>Bioley-Orjulaz</v>
      </c>
      <c r="C75" s="347">
        <f>'B) D RI'!S76</f>
        <v>68</v>
      </c>
      <c r="D75" s="164">
        <f>'B) D RI'!AR76</f>
        <v>499</v>
      </c>
      <c r="E75" s="345">
        <f>'D) Ecrêtage'!M74</f>
        <v>23261.0975</v>
      </c>
      <c r="F75" s="349">
        <f>'E) Fact soc'!G80</f>
        <v>562991.20597539423</v>
      </c>
      <c r="G75" s="346">
        <f>'H) Péréquation directe'!I85</f>
        <v>380754.28858041007</v>
      </c>
      <c r="H75" s="349">
        <f>+'I) Dépenses thématiques'!O74</f>
        <v>-12666.527189461078</v>
      </c>
      <c r="I75" s="346">
        <f>'K) Plafonnement aide'!J74</f>
        <v>0</v>
      </c>
      <c r="J75" s="349">
        <f>'J) Plafonnement effort'!I74</f>
        <v>0</v>
      </c>
      <c r="K75" s="346">
        <f>'L) Plafonnement taux'!Q75</f>
        <v>0</v>
      </c>
      <c r="L75" s="344">
        <f t="shared" si="2"/>
        <v>931078.96736634325</v>
      </c>
      <c r="M75" s="246">
        <f>'M) Police'!O75</f>
        <v>71852.927613981432</v>
      </c>
      <c r="N75" s="246">
        <f t="shared" si="3"/>
        <v>1002931.8949803247</v>
      </c>
      <c r="P75" s="307"/>
      <c r="R75" s="352"/>
    </row>
    <row r="76" spans="1:18" s="165" customFormat="1" x14ac:dyDescent="0.25">
      <c r="A76" s="162">
        <f>'B) D RI'!A77</f>
        <v>5514</v>
      </c>
      <c r="B76" s="163" t="str">
        <f>'B) D RI'!B77</f>
        <v>Bottens</v>
      </c>
      <c r="C76" s="347">
        <f>'B) D RI'!S77</f>
        <v>69</v>
      </c>
      <c r="D76" s="164">
        <f>'B) D RI'!AR77</f>
        <v>1263</v>
      </c>
      <c r="E76" s="345">
        <f>'D) Ecrêtage'!M75</f>
        <v>41051.716376811593</v>
      </c>
      <c r="F76" s="349">
        <f>'E) Fact soc'!G81</f>
        <v>678688.98332242901</v>
      </c>
      <c r="G76" s="346">
        <f>'H) Péréquation directe'!I86</f>
        <v>275814.95703512453</v>
      </c>
      <c r="H76" s="349">
        <f>+'I) Dépenses thématiques'!O75</f>
        <v>0</v>
      </c>
      <c r="I76" s="346">
        <f>'K) Plafonnement aide'!J75</f>
        <v>0</v>
      </c>
      <c r="J76" s="349">
        <f>'J) Plafonnement effort'!I75</f>
        <v>0</v>
      </c>
      <c r="K76" s="346">
        <f>'L) Plafonnement taux'!Q76</f>
        <v>0</v>
      </c>
      <c r="L76" s="344">
        <f t="shared" si="2"/>
        <v>954503.94035755354</v>
      </c>
      <c r="M76" s="246">
        <f>'M) Police'!O76</f>
        <v>126824.57557115419</v>
      </c>
      <c r="N76" s="246">
        <f t="shared" si="3"/>
        <v>1081328.5159287078</v>
      </c>
      <c r="P76" s="307"/>
      <c r="R76" s="352"/>
    </row>
    <row r="77" spans="1:18" s="165" customFormat="1" x14ac:dyDescent="0.25">
      <c r="A77" s="162">
        <f>'B) D RI'!A78</f>
        <v>5515</v>
      </c>
      <c r="B77" s="163" t="str">
        <f>'B) D RI'!B78</f>
        <v>Bretigny-sur-Morrens</v>
      </c>
      <c r="C77" s="347">
        <f>'B) D RI'!S78</f>
        <v>73</v>
      </c>
      <c r="D77" s="164">
        <f>'B) D RI'!AR78</f>
        <v>825</v>
      </c>
      <c r="E77" s="345">
        <f>'D) Ecrêtage'!M76</f>
        <v>27741.095753424659</v>
      </c>
      <c r="F77" s="349">
        <f>'E) Fact soc'!G82</f>
        <v>472251.07485512219</v>
      </c>
      <c r="G77" s="346">
        <f>'H) Péréquation directe'!I87</f>
        <v>236435.15587242192</v>
      </c>
      <c r="H77" s="349">
        <f>+'I) Dépenses thématiques'!O76</f>
        <v>-43338.93584618422</v>
      </c>
      <c r="I77" s="346">
        <f>'K) Plafonnement aide'!J76</f>
        <v>0</v>
      </c>
      <c r="J77" s="349">
        <f>'J) Plafonnement effort'!I76</f>
        <v>0</v>
      </c>
      <c r="K77" s="346">
        <f>'L) Plafonnement taux'!Q77</f>
        <v>0</v>
      </c>
      <c r="L77" s="344">
        <f t="shared" si="2"/>
        <v>665347.29488135979</v>
      </c>
      <c r="M77" s="246">
        <f>'M) Police'!O77</f>
        <v>85817.807216989924</v>
      </c>
      <c r="N77" s="246">
        <f t="shared" si="3"/>
        <v>751165.10209834971</v>
      </c>
      <c r="P77" s="307"/>
      <c r="R77" s="352"/>
    </row>
    <row r="78" spans="1:18" s="165" customFormat="1" x14ac:dyDescent="0.25">
      <c r="A78" s="162">
        <f>'B) D RI'!A79</f>
        <v>5516</v>
      </c>
      <c r="B78" s="163" t="str">
        <f>'B) D RI'!B79</f>
        <v>Cugy</v>
      </c>
      <c r="C78" s="347">
        <f>'B) D RI'!S79</f>
        <v>70</v>
      </c>
      <c r="D78" s="164">
        <f>'B) D RI'!AR79</f>
        <v>2744</v>
      </c>
      <c r="E78" s="345">
        <f>'D) Ecrêtage'!M77</f>
        <v>111403.80442857141</v>
      </c>
      <c r="F78" s="349">
        <f>'E) Fact soc'!G83</f>
        <v>1978865.5916155335</v>
      </c>
      <c r="G78" s="346">
        <f>'H) Péréquation directe'!I88</f>
        <v>1133922.7248934782</v>
      </c>
      <c r="H78" s="349">
        <f>+'I) Dépenses thématiques'!O77</f>
        <v>-248143.68668192666</v>
      </c>
      <c r="I78" s="346">
        <f>'K) Plafonnement aide'!J77</f>
        <v>0</v>
      </c>
      <c r="J78" s="349">
        <f>'J) Plafonnement effort'!I77</f>
        <v>0</v>
      </c>
      <c r="K78" s="346">
        <f>'L) Plafonnement taux'!Q78</f>
        <v>0</v>
      </c>
      <c r="L78" s="344">
        <f t="shared" si="2"/>
        <v>2864644.629827085</v>
      </c>
      <c r="M78" s="246">
        <f>'M) Police'!O78</f>
        <v>344678.18737282703</v>
      </c>
      <c r="N78" s="246">
        <f t="shared" si="3"/>
        <v>3209322.8171999119</v>
      </c>
      <c r="P78" s="307"/>
      <c r="R78" s="352"/>
    </row>
    <row r="79" spans="1:18" s="165" customFormat="1" x14ac:dyDescent="0.25">
      <c r="A79" s="162">
        <f>'B) D RI'!A80</f>
        <v>5518</v>
      </c>
      <c r="B79" s="163" t="str">
        <f>'B) D RI'!B80</f>
        <v>Echallens</v>
      </c>
      <c r="C79" s="347">
        <f>'B) D RI'!S80</f>
        <v>74</v>
      </c>
      <c r="D79" s="164">
        <f>'B) D RI'!AR80</f>
        <v>5728</v>
      </c>
      <c r="E79" s="345">
        <f>'D) Ecrêtage'!M78</f>
        <v>193638.72135135136</v>
      </c>
      <c r="F79" s="349">
        <f>'E) Fact soc'!G84</f>
        <v>3226318.2739012502</v>
      </c>
      <c r="G79" s="346">
        <f>'H) Péréquation directe'!I89</f>
        <v>1826.0038154893555</v>
      </c>
      <c r="H79" s="349">
        <f>+'I) Dépenses thématiques'!O78</f>
        <v>-980637.37153724337</v>
      </c>
      <c r="I79" s="346">
        <f>'K) Plafonnement aide'!J78</f>
        <v>0</v>
      </c>
      <c r="J79" s="349">
        <f>'J) Plafonnement effort'!I78</f>
        <v>0</v>
      </c>
      <c r="K79" s="346">
        <f>'L) Plafonnement taux'!Q79</f>
        <v>0</v>
      </c>
      <c r="L79" s="344">
        <f t="shared" si="2"/>
        <v>2247506.9061794961</v>
      </c>
      <c r="M79" s="246">
        <f>'M) Police'!O79</f>
        <v>599188.50022633222</v>
      </c>
      <c r="N79" s="246">
        <f t="shared" si="3"/>
        <v>2846695.4064058284</v>
      </c>
      <c r="P79" s="307"/>
      <c r="R79" s="352"/>
    </row>
    <row r="80" spans="1:18" s="165" customFormat="1" x14ac:dyDescent="0.25">
      <c r="A80" s="162">
        <f>'B) D RI'!A81</f>
        <v>5520</v>
      </c>
      <c r="B80" s="163" t="str">
        <f>'B) D RI'!B81</f>
        <v>Essertines-sur-Yverdon</v>
      </c>
      <c r="C80" s="347">
        <f>'B) D RI'!S81</f>
        <v>73</v>
      </c>
      <c r="D80" s="164">
        <f>'B) D RI'!AR81</f>
        <v>981</v>
      </c>
      <c r="E80" s="345">
        <f>'D) Ecrêtage'!M79</f>
        <v>32024.354520547942</v>
      </c>
      <c r="F80" s="349">
        <f>'E) Fact soc'!G85</f>
        <v>582387.5491637357</v>
      </c>
      <c r="G80" s="346">
        <f>'H) Péréquation directe'!I90</f>
        <v>242989.14360693004</v>
      </c>
      <c r="H80" s="349">
        <f>+'I) Dépenses thématiques'!O79</f>
        <v>-223051.2608821847</v>
      </c>
      <c r="I80" s="346">
        <f>'K) Plafonnement aide'!J79</f>
        <v>0</v>
      </c>
      <c r="J80" s="349">
        <f>'J) Plafonnement effort'!I79</f>
        <v>0</v>
      </c>
      <c r="K80" s="346">
        <f>'L) Plafonnement taux'!Q80</f>
        <v>0</v>
      </c>
      <c r="L80" s="344">
        <f t="shared" si="2"/>
        <v>602325.43188848102</v>
      </c>
      <c r="M80" s="246">
        <f>'M) Police'!O80</f>
        <v>99019.032385231912</v>
      </c>
      <c r="N80" s="246">
        <f t="shared" si="3"/>
        <v>701344.46427371295</v>
      </c>
      <c r="P80" s="307"/>
      <c r="R80" s="352"/>
    </row>
    <row r="81" spans="1:18" s="165" customFormat="1" x14ac:dyDescent="0.25">
      <c r="A81" s="162">
        <f>'B) D RI'!A82</f>
        <v>5521</v>
      </c>
      <c r="B81" s="163" t="str">
        <f>'B) D RI'!B82</f>
        <v>Etagnières</v>
      </c>
      <c r="C81" s="347">
        <f>'B) D RI'!S82</f>
        <v>73</v>
      </c>
      <c r="D81" s="164">
        <f>'B) D RI'!AR82</f>
        <v>1119</v>
      </c>
      <c r="E81" s="345">
        <f>'D) Ecrêtage'!M80</f>
        <v>41782.284931506838</v>
      </c>
      <c r="F81" s="349">
        <f>'E) Fact soc'!G86</f>
        <v>716297.25097034371</v>
      </c>
      <c r="G81" s="346">
        <f>'H) Péréquation directe'!I91</f>
        <v>456046.30000069825</v>
      </c>
      <c r="H81" s="349">
        <f>+'I) Dépenses thématiques'!O80</f>
        <v>0</v>
      </c>
      <c r="I81" s="346">
        <f>'K) Plafonnement aide'!J80</f>
        <v>0</v>
      </c>
      <c r="J81" s="349">
        <f>'J) Plafonnement effort'!I80</f>
        <v>0</v>
      </c>
      <c r="K81" s="346">
        <f>'L) Plafonnement taux'!Q81</f>
        <v>0</v>
      </c>
      <c r="L81" s="344">
        <f t="shared" si="2"/>
        <v>1172343.5509710419</v>
      </c>
      <c r="M81" s="246">
        <f>'M) Police'!O81</f>
        <v>128730.22952784087</v>
      </c>
      <c r="N81" s="246">
        <f t="shared" si="3"/>
        <v>1301073.7804988828</v>
      </c>
      <c r="P81" s="307"/>
      <c r="R81" s="352"/>
    </row>
    <row r="82" spans="1:18" s="165" customFormat="1" x14ac:dyDescent="0.25">
      <c r="A82" s="162">
        <f>'B) D RI'!A83</f>
        <v>5522</v>
      </c>
      <c r="B82" s="163" t="str">
        <f>'B) D RI'!B83</f>
        <v>Fey</v>
      </c>
      <c r="C82" s="347">
        <f>'B) D RI'!S83</f>
        <v>75</v>
      </c>
      <c r="D82" s="164">
        <f>'B) D RI'!AR83</f>
        <v>703</v>
      </c>
      <c r="E82" s="345">
        <f>'D) Ecrêtage'!M81</f>
        <v>20521.084933333332</v>
      </c>
      <c r="F82" s="349">
        <f>'E) Fact soc'!G87</f>
        <v>377070.65297971404</v>
      </c>
      <c r="G82" s="346">
        <f>'H) Péréquation directe'!I92</f>
        <v>64972.627265412768</v>
      </c>
      <c r="H82" s="349">
        <f>+'I) Dépenses thématiques'!O81</f>
        <v>-16437.776055721886</v>
      </c>
      <c r="I82" s="346">
        <f>'K) Plafonnement aide'!J81</f>
        <v>0</v>
      </c>
      <c r="J82" s="349">
        <f>'J) Plafonnement effort'!I81</f>
        <v>0</v>
      </c>
      <c r="K82" s="346">
        <f>'L) Plafonnement taux'!Q82</f>
        <v>0</v>
      </c>
      <c r="L82" s="344">
        <f t="shared" si="2"/>
        <v>425605.50418940489</v>
      </c>
      <c r="M82" s="246">
        <f>'M) Police'!O82</f>
        <v>63298.254402546037</v>
      </c>
      <c r="N82" s="246">
        <f t="shared" si="3"/>
        <v>488903.75859195093</v>
      </c>
      <c r="P82" s="307"/>
      <c r="R82" s="352"/>
    </row>
    <row r="83" spans="1:18" s="165" customFormat="1" x14ac:dyDescent="0.25">
      <c r="A83" s="162">
        <f>'B) D RI'!A84</f>
        <v>5523</v>
      </c>
      <c r="B83" s="163" t="str">
        <f>'B) D RI'!B84</f>
        <v>Froideville</v>
      </c>
      <c r="C83" s="347">
        <f>'B) D RI'!S84</f>
        <v>76</v>
      </c>
      <c r="D83" s="164">
        <f>'B) D RI'!AR84</f>
        <v>2561</v>
      </c>
      <c r="E83" s="345">
        <f>'D) Ecrêtage'!M82</f>
        <v>83854.770526315799</v>
      </c>
      <c r="F83" s="349">
        <f>'E) Fact soc'!G88</f>
        <v>1403515.3408985825</v>
      </c>
      <c r="G83" s="346">
        <f>'H) Péréquation directe'!I93</f>
        <v>204026.90306425979</v>
      </c>
      <c r="H83" s="349">
        <f>+'I) Dépenses thématiques'!O82</f>
        <v>-142024.50708274354</v>
      </c>
      <c r="I83" s="346">
        <f>'K) Plafonnement aide'!J82</f>
        <v>0</v>
      </c>
      <c r="J83" s="349">
        <f>'J) Plafonnement effort'!I82</f>
        <v>0</v>
      </c>
      <c r="K83" s="346">
        <f>'L) Plafonnement taux'!Q83</f>
        <v>0</v>
      </c>
      <c r="L83" s="344">
        <f t="shared" si="2"/>
        <v>1465517.7368800987</v>
      </c>
      <c r="M83" s="246">
        <f>'M) Police'!O83</f>
        <v>258562.27604926546</v>
      </c>
      <c r="N83" s="246">
        <f t="shared" si="3"/>
        <v>1724080.0129293641</v>
      </c>
      <c r="P83" s="307"/>
      <c r="R83" s="352"/>
    </row>
    <row r="84" spans="1:18" s="165" customFormat="1" x14ac:dyDescent="0.25">
      <c r="A84" s="162">
        <f>'B) D RI'!A85</f>
        <v>5527</v>
      </c>
      <c r="B84" s="163" t="str">
        <f>'B) D RI'!B85</f>
        <v>Morrens</v>
      </c>
      <c r="C84" s="347">
        <f>'B) D RI'!S85</f>
        <v>71</v>
      </c>
      <c r="D84" s="164">
        <f>'B) D RI'!AR85</f>
        <v>1092</v>
      </c>
      <c r="E84" s="345">
        <f>'D) Ecrêtage'!M83</f>
        <v>39746.766619718313</v>
      </c>
      <c r="F84" s="349">
        <f>'E) Fact soc'!G89</f>
        <v>678555.23087790329</v>
      </c>
      <c r="G84" s="346">
        <f>'H) Péréquation directe'!I94</f>
        <v>420752.25554122392</v>
      </c>
      <c r="H84" s="349">
        <f>+'I) Dépenses thématiques'!O83</f>
        <v>-28018.602153315234</v>
      </c>
      <c r="I84" s="346">
        <f>'K) Plafonnement aide'!J83</f>
        <v>0</v>
      </c>
      <c r="J84" s="349">
        <f>'J) Plafonnement effort'!I83</f>
        <v>0</v>
      </c>
      <c r="K84" s="346">
        <f>'L) Plafonnement taux'!Q84</f>
        <v>0</v>
      </c>
      <c r="L84" s="344">
        <f t="shared" si="2"/>
        <v>1071288.8842658121</v>
      </c>
      <c r="M84" s="246">
        <f>'M) Police'!O84</f>
        <v>122733.21521323954</v>
      </c>
      <c r="N84" s="246">
        <f t="shared" si="3"/>
        <v>1194022.0994790518</v>
      </c>
      <c r="P84" s="307"/>
      <c r="R84" s="352"/>
    </row>
    <row r="85" spans="1:18" s="165" customFormat="1" x14ac:dyDescent="0.25">
      <c r="A85" s="162">
        <f>'B) D RI'!A86</f>
        <v>5529</v>
      </c>
      <c r="B85" s="163" t="str">
        <f>'B) D RI'!B86</f>
        <v>Oulens-sous-Echallens</v>
      </c>
      <c r="C85" s="347">
        <f>'B) D RI'!S86</f>
        <v>71</v>
      </c>
      <c r="D85" s="164">
        <f>'B) D RI'!AR86</f>
        <v>577</v>
      </c>
      <c r="E85" s="345">
        <f>'D) Ecrêtage'!M84</f>
        <v>20201.042816901412</v>
      </c>
      <c r="F85" s="349">
        <f>'E) Fact soc'!G90</f>
        <v>356163.20987303928</v>
      </c>
      <c r="G85" s="346">
        <f>'H) Péréquation directe'!I95</f>
        <v>203497.50503971212</v>
      </c>
      <c r="H85" s="349">
        <f>+'I) Dépenses thématiques'!O84</f>
        <v>-117411.30596395432</v>
      </c>
      <c r="I85" s="346">
        <f>'K) Plafonnement aide'!J84</f>
        <v>0</v>
      </c>
      <c r="J85" s="349">
        <f>'J) Plafonnement effort'!I84</f>
        <v>0</v>
      </c>
      <c r="K85" s="346">
        <f>'L) Plafonnement taux'!Q85</f>
        <v>0</v>
      </c>
      <c r="L85" s="344">
        <f t="shared" si="2"/>
        <v>442249.40894879715</v>
      </c>
      <c r="M85" s="246">
        <f>'M) Police'!O85</f>
        <v>62510.563874225692</v>
      </c>
      <c r="N85" s="246">
        <f t="shared" si="3"/>
        <v>504759.97282302286</v>
      </c>
      <c r="P85" s="307"/>
      <c r="R85" s="352"/>
    </row>
    <row r="86" spans="1:18" s="165" customFormat="1" x14ac:dyDescent="0.25">
      <c r="A86" s="162">
        <f>'B) D RI'!A87</f>
        <v>5530</v>
      </c>
      <c r="B86" s="163" t="str">
        <f>'B) D RI'!B87</f>
        <v>Pailly</v>
      </c>
      <c r="C86" s="347">
        <f>'B) D RI'!S87</f>
        <v>77.5</v>
      </c>
      <c r="D86" s="164">
        <f>'B) D RI'!AR87</f>
        <v>543</v>
      </c>
      <c r="E86" s="345">
        <f>'D) Ecrêtage'!M85</f>
        <v>17056.622387096773</v>
      </c>
      <c r="F86" s="349">
        <f>'E) Fact soc'!G91</f>
        <v>307193.46371145442</v>
      </c>
      <c r="G86" s="346">
        <f>'H) Péréquation directe'!I96</f>
        <v>88420.388970248372</v>
      </c>
      <c r="H86" s="349">
        <f>+'I) Dépenses thématiques'!O85</f>
        <v>-515006.84052665351</v>
      </c>
      <c r="I86" s="346">
        <f>'K) Plafonnement aide'!J85</f>
        <v>0</v>
      </c>
      <c r="J86" s="349">
        <f>'J) Plafonnement effort'!I85</f>
        <v>0</v>
      </c>
      <c r="K86" s="346">
        <f>'L) Plafonnement taux'!Q86</f>
        <v>0</v>
      </c>
      <c r="L86" s="344">
        <f t="shared" si="2"/>
        <v>-119392.98784495069</v>
      </c>
      <c r="M86" s="246">
        <f>'M) Police'!O86</f>
        <v>53293.390809104916</v>
      </c>
      <c r="N86" s="246">
        <f t="shared" si="3"/>
        <v>-66099.597035845771</v>
      </c>
      <c r="P86" s="307"/>
      <c r="R86" s="352"/>
    </row>
    <row r="87" spans="1:18" s="165" customFormat="1" x14ac:dyDescent="0.25">
      <c r="A87" s="162">
        <f>'B) D RI'!A88</f>
        <v>5531</v>
      </c>
      <c r="B87" s="163" t="str">
        <f>'B) D RI'!B88</f>
        <v>Penthéréaz</v>
      </c>
      <c r="C87" s="347">
        <f>'B) D RI'!S88</f>
        <v>78</v>
      </c>
      <c r="D87" s="164">
        <f>'B) D RI'!AR88</f>
        <v>418</v>
      </c>
      <c r="E87" s="345">
        <f>'D) Ecrêtage'!M86</f>
        <v>13134.769871794872</v>
      </c>
      <c r="F87" s="349">
        <f>'E) Fact soc'!G92</f>
        <v>226024.44155883312</v>
      </c>
      <c r="G87" s="346">
        <f>'H) Péréquation directe'!I97</f>
        <v>66536.35577557495</v>
      </c>
      <c r="H87" s="349">
        <f>+'I) Dépenses thématiques'!O86</f>
        <v>-57732.029825148937</v>
      </c>
      <c r="I87" s="346">
        <f>'K) Plafonnement aide'!J86</f>
        <v>0</v>
      </c>
      <c r="J87" s="349">
        <f>'J) Plafonnement effort'!I86</f>
        <v>0</v>
      </c>
      <c r="K87" s="346">
        <f>'L) Plafonnement taux'!Q87</f>
        <v>0</v>
      </c>
      <c r="L87" s="344">
        <f t="shared" si="2"/>
        <v>234828.76750925911</v>
      </c>
      <c r="M87" s="246">
        <f>'M) Police'!O87</f>
        <v>40728.046620145833</v>
      </c>
      <c r="N87" s="246">
        <f t="shared" si="3"/>
        <v>275556.81412940496</v>
      </c>
      <c r="P87" s="307"/>
      <c r="R87" s="352"/>
    </row>
    <row r="88" spans="1:18" s="165" customFormat="1" x14ac:dyDescent="0.25">
      <c r="A88" s="162">
        <f>'B) D RI'!A89</f>
        <v>5533</v>
      </c>
      <c r="B88" s="163" t="str">
        <f>'B) D RI'!B89</f>
        <v>Poliez-Pittet</v>
      </c>
      <c r="C88" s="347">
        <f>'B) D RI'!S89</f>
        <v>71</v>
      </c>
      <c r="D88" s="164">
        <f>'B) D RI'!AR89</f>
        <v>849</v>
      </c>
      <c r="E88" s="345">
        <f>'D) Ecrêtage'!M87</f>
        <v>28042.897605633803</v>
      </c>
      <c r="F88" s="349">
        <f>'E) Fact soc'!G93</f>
        <v>439816.67250330898</v>
      </c>
      <c r="G88" s="346">
        <f>'H) Péréquation directe'!I98</f>
        <v>234702.47964950243</v>
      </c>
      <c r="H88" s="349">
        <f>+'I) Dépenses thématiques'!O87</f>
        <v>-40494.334182702172</v>
      </c>
      <c r="I88" s="346">
        <f>'K) Plafonnement aide'!J87</f>
        <v>0</v>
      </c>
      <c r="J88" s="349">
        <f>'J) Plafonnement effort'!I87</f>
        <v>0</v>
      </c>
      <c r="K88" s="346">
        <f>'L) Plafonnement taux'!Q88</f>
        <v>0</v>
      </c>
      <c r="L88" s="344">
        <f t="shared" si="2"/>
        <v>634024.81797010929</v>
      </c>
      <c r="M88" s="246">
        <f>'M) Police'!O88</f>
        <v>86866.859590216918</v>
      </c>
      <c r="N88" s="246">
        <f t="shared" si="3"/>
        <v>720891.67756032618</v>
      </c>
      <c r="P88" s="307"/>
      <c r="R88" s="352"/>
    </row>
    <row r="89" spans="1:18" s="165" customFormat="1" x14ac:dyDescent="0.25">
      <c r="A89" s="162">
        <f>'B) D RI'!A90</f>
        <v>5534</v>
      </c>
      <c r="B89" s="163" t="str">
        <f>'B) D RI'!B90</f>
        <v>Rueyres</v>
      </c>
      <c r="C89" s="347">
        <f>'B) D RI'!S90</f>
        <v>73</v>
      </c>
      <c r="D89" s="164">
        <f>'B) D RI'!AR90</f>
        <v>257</v>
      </c>
      <c r="E89" s="345">
        <f>'D) Ecrêtage'!M88</f>
        <v>9722.0657534246584</v>
      </c>
      <c r="F89" s="349">
        <f>'E) Fact soc'!G94</f>
        <v>157538.18328898438</v>
      </c>
      <c r="G89" s="346">
        <f>'H) Péréquation directe'!I99</f>
        <v>116483.82718150281</v>
      </c>
      <c r="H89" s="349">
        <f>+'I) Dépenses thématiques'!O88</f>
        <v>-17614.933110393951</v>
      </c>
      <c r="I89" s="346">
        <f>'K) Plafonnement aide'!J88</f>
        <v>0</v>
      </c>
      <c r="J89" s="349">
        <f>'J) Plafonnement effort'!I88</f>
        <v>0</v>
      </c>
      <c r="K89" s="346">
        <f>'L) Plafonnement taux'!Q89</f>
        <v>0</v>
      </c>
      <c r="L89" s="344">
        <f t="shared" si="2"/>
        <v>256407.07736009322</v>
      </c>
      <c r="M89" s="246">
        <f>'M) Police'!O89</f>
        <v>29528.026142782997</v>
      </c>
      <c r="N89" s="246">
        <f t="shared" si="3"/>
        <v>285935.10350287624</v>
      </c>
      <c r="P89" s="307"/>
      <c r="R89" s="352"/>
    </row>
    <row r="90" spans="1:18" s="165" customFormat="1" x14ac:dyDescent="0.25">
      <c r="A90" s="162">
        <f>'B) D RI'!A91</f>
        <v>5535</v>
      </c>
      <c r="B90" s="163" t="str">
        <f>'B) D RI'!B91</f>
        <v>Saint-Barthélemy</v>
      </c>
      <c r="C90" s="347">
        <f>'B) D RI'!S91</f>
        <v>77</v>
      </c>
      <c r="D90" s="164">
        <f>'B) D RI'!AR91</f>
        <v>769</v>
      </c>
      <c r="E90" s="345">
        <f>'D) Ecrêtage'!M89</f>
        <v>23314.139350649355</v>
      </c>
      <c r="F90" s="349">
        <f>'E) Fact soc'!G95</f>
        <v>376327.86777032173</v>
      </c>
      <c r="G90" s="346">
        <f>'H) Péréquation directe'!I100</f>
        <v>93007.45496781863</v>
      </c>
      <c r="H90" s="349">
        <f>+'I) Dépenses thématiques'!O89</f>
        <v>0</v>
      </c>
      <c r="I90" s="346">
        <f>'K) Plafonnement aide'!J89</f>
        <v>0</v>
      </c>
      <c r="J90" s="349">
        <f>'J) Plafonnement effort'!I89</f>
        <v>0</v>
      </c>
      <c r="K90" s="346">
        <f>'L) Plafonnement taux'!Q90</f>
        <v>0</v>
      </c>
      <c r="L90" s="344">
        <f t="shared" si="2"/>
        <v>469335.32273814036</v>
      </c>
      <c r="M90" s="246">
        <f>'M) Police'!O90</f>
        <v>71954.232052537787</v>
      </c>
      <c r="N90" s="246">
        <f t="shared" si="3"/>
        <v>541289.5547906782</v>
      </c>
      <c r="P90" s="307"/>
      <c r="R90" s="352"/>
    </row>
    <row r="91" spans="1:18" s="165" customFormat="1" x14ac:dyDescent="0.25">
      <c r="A91" s="162">
        <f>'B) D RI'!A92</f>
        <v>5537</v>
      </c>
      <c r="B91" s="163" t="str">
        <f>'B) D RI'!B92</f>
        <v>Villars-le-Terroir</v>
      </c>
      <c r="C91" s="347">
        <f>'B) D RI'!S92</f>
        <v>73</v>
      </c>
      <c r="D91" s="164">
        <f>'B) D RI'!AR92</f>
        <v>1150</v>
      </c>
      <c r="E91" s="345">
        <f>'D) Ecrêtage'!M90</f>
        <v>33778.811643835616</v>
      </c>
      <c r="F91" s="349">
        <f>'E) Fact soc'!G96</f>
        <v>579795.2759610794</v>
      </c>
      <c r="G91" s="346">
        <f>'H) Péréquation directe'!I101</f>
        <v>98630.354343048879</v>
      </c>
      <c r="H91" s="349">
        <f>+'I) Dépenses thématiques'!O90</f>
        <v>-43985.711264101497</v>
      </c>
      <c r="I91" s="346">
        <f>'K) Plafonnement aide'!J90</f>
        <v>0</v>
      </c>
      <c r="J91" s="349">
        <f>'J) Plafonnement effort'!I90</f>
        <v>0</v>
      </c>
      <c r="K91" s="346">
        <f>'L) Plafonnement taux'!Q91</f>
        <v>0</v>
      </c>
      <c r="L91" s="344">
        <f t="shared" si="2"/>
        <v>634439.91904002684</v>
      </c>
      <c r="M91" s="246">
        <f>'M) Police'!O91</f>
        <v>103881.02969043906</v>
      </c>
      <c r="N91" s="246">
        <f t="shared" si="3"/>
        <v>738320.94873046596</v>
      </c>
      <c r="P91" s="307"/>
      <c r="R91" s="352"/>
    </row>
    <row r="92" spans="1:18" s="165" customFormat="1" x14ac:dyDescent="0.25">
      <c r="A92" s="162">
        <f>'B) D RI'!A93</f>
        <v>5539</v>
      </c>
      <c r="B92" s="163" t="str">
        <f>'B) D RI'!B93</f>
        <v>Vuarrens</v>
      </c>
      <c r="C92" s="347">
        <f>'B) D RI'!S93</f>
        <v>75</v>
      </c>
      <c r="D92" s="164">
        <f>'B) D RI'!AR93</f>
        <v>1003</v>
      </c>
      <c r="E92" s="345">
        <f>'D) Ecrêtage'!M91</f>
        <v>26961.993700000003</v>
      </c>
      <c r="F92" s="349">
        <f>'E) Fact soc'!G97</f>
        <v>452599.26403095678</v>
      </c>
      <c r="G92" s="346">
        <f>'H) Péréquation directe'!I102</f>
        <v>-2599.4435903425911</v>
      </c>
      <c r="H92" s="349">
        <f>+'I) Dépenses thématiques'!O91</f>
        <v>-346649.25519670977</v>
      </c>
      <c r="I92" s="346">
        <f>'K) Plafonnement aide'!J91</f>
        <v>0</v>
      </c>
      <c r="J92" s="349">
        <f>'J) Plafonnement effort'!I91</f>
        <v>0</v>
      </c>
      <c r="K92" s="346">
        <f>'L) Plafonnement taux'!Q92</f>
        <v>0</v>
      </c>
      <c r="L92" s="344">
        <f t="shared" si="2"/>
        <v>103350.56524390442</v>
      </c>
      <c r="M92" s="246">
        <f>'M) Police'!O92</f>
        <v>82768.012826376056</v>
      </c>
      <c r="N92" s="246">
        <f t="shared" si="3"/>
        <v>186118.57807028049</v>
      </c>
      <c r="P92" s="307"/>
      <c r="R92" s="352"/>
    </row>
    <row r="93" spans="1:18" s="165" customFormat="1" x14ac:dyDescent="0.25">
      <c r="A93" s="162">
        <f>'B) D RI'!A94</f>
        <v>5540</v>
      </c>
      <c r="B93" s="163" t="str">
        <f>'B) D RI'!B94</f>
        <v>Montilliez</v>
      </c>
      <c r="C93" s="347">
        <f>'B) D RI'!S94</f>
        <v>74</v>
      </c>
      <c r="D93" s="164">
        <f>'B) D RI'!AR94</f>
        <v>1731</v>
      </c>
      <c r="E93" s="345">
        <f>'D) Ecrêtage'!M92</f>
        <v>57534.065472972972</v>
      </c>
      <c r="F93" s="349">
        <f>'E) Fact soc'!G98</f>
        <v>969454.87754498853</v>
      </c>
      <c r="G93" s="346">
        <f>'H) Péréquation directe'!I103</f>
        <v>277230.4422529795</v>
      </c>
      <c r="H93" s="349">
        <f>+'I) Dépenses thématiques'!O92</f>
        <v>-281747.08907978382</v>
      </c>
      <c r="I93" s="346">
        <f>'K) Plafonnement aide'!J92</f>
        <v>0</v>
      </c>
      <c r="J93" s="349">
        <f>'J) Plafonnement effort'!I92</f>
        <v>0</v>
      </c>
      <c r="K93" s="346">
        <f>'L) Plafonnement taux'!Q93</f>
        <v>0</v>
      </c>
      <c r="L93" s="344">
        <f>F93+G93+H93+I93+J93+K93</f>
        <v>964938.23071818426</v>
      </c>
      <c r="M93" s="246">
        <f>'M) Police'!O93</f>
        <v>177997.58687342459</v>
      </c>
      <c r="N93" s="246">
        <f t="shared" si="3"/>
        <v>1142935.817591609</v>
      </c>
      <c r="P93" s="307"/>
      <c r="R93" s="352"/>
    </row>
    <row r="94" spans="1:18" s="165" customFormat="1" x14ac:dyDescent="0.25">
      <c r="A94" s="162">
        <f>'B) D RI'!A95</f>
        <v>5541</v>
      </c>
      <c r="B94" s="163" t="str">
        <f>'B) D RI'!B95</f>
        <v>Goumoëns</v>
      </c>
      <c r="C94" s="347">
        <f>'B) D RI'!S95</f>
        <v>77</v>
      </c>
      <c r="D94" s="164">
        <f>'B) D RI'!AR95</f>
        <v>1110</v>
      </c>
      <c r="E94" s="345">
        <f>'D) Ecrêtage'!M93</f>
        <v>38967.18311688312</v>
      </c>
      <c r="F94" s="349">
        <f>'E) Fact soc'!G99</f>
        <v>657197.90601452626</v>
      </c>
      <c r="G94" s="346">
        <f>'H) Péréquation directe'!I104</f>
        <v>330460.28986399621</v>
      </c>
      <c r="H94" s="349">
        <f>+'I) Dépenses thématiques'!O93</f>
        <v>-17102.491259345399</v>
      </c>
      <c r="I94" s="346">
        <f>'K) Plafonnement aide'!J93</f>
        <v>0</v>
      </c>
      <c r="J94" s="349">
        <f>'J) Plafonnement effort'!I93</f>
        <v>0</v>
      </c>
      <c r="K94" s="346">
        <f>'L) Plafonnement taux'!Q94</f>
        <v>0</v>
      </c>
      <c r="L94" s="344">
        <f>F94+G94+H94+I94+J94+K94</f>
        <v>970555.70461917704</v>
      </c>
      <c r="M94" s="246">
        <f>'M) Police'!O94</f>
        <v>121276.35103964685</v>
      </c>
      <c r="N94" s="246">
        <f t="shared" si="3"/>
        <v>1091832.0556588238</v>
      </c>
      <c r="P94" s="307"/>
      <c r="R94" s="352"/>
    </row>
    <row r="95" spans="1:18" s="165" customFormat="1" x14ac:dyDescent="0.25">
      <c r="A95" s="162">
        <f>'B) D RI'!A96</f>
        <v>5551</v>
      </c>
      <c r="B95" s="163" t="str">
        <f>'B) D RI'!B96</f>
        <v>Bonvillars</v>
      </c>
      <c r="C95" s="347">
        <f>'B) D RI'!S96</f>
        <v>55</v>
      </c>
      <c r="D95" s="164">
        <f>'B) D RI'!AR96</f>
        <v>495</v>
      </c>
      <c r="E95" s="345">
        <f>'D) Ecrêtage'!M94</f>
        <v>18919.686363636367</v>
      </c>
      <c r="F95" s="349">
        <f>'E) Fact soc'!G100</f>
        <v>345182.844625164</v>
      </c>
      <c r="G95" s="346">
        <f>'H) Péréquation directe'!I105</f>
        <v>261816.56787055352</v>
      </c>
      <c r="H95" s="349">
        <f>+'I) Dépenses thématiques'!O94</f>
        <v>-73914.267771260333</v>
      </c>
      <c r="I95" s="346">
        <f>'K) Plafonnement aide'!J94</f>
        <v>0</v>
      </c>
      <c r="J95" s="349">
        <f>'J) Plafonnement effort'!I94</f>
        <v>0</v>
      </c>
      <c r="K95" s="346">
        <f>'L) Plafonnement taux'!Q95</f>
        <v>0</v>
      </c>
      <c r="L95" s="344">
        <f t="shared" si="2"/>
        <v>533085.14472445718</v>
      </c>
      <c r="M95" s="246">
        <f>'M) Police'!O95</f>
        <v>57385.39295982389</v>
      </c>
      <c r="N95" s="246">
        <f t="shared" si="3"/>
        <v>590470.53768428112</v>
      </c>
      <c r="P95" s="307"/>
      <c r="R95" s="352"/>
    </row>
    <row r="96" spans="1:18" s="165" customFormat="1" x14ac:dyDescent="0.25">
      <c r="A96" s="162">
        <f>'B) D RI'!A97</f>
        <v>5552</v>
      </c>
      <c r="B96" s="163" t="str">
        <f>'B) D RI'!B97</f>
        <v>Bullet</v>
      </c>
      <c r="C96" s="347">
        <f>'B) D RI'!S97</f>
        <v>70</v>
      </c>
      <c r="D96" s="164">
        <f>'B) D RI'!AR97</f>
        <v>644</v>
      </c>
      <c r="E96" s="345">
        <f>'D) Ecrêtage'!M95</f>
        <v>17961.232428571428</v>
      </c>
      <c r="F96" s="349">
        <f>'E) Fact soc'!G101</f>
        <v>328865.73186990229</v>
      </c>
      <c r="G96" s="346">
        <f>'H) Péréquation directe'!I106</f>
        <v>56662.068161168601</v>
      </c>
      <c r="H96" s="349">
        <f>+'I) Dépenses thématiques'!O95</f>
        <v>-194353.79714387169</v>
      </c>
      <c r="I96" s="346">
        <f>'K) Plafonnement aide'!J95</f>
        <v>0</v>
      </c>
      <c r="J96" s="349">
        <f>'J) Plafonnement effort'!I95</f>
        <v>0</v>
      </c>
      <c r="K96" s="346">
        <f>'L) Plafonnement taux'!Q96</f>
        <v>0</v>
      </c>
      <c r="L96" s="344">
        <f t="shared" si="2"/>
        <v>191174.0028871992</v>
      </c>
      <c r="M96" s="246">
        <f>'M) Police'!O96</f>
        <v>54966.643439446845</v>
      </c>
      <c r="N96" s="246">
        <f t="shared" si="3"/>
        <v>246140.64632664603</v>
      </c>
      <c r="P96" s="307"/>
      <c r="R96" s="352"/>
    </row>
    <row r="97" spans="1:18" s="165" customFormat="1" x14ac:dyDescent="0.25">
      <c r="A97" s="162">
        <f>'B) D RI'!A98</f>
        <v>5553</v>
      </c>
      <c r="B97" s="163" t="str">
        <f>'B) D RI'!B98</f>
        <v>Champagne</v>
      </c>
      <c r="C97" s="347">
        <f>'B) D RI'!S98</f>
        <v>65</v>
      </c>
      <c r="D97" s="164">
        <f>'B) D RI'!AR98</f>
        <v>1027</v>
      </c>
      <c r="E97" s="345">
        <f>'D) Ecrêtage'!M96</f>
        <v>34503.509846153851</v>
      </c>
      <c r="F97" s="349">
        <f>'E) Fact soc'!G102</f>
        <v>623860.89433756995</v>
      </c>
      <c r="G97" s="346">
        <f>'H) Péréquation directe'!I107</f>
        <v>336874.69159801526</v>
      </c>
      <c r="H97" s="349">
        <f>+'I) Dépenses thématiques'!O96</f>
        <v>-238989.66977923081</v>
      </c>
      <c r="I97" s="346">
        <f>'K) Plafonnement aide'!J96</f>
        <v>0</v>
      </c>
      <c r="J97" s="349">
        <f>'J) Plafonnement effort'!I96</f>
        <v>0</v>
      </c>
      <c r="K97" s="346">
        <f>'L) Plafonnement taux'!Q97</f>
        <v>0</v>
      </c>
      <c r="L97" s="344">
        <f t="shared" si="2"/>
        <v>721745.91615635436</v>
      </c>
      <c r="M97" s="246">
        <f>'M) Police'!O97</f>
        <v>104960.846074987</v>
      </c>
      <c r="N97" s="246">
        <f t="shared" si="3"/>
        <v>826706.76223134133</v>
      </c>
      <c r="P97" s="307"/>
      <c r="R97" s="352"/>
    </row>
    <row r="98" spans="1:18" s="165" customFormat="1" x14ac:dyDescent="0.25">
      <c r="A98" s="162">
        <f>'B) D RI'!A99</f>
        <v>5554</v>
      </c>
      <c r="B98" s="163" t="str">
        <f>'B) D RI'!B99</f>
        <v>Concise</v>
      </c>
      <c r="C98" s="347">
        <f>'B) D RI'!S99</f>
        <v>75</v>
      </c>
      <c r="D98" s="164">
        <f>'B) D RI'!AR99</f>
        <v>969</v>
      </c>
      <c r="E98" s="345">
        <f>'D) Ecrêtage'!M97</f>
        <v>31707.482800000005</v>
      </c>
      <c r="F98" s="349">
        <f>'E) Fact soc'!G103</f>
        <v>535195.52005378425</v>
      </c>
      <c r="G98" s="346">
        <f>'H) Péréquation directe'!I108</f>
        <v>229237.85683657543</v>
      </c>
      <c r="H98" s="349">
        <f>+'I) Dépenses thématiques'!O97</f>
        <v>-144512.49101087404</v>
      </c>
      <c r="I98" s="346">
        <f>'K) Plafonnement aide'!J97</f>
        <v>0</v>
      </c>
      <c r="J98" s="349">
        <f>'J) Plafonnement effort'!I97</f>
        <v>0</v>
      </c>
      <c r="K98" s="346">
        <f>'L) Plafonnement taux'!Q98</f>
        <v>0</v>
      </c>
      <c r="L98" s="344">
        <f t="shared" si="2"/>
        <v>619920.88587948564</v>
      </c>
      <c r="M98" s="246">
        <f>'M) Police'!O98</f>
        <v>98143.443202983195</v>
      </c>
      <c r="N98" s="246">
        <f t="shared" si="3"/>
        <v>718064.32908246887</v>
      </c>
      <c r="P98" s="307"/>
      <c r="R98" s="352"/>
    </row>
    <row r="99" spans="1:18" s="165" customFormat="1" x14ac:dyDescent="0.25">
      <c r="A99" s="162">
        <f>'B) D RI'!A100</f>
        <v>5555</v>
      </c>
      <c r="B99" s="163" t="str">
        <f>'B) D RI'!B100</f>
        <v>Corcelles-près-Concise</v>
      </c>
      <c r="C99" s="347">
        <f>'B) D RI'!S100</f>
        <v>71</v>
      </c>
      <c r="D99" s="164">
        <f>'B) D RI'!AR100</f>
        <v>377</v>
      </c>
      <c r="E99" s="345">
        <f>'D) Ecrêtage'!M98</f>
        <v>13647.491690140843</v>
      </c>
      <c r="F99" s="349">
        <f>'E) Fact soc'!G104</f>
        <v>266872.25093054824</v>
      </c>
      <c r="G99" s="346">
        <f>'H) Péréquation directe'!I109</f>
        <v>150231.70169096056</v>
      </c>
      <c r="H99" s="349">
        <f>+'I) Dépenses thématiques'!O98</f>
        <v>-97273.398614153426</v>
      </c>
      <c r="I99" s="346">
        <f>'K) Plafonnement aide'!J98</f>
        <v>0</v>
      </c>
      <c r="J99" s="349">
        <f>'J) Plafonnement effort'!I98</f>
        <v>0</v>
      </c>
      <c r="K99" s="346">
        <f>'L) Plafonnement taux'!Q99</f>
        <v>0</v>
      </c>
      <c r="L99" s="344">
        <f t="shared" si="2"/>
        <v>319830.55400735536</v>
      </c>
      <c r="M99" s="246">
        <f>'M) Police'!O99</f>
        <v>41886.706394162087</v>
      </c>
      <c r="N99" s="246">
        <f t="shared" si="3"/>
        <v>361717.26040151744</v>
      </c>
      <c r="P99" s="307"/>
      <c r="R99" s="352"/>
    </row>
    <row r="100" spans="1:18" s="165" customFormat="1" x14ac:dyDescent="0.25">
      <c r="A100" s="162">
        <f>'B) D RI'!A101</f>
        <v>5556</v>
      </c>
      <c r="B100" s="163" t="str">
        <f>'B) D RI'!B101</f>
        <v>Fiez</v>
      </c>
      <c r="C100" s="347">
        <f>'B) D RI'!S101</f>
        <v>69</v>
      </c>
      <c r="D100" s="164">
        <f>'B) D RI'!AR101</f>
        <v>425</v>
      </c>
      <c r="E100" s="345">
        <f>'D) Ecrêtage'!M99</f>
        <v>12912.419806763286</v>
      </c>
      <c r="F100" s="349">
        <f>'E) Fact soc'!G105</f>
        <v>431155.05508866603</v>
      </c>
      <c r="G100" s="346">
        <f>'H) Péréquation directe'!I110</f>
        <v>80960.824043395842</v>
      </c>
      <c r="H100" s="349">
        <f>+'I) Dépenses thématiques'!O99</f>
        <v>-115203.90764034532</v>
      </c>
      <c r="I100" s="346">
        <f>'K) Plafonnement aide'!J99</f>
        <v>0</v>
      </c>
      <c r="J100" s="349">
        <f>'J) Plafonnement effort'!I99</f>
        <v>0</v>
      </c>
      <c r="K100" s="346">
        <f>'L) Plafonnement taux'!Q100</f>
        <v>0</v>
      </c>
      <c r="L100" s="344">
        <f t="shared" si="2"/>
        <v>396911.97149171651</v>
      </c>
      <c r="M100" s="246">
        <f>'M) Police'!O100</f>
        <v>39889.889873946566</v>
      </c>
      <c r="N100" s="246">
        <f t="shared" si="3"/>
        <v>436801.86136566306</v>
      </c>
      <c r="P100" s="307"/>
      <c r="R100" s="352"/>
    </row>
    <row r="101" spans="1:18" s="165" customFormat="1" x14ac:dyDescent="0.25">
      <c r="A101" s="162">
        <f>'B) D RI'!A102</f>
        <v>5557</v>
      </c>
      <c r="B101" s="163" t="str">
        <f>'B) D RI'!B102</f>
        <v>Fontaines-sur-Grandson</v>
      </c>
      <c r="C101" s="347">
        <f>'B) D RI'!S102</f>
        <v>69</v>
      </c>
      <c r="D101" s="164">
        <f>'B) D RI'!AR102</f>
        <v>210</v>
      </c>
      <c r="E101" s="345">
        <f>'D) Ecrêtage'!M100</f>
        <v>4472.1762318840592</v>
      </c>
      <c r="F101" s="349">
        <f>'E) Fact soc'!G106</f>
        <v>82464.134986461999</v>
      </c>
      <c r="G101" s="346">
        <f>'H) Péréquation directe'!I111</f>
        <v>-31342.620553889137</v>
      </c>
      <c r="H101" s="349">
        <f>+'I) Dépenses thématiques'!O100</f>
        <v>-36167.906918254434</v>
      </c>
      <c r="I101" s="346">
        <f>'K) Plafonnement aide'!J100</f>
        <v>0</v>
      </c>
      <c r="J101" s="349">
        <f>'J) Plafonnement effort'!I100</f>
        <v>0</v>
      </c>
      <c r="K101" s="346">
        <f>'L) Plafonnement taux'!Q101</f>
        <v>0</v>
      </c>
      <c r="L101" s="344">
        <f t="shared" si="2"/>
        <v>14953.607514318428</v>
      </c>
      <c r="M101" s="246">
        <f>'M) Police'!O101</f>
        <v>13589.662542019541</v>
      </c>
      <c r="N101" s="246">
        <f t="shared" si="3"/>
        <v>28543.270056337969</v>
      </c>
      <c r="P101" s="307"/>
      <c r="R101" s="352"/>
    </row>
    <row r="102" spans="1:18" s="165" customFormat="1" x14ac:dyDescent="0.25">
      <c r="A102" s="162">
        <f>'B) D RI'!A103</f>
        <v>5559</v>
      </c>
      <c r="B102" s="163" t="str">
        <f>'B) D RI'!B103</f>
        <v>Giez</v>
      </c>
      <c r="C102" s="347">
        <f>'B) D RI'!S103</f>
        <v>66</v>
      </c>
      <c r="D102" s="164">
        <f>'B) D RI'!AR103</f>
        <v>421</v>
      </c>
      <c r="E102" s="345">
        <f>'D) Ecrêtage'!M101</f>
        <v>14390.805000000002</v>
      </c>
      <c r="F102" s="349">
        <f>'E) Fact soc'!G107</f>
        <v>250286.5980973634</v>
      </c>
      <c r="G102" s="346">
        <f>'H) Péréquation directe'!I112</f>
        <v>147206.01272470102</v>
      </c>
      <c r="H102" s="349">
        <f>+'I) Dépenses thématiques'!O101</f>
        <v>-25223.605333923104</v>
      </c>
      <c r="I102" s="346">
        <f>'K) Plafonnement aide'!J101</f>
        <v>0</v>
      </c>
      <c r="J102" s="349">
        <f>'J) Plafonnement effort'!I101</f>
        <v>0</v>
      </c>
      <c r="K102" s="346">
        <f>'L) Plafonnement taux'!Q102</f>
        <v>0</v>
      </c>
      <c r="L102" s="344">
        <f t="shared" si="2"/>
        <v>372269.00548814132</v>
      </c>
      <c r="M102" s="246">
        <f>'M) Police'!O102</f>
        <v>43971.296389818875</v>
      </c>
      <c r="N102" s="246">
        <f t="shared" si="3"/>
        <v>416240.30187796021</v>
      </c>
      <c r="P102" s="307"/>
      <c r="R102" s="352"/>
    </row>
    <row r="103" spans="1:18" s="165" customFormat="1" x14ac:dyDescent="0.25">
      <c r="A103" s="162">
        <f>'B) D RI'!A104</f>
        <v>5560</v>
      </c>
      <c r="B103" s="163" t="str">
        <f>'B) D RI'!B104</f>
        <v>Grandevent</v>
      </c>
      <c r="C103" s="347">
        <f>'B) D RI'!S104</f>
        <v>68</v>
      </c>
      <c r="D103" s="164">
        <f>'B) D RI'!AR104</f>
        <v>229</v>
      </c>
      <c r="E103" s="345">
        <f>'D) Ecrêtage'!M102</f>
        <v>6268.2104411764703</v>
      </c>
      <c r="F103" s="349">
        <f>'E) Fact soc'!G108</f>
        <v>107801.69832036547</v>
      </c>
      <c r="G103" s="346">
        <f>'H) Péréquation directe'!I113</f>
        <v>20019.202043317026</v>
      </c>
      <c r="H103" s="349">
        <f>+'I) Dépenses thématiques'!O102</f>
        <v>-17843.384962071337</v>
      </c>
      <c r="I103" s="346">
        <f>'K) Plafonnement aide'!J102</f>
        <v>0</v>
      </c>
      <c r="J103" s="349">
        <f>'J) Plafonnement effort'!I102</f>
        <v>0</v>
      </c>
      <c r="K103" s="346">
        <f>'L) Plafonnement taux'!Q103</f>
        <v>0</v>
      </c>
      <c r="L103" s="344">
        <f t="shared" si="2"/>
        <v>109977.51540161116</v>
      </c>
      <c r="M103" s="246">
        <f>'M) Police'!O103</f>
        <v>19130.719340045995</v>
      </c>
      <c r="N103" s="246">
        <f t="shared" si="3"/>
        <v>129108.23474165716</v>
      </c>
      <c r="P103" s="307"/>
      <c r="R103" s="352"/>
    </row>
    <row r="104" spans="1:18" s="165" customFormat="1" x14ac:dyDescent="0.25">
      <c r="A104" s="162">
        <f>'B) D RI'!A105</f>
        <v>5561</v>
      </c>
      <c r="B104" s="163" t="str">
        <f>'B) D RI'!B105</f>
        <v>Grandson</v>
      </c>
      <c r="C104" s="347">
        <f>'B) D RI'!S105</f>
        <v>69</v>
      </c>
      <c r="D104" s="164">
        <f>'B) D RI'!AR105</f>
        <v>3284</v>
      </c>
      <c r="E104" s="345">
        <f>'D) Ecrêtage'!M103</f>
        <v>116951.12594202899</v>
      </c>
      <c r="F104" s="349">
        <f>'E) Fact soc'!G109</f>
        <v>2034473.9734213087</v>
      </c>
      <c r="G104" s="346">
        <f>'H) Péréquation directe'!I114</f>
        <v>661644.74311655527</v>
      </c>
      <c r="H104" s="349">
        <f>+'I) Dépenses thématiques'!O103</f>
        <v>-840346.58654767275</v>
      </c>
      <c r="I104" s="346">
        <f>'K) Plafonnement aide'!J103</f>
        <v>0</v>
      </c>
      <c r="J104" s="349">
        <f>'J) Plafonnement effort'!I103</f>
        <v>0</v>
      </c>
      <c r="K104" s="346">
        <f>'L) Plafonnement taux'!Q104</f>
        <v>0</v>
      </c>
      <c r="L104" s="344">
        <f t="shared" si="2"/>
        <v>1855772.1299901912</v>
      </c>
      <c r="M104" s="246">
        <f>'M) Police'!O104</f>
        <v>362163.1502361559</v>
      </c>
      <c r="N104" s="246">
        <f t="shared" si="3"/>
        <v>2217935.280226347</v>
      </c>
      <c r="P104" s="307"/>
      <c r="R104" s="352"/>
    </row>
    <row r="105" spans="1:18" s="165" customFormat="1" x14ac:dyDescent="0.25">
      <c r="A105" s="162">
        <f>'B) D RI'!A106</f>
        <v>5562</v>
      </c>
      <c r="B105" s="163" t="str">
        <f>'B) D RI'!B106</f>
        <v>Mauborget</v>
      </c>
      <c r="C105" s="347">
        <f>'B) D RI'!S106</f>
        <v>70</v>
      </c>
      <c r="D105" s="164">
        <f>'B) D RI'!AR106</f>
        <v>119</v>
      </c>
      <c r="E105" s="345">
        <f>'D) Ecrêtage'!M104</f>
        <v>5914.7906428571432</v>
      </c>
      <c r="F105" s="349">
        <f>'E) Fact soc'!G110</f>
        <v>95364.24402960368</v>
      </c>
      <c r="G105" s="346">
        <f>'H) Péréquation directe'!I115</f>
        <v>97596.490265136774</v>
      </c>
      <c r="H105" s="349">
        <f>+'I) Dépenses thématiques'!O104</f>
        <v>-9637.6837107521005</v>
      </c>
      <c r="I105" s="346">
        <f>'K) Plafonnement aide'!J104</f>
        <v>0</v>
      </c>
      <c r="J105" s="349">
        <f>'J) Plafonnement effort'!I104</f>
        <v>0</v>
      </c>
      <c r="K105" s="346">
        <f>'L) Plafonnement taux'!Q105</f>
        <v>0</v>
      </c>
      <c r="L105" s="344">
        <f t="shared" si="2"/>
        <v>183323.05058398834</v>
      </c>
      <c r="M105" s="246">
        <f>'M) Police'!O105</f>
        <v>17591.60743584788</v>
      </c>
      <c r="N105" s="246">
        <f t="shared" si="3"/>
        <v>200914.65801983624</v>
      </c>
      <c r="P105" s="307"/>
      <c r="R105" s="352"/>
    </row>
    <row r="106" spans="1:18" s="165" customFormat="1" x14ac:dyDescent="0.25">
      <c r="A106" s="162">
        <f>'B) D RI'!A107</f>
        <v>5563</v>
      </c>
      <c r="B106" s="163" t="str">
        <f>'B) D RI'!B107</f>
        <v>Mutrux</v>
      </c>
      <c r="C106" s="347">
        <f>'B) D RI'!S107</f>
        <v>78.5</v>
      </c>
      <c r="D106" s="164">
        <f>'B) D RI'!AR107</f>
        <v>163</v>
      </c>
      <c r="E106" s="345">
        <f>'D) Ecrêtage'!M105</f>
        <v>3113.0356687898088</v>
      </c>
      <c r="F106" s="349">
        <f>'E) Fact soc'!G111</f>
        <v>52864.22400028861</v>
      </c>
      <c r="G106" s="346">
        <f>'H) Péréquation directe'!I116</f>
        <v>-61024.724494270915</v>
      </c>
      <c r="H106" s="349">
        <f>+'I) Dépenses thématiques'!O105</f>
        <v>-33953.837529223485</v>
      </c>
      <c r="I106" s="346">
        <f>'K) Plafonnement aide'!J105</f>
        <v>0</v>
      </c>
      <c r="J106" s="349">
        <f>'J) Plafonnement effort'!I105</f>
        <v>0</v>
      </c>
      <c r="K106" s="346">
        <f>'L) Plafonnement taux'!Q106</f>
        <v>0</v>
      </c>
      <c r="L106" s="344">
        <f t="shared" si="2"/>
        <v>-42114.33802320579</v>
      </c>
      <c r="M106" s="246">
        <f>'M) Police'!O106</f>
        <v>9550.9538025174588</v>
      </c>
      <c r="N106" s="246">
        <f t="shared" si="3"/>
        <v>-32563.384220688331</v>
      </c>
      <c r="P106" s="307"/>
      <c r="R106" s="352"/>
    </row>
    <row r="107" spans="1:18" s="165" customFormat="1" x14ac:dyDescent="0.25">
      <c r="A107" s="162">
        <f>'B) D RI'!A108</f>
        <v>5564</v>
      </c>
      <c r="B107" s="163" t="str">
        <f>'B) D RI'!B108</f>
        <v>Novalles</v>
      </c>
      <c r="C107" s="347">
        <f>'B) D RI'!S108</f>
        <v>76</v>
      </c>
      <c r="D107" s="164">
        <f>'B) D RI'!AR108</f>
        <v>101</v>
      </c>
      <c r="E107" s="345">
        <f>'D) Ecrêtage'!M106</f>
        <v>2626.7922039473683</v>
      </c>
      <c r="F107" s="349">
        <f>'E) Fact soc'!G112</f>
        <v>47867.801303394852</v>
      </c>
      <c r="G107" s="346">
        <f>'H) Péréquation directe'!I117</f>
        <v>-4926.2081973080712</v>
      </c>
      <c r="H107" s="349">
        <f>+'I) Dépenses thématiques'!O106</f>
        <v>-10816.140613787149</v>
      </c>
      <c r="I107" s="346">
        <f>'K) Plafonnement aide'!J106</f>
        <v>0</v>
      </c>
      <c r="J107" s="349">
        <f>'J) Plafonnement effort'!I106</f>
        <v>0</v>
      </c>
      <c r="K107" s="346">
        <f>'L) Plafonnement taux'!Q107</f>
        <v>0</v>
      </c>
      <c r="L107" s="344">
        <f t="shared" si="2"/>
        <v>32125.452492299632</v>
      </c>
      <c r="M107" s="246">
        <f>'M) Police'!O107</f>
        <v>8176.415804914981</v>
      </c>
      <c r="N107" s="246">
        <f t="shared" si="3"/>
        <v>40301.868297214613</v>
      </c>
      <c r="P107" s="307"/>
      <c r="R107" s="352"/>
    </row>
    <row r="108" spans="1:18" s="165" customFormat="1" x14ac:dyDescent="0.25">
      <c r="A108" s="162">
        <f>'B) D RI'!A109</f>
        <v>5565</v>
      </c>
      <c r="B108" s="163" t="str">
        <f>'B) D RI'!B109</f>
        <v>Onnens</v>
      </c>
      <c r="C108" s="347">
        <f>'B) D RI'!S109</f>
        <v>65</v>
      </c>
      <c r="D108" s="164">
        <f>'B) D RI'!AR109</f>
        <v>477</v>
      </c>
      <c r="E108" s="345">
        <f>'D) Ecrêtage'!M107</f>
        <v>19016.562615384613</v>
      </c>
      <c r="F108" s="349">
        <f>'E) Fact soc'!G113</f>
        <v>334780.87190058682</v>
      </c>
      <c r="G108" s="346">
        <f>'H) Péréquation directe'!I118</f>
        <v>265038.45788213459</v>
      </c>
      <c r="H108" s="349">
        <f>+'I) Dépenses thématiques'!O107</f>
        <v>-43565.95739357156</v>
      </c>
      <c r="I108" s="346">
        <f>'K) Plafonnement aide'!J107</f>
        <v>0</v>
      </c>
      <c r="J108" s="349">
        <f>'J) Plafonnement effort'!I107</f>
        <v>0</v>
      </c>
      <c r="K108" s="346">
        <f>'L) Plafonnement taux'!Q108</f>
        <v>0</v>
      </c>
      <c r="L108" s="344">
        <f t="shared" si="2"/>
        <v>556253.37238914985</v>
      </c>
      <c r="M108" s="246">
        <f>'M) Police'!O108</f>
        <v>57909.643189042574</v>
      </c>
      <c r="N108" s="246">
        <f t="shared" si="3"/>
        <v>614163.01557819243</v>
      </c>
      <c r="P108" s="307"/>
      <c r="R108" s="352"/>
    </row>
    <row r="109" spans="1:18" s="165" customFormat="1" x14ac:dyDescent="0.25">
      <c r="A109" s="162">
        <f>'B) D RI'!A110</f>
        <v>5566</v>
      </c>
      <c r="B109" s="163" t="str">
        <f>'B) D RI'!B110</f>
        <v>Provence</v>
      </c>
      <c r="C109" s="347">
        <f>'B) D RI'!S110</f>
        <v>81</v>
      </c>
      <c r="D109" s="164">
        <f>'B) D RI'!AR110</f>
        <v>388</v>
      </c>
      <c r="E109" s="345">
        <f>'D) Ecrêtage'!M108</f>
        <v>7944.5948559670787</v>
      </c>
      <c r="F109" s="349">
        <f>'E) Fact soc'!G114</f>
        <v>139090.5110246687</v>
      </c>
      <c r="G109" s="346">
        <f>'H) Péréquation directe'!I119</f>
        <v>-137242.88295246777</v>
      </c>
      <c r="H109" s="349">
        <f>+'I) Dépenses thématiques'!O108</f>
        <v>-200660.98834202799</v>
      </c>
      <c r="I109" s="346">
        <f>'K) Plafonnement aide'!J108</f>
        <v>0</v>
      </c>
      <c r="J109" s="349">
        <f>'J) Plafonnement effort'!I108</f>
        <v>0</v>
      </c>
      <c r="K109" s="346">
        <f>'L) Plafonnement taux'!Q109</f>
        <v>0</v>
      </c>
      <c r="L109" s="344">
        <f t="shared" si="2"/>
        <v>-198813.36026982707</v>
      </c>
      <c r="M109" s="246">
        <f>'M) Police'!O109</f>
        <v>24449.970478799201</v>
      </c>
      <c r="N109" s="246">
        <f t="shared" si="3"/>
        <v>-174363.38979102788</v>
      </c>
      <c r="P109" s="307"/>
      <c r="R109" s="352"/>
    </row>
    <row r="110" spans="1:18" s="165" customFormat="1" x14ac:dyDescent="0.25">
      <c r="A110" s="162">
        <f>'B) D RI'!A111</f>
        <v>5568</v>
      </c>
      <c r="B110" s="163" t="str">
        <f>'B) D RI'!B111</f>
        <v>Sainte-Croix</v>
      </c>
      <c r="C110" s="347">
        <f>'B) D RI'!S111</f>
        <v>70</v>
      </c>
      <c r="D110" s="164">
        <f>'B) D RI'!AR111</f>
        <v>4919</v>
      </c>
      <c r="E110" s="345">
        <f>'D) Ecrêtage'!M109</f>
        <v>100789.16114285712</v>
      </c>
      <c r="F110" s="349">
        <f>'E) Fact soc'!G115</f>
        <v>2444836.2652007332</v>
      </c>
      <c r="G110" s="346">
        <f>'H) Péréquation directe'!I120</f>
        <v>-2200745.2081456836</v>
      </c>
      <c r="H110" s="349">
        <f>+'I) Dépenses thématiques'!O109</f>
        <v>-1170598.7358100945</v>
      </c>
      <c r="I110" s="346">
        <f>'K) Plafonnement aide'!J109</f>
        <v>0</v>
      </c>
      <c r="J110" s="349">
        <f>'J) Plafonnement effort'!I109</f>
        <v>0</v>
      </c>
      <c r="K110" s="346">
        <f>'L) Plafonnement taux'!Q110</f>
        <v>0</v>
      </c>
      <c r="L110" s="344">
        <f t="shared" si="2"/>
        <v>-926507.67875504494</v>
      </c>
      <c r="M110" s="246">
        <f>'M) Police'!O110</f>
        <v>309865.34086482163</v>
      </c>
      <c r="N110" s="246">
        <f t="shared" si="3"/>
        <v>-616642.33789022337</v>
      </c>
      <c r="P110" s="307"/>
      <c r="R110" s="352"/>
    </row>
    <row r="111" spans="1:18" s="165" customFormat="1" x14ac:dyDescent="0.25">
      <c r="A111" s="162">
        <f>'B) D RI'!A112</f>
        <v>5571</v>
      </c>
      <c r="B111" s="163" t="str">
        <f>'B) D RI'!B112</f>
        <v>Tévenon</v>
      </c>
      <c r="C111" s="347">
        <f>'B) D RI'!S112</f>
        <v>73</v>
      </c>
      <c r="D111" s="164">
        <f>'B) D RI'!AR112</f>
        <v>843</v>
      </c>
      <c r="E111" s="345">
        <f>'D) Ecrêtage'!M110</f>
        <v>21355.706643835612</v>
      </c>
      <c r="F111" s="349">
        <f>'E) Fact soc'!G116</f>
        <v>380878.82525507337</v>
      </c>
      <c r="G111" s="346">
        <f>'H) Péréquation directe'!I121</f>
        <v>-35566.303648349829</v>
      </c>
      <c r="H111" s="349">
        <f>+'I) Dépenses thématiques'!O110</f>
        <v>-179280.12360862049</v>
      </c>
      <c r="I111" s="346">
        <f>'K) Plafonnement aide'!J110</f>
        <v>0</v>
      </c>
      <c r="J111" s="349">
        <f>'J) Plafonnement effort'!I110</f>
        <v>0</v>
      </c>
      <c r="K111" s="346">
        <f>'L) Plafonnement taux'!Q111</f>
        <v>0</v>
      </c>
      <c r="L111" s="344">
        <f t="shared" si="2"/>
        <v>166032.39799810306</v>
      </c>
      <c r="M111" s="246">
        <f>'M) Police'!O111</f>
        <v>65048.78864612605</v>
      </c>
      <c r="N111" s="246">
        <f t="shared" si="3"/>
        <v>231081.18664422911</v>
      </c>
      <c r="P111" s="307"/>
      <c r="R111" s="352"/>
    </row>
    <row r="112" spans="1:18" s="165" customFormat="1" x14ac:dyDescent="0.25">
      <c r="A112" s="162">
        <f>'B) D RI'!A113</f>
        <v>5581</v>
      </c>
      <c r="B112" s="163" t="str">
        <f>'B) D RI'!B113</f>
        <v>Belmont-sur-Lausanne</v>
      </c>
      <c r="C112" s="347">
        <f>'B) D RI'!S113</f>
        <v>69.5</v>
      </c>
      <c r="D112" s="164">
        <f>'B) D RI'!AR113</f>
        <v>3662</v>
      </c>
      <c r="E112" s="345">
        <f>'D) Ecrêtage'!M111</f>
        <v>192798.41534772189</v>
      </c>
      <c r="F112" s="349">
        <f>'E) Fact soc'!G117</f>
        <v>3399830.0660635941</v>
      </c>
      <c r="G112" s="346">
        <f>'H) Péréquation directe'!I122</f>
        <v>2447116.8575254506</v>
      </c>
      <c r="H112" s="349">
        <f>+'I) Dépenses thématiques'!O111</f>
        <v>-391733.94689069729</v>
      </c>
      <c r="I112" s="346">
        <f>'K) Plafonnement aide'!J111</f>
        <v>0</v>
      </c>
      <c r="J112" s="349">
        <f>'J) Plafonnement effort'!I111</f>
        <v>0</v>
      </c>
      <c r="K112" s="346">
        <f>'L) Plafonnement taux'!Q112</f>
        <v>0</v>
      </c>
      <c r="L112" s="344">
        <f t="shared" si="2"/>
        <v>5455212.9766983483</v>
      </c>
      <c r="M112" s="246">
        <f>'M) Police'!O112</f>
        <v>239370.05827482458</v>
      </c>
      <c r="N112" s="246">
        <f t="shared" si="3"/>
        <v>5694583.0349731725</v>
      </c>
      <c r="P112" s="307"/>
      <c r="R112" s="352"/>
    </row>
    <row r="113" spans="1:18" s="165" customFormat="1" x14ac:dyDescent="0.25">
      <c r="A113" s="162">
        <f>'B) D RI'!A114</f>
        <v>5582</v>
      </c>
      <c r="B113" s="163" t="str">
        <f>'B) D RI'!B114</f>
        <v>Cheseaux-sur-Lausanne</v>
      </c>
      <c r="C113" s="347">
        <f>'B) D RI'!S114</f>
        <v>74.5</v>
      </c>
      <c r="D113" s="164">
        <f>'B) D RI'!AR114</f>
        <v>4357</v>
      </c>
      <c r="E113" s="345">
        <f>'D) Ecrêtage'!M112</f>
        <v>181145.82187919464</v>
      </c>
      <c r="F113" s="349">
        <f>'E) Fact soc'!G118</f>
        <v>2939976.183133</v>
      </c>
      <c r="G113" s="346">
        <f>'H) Péréquation directe'!I123</f>
        <v>1579489.6388228275</v>
      </c>
      <c r="H113" s="349">
        <f>+'I) Dépenses thématiques'!O112</f>
        <v>-402316.3134794528</v>
      </c>
      <c r="I113" s="346">
        <f>'K) Plafonnement aide'!J112</f>
        <v>0</v>
      </c>
      <c r="J113" s="349">
        <f>'J) Plafonnement effort'!I112</f>
        <v>0</v>
      </c>
      <c r="K113" s="346">
        <f>'L) Plafonnement taux'!Q113</f>
        <v>0</v>
      </c>
      <c r="L113" s="344">
        <f t="shared" si="2"/>
        <v>4117149.5084763751</v>
      </c>
      <c r="M113" s="246">
        <f>'M) Police'!O113</f>
        <v>564027.82274819992</v>
      </c>
      <c r="N113" s="246">
        <f t="shared" si="3"/>
        <v>4681177.3312245747</v>
      </c>
      <c r="P113" s="307"/>
      <c r="R113" s="352"/>
    </row>
    <row r="114" spans="1:18" s="165" customFormat="1" x14ac:dyDescent="0.25">
      <c r="A114" s="162">
        <f>'B) D RI'!A115</f>
        <v>5583</v>
      </c>
      <c r="B114" s="163" t="str">
        <f>'B) D RI'!B115</f>
        <v>Crissier</v>
      </c>
      <c r="C114" s="347">
        <f>'B) D RI'!S115</f>
        <v>65</v>
      </c>
      <c r="D114" s="164">
        <f>'B) D RI'!AR115</f>
        <v>8008</v>
      </c>
      <c r="E114" s="345">
        <f>'D) Ecrêtage'!M113</f>
        <v>315798.9015384615</v>
      </c>
      <c r="F114" s="349">
        <f>'E) Fact soc'!G119</f>
        <v>5736340.9724764246</v>
      </c>
      <c r="G114" s="346">
        <f>'H) Péréquation directe'!I124</f>
        <v>1557510.8220401229</v>
      </c>
      <c r="H114" s="349">
        <f>+'I) Dépenses thématiques'!O113</f>
        <v>-2157276.115305495</v>
      </c>
      <c r="I114" s="346">
        <f>'K) Plafonnement aide'!J113</f>
        <v>0</v>
      </c>
      <c r="J114" s="349">
        <f>'J) Plafonnement effort'!I113</f>
        <v>0</v>
      </c>
      <c r="K114" s="346">
        <f>'L) Plafonnement taux'!Q114</f>
        <v>0</v>
      </c>
      <c r="L114" s="344">
        <f t="shared" si="2"/>
        <v>5136575.6792110521</v>
      </c>
      <c r="M114" s="246">
        <f>'M) Police'!O114</f>
        <v>392082.06835129636</v>
      </c>
      <c r="N114" s="246">
        <f t="shared" si="3"/>
        <v>5528657.7475623488</v>
      </c>
      <c r="P114" s="307"/>
      <c r="R114" s="352"/>
    </row>
    <row r="115" spans="1:18" s="165" customFormat="1" x14ac:dyDescent="0.25">
      <c r="A115" s="162">
        <f>'B) D RI'!A116</f>
        <v>5584</v>
      </c>
      <c r="B115" s="163" t="str">
        <f>'B) D RI'!B116</f>
        <v>Epalinges</v>
      </c>
      <c r="C115" s="347">
        <f>'B) D RI'!S116</f>
        <v>66</v>
      </c>
      <c r="D115" s="164">
        <f>'B) D RI'!AR116</f>
        <v>9335</v>
      </c>
      <c r="E115" s="345">
        <f>'D) Ecrêtage'!M114</f>
        <v>424408.2359090909</v>
      </c>
      <c r="F115" s="349">
        <f>'E) Fact soc'!G120</f>
        <v>7830152.5082329642</v>
      </c>
      <c r="G115" s="346">
        <f>'H) Péréquation directe'!I125</f>
        <v>3415864.1524851955</v>
      </c>
      <c r="H115" s="349">
        <f>+'I) Dépenses thématiques'!O114</f>
        <v>-3362445.9219560549</v>
      </c>
      <c r="I115" s="346">
        <f>'K) Plafonnement aide'!J114</f>
        <v>0</v>
      </c>
      <c r="J115" s="349">
        <f>'J) Plafonnement effort'!I114</f>
        <v>0</v>
      </c>
      <c r="K115" s="346">
        <f>'L) Plafonnement taux'!Q115</f>
        <v>0</v>
      </c>
      <c r="L115" s="344">
        <f t="shared" si="2"/>
        <v>7883570.7387621049</v>
      </c>
      <c r="M115" s="246">
        <f>'M) Police'!O115</f>
        <v>1306605.2484110054</v>
      </c>
      <c r="N115" s="246">
        <f t="shared" si="3"/>
        <v>9190175.9871731102</v>
      </c>
      <c r="P115" s="307"/>
      <c r="R115" s="352"/>
    </row>
    <row r="116" spans="1:18" s="165" customFormat="1" x14ac:dyDescent="0.25">
      <c r="A116" s="162">
        <f>'B) D RI'!A117</f>
        <v>5585</v>
      </c>
      <c r="B116" s="163" t="str">
        <f>'B) D RI'!B117</f>
        <v>Jouxtens-Mézery</v>
      </c>
      <c r="C116" s="347">
        <f>'B) D RI'!S117</f>
        <v>53</v>
      </c>
      <c r="D116" s="164">
        <f>'B) D RI'!AR117</f>
        <v>1469</v>
      </c>
      <c r="E116" s="345">
        <f>'D) Ecrêtage'!M115</f>
        <v>143746.14069536969</v>
      </c>
      <c r="F116" s="349">
        <f>'E) Fact soc'!G121</f>
        <v>4616324.945786329</v>
      </c>
      <c r="G116" s="346">
        <f>'H) Péréquation directe'!I126</f>
        <v>2396621.9302658904</v>
      </c>
      <c r="H116" s="349">
        <f>+'I) Dépenses thématiques'!O115</f>
        <v>0</v>
      </c>
      <c r="I116" s="346">
        <f>'K) Plafonnement aide'!J115</f>
        <v>0</v>
      </c>
      <c r="J116" s="349">
        <f>'J) Plafonnement effort'!I115</f>
        <v>0</v>
      </c>
      <c r="K116" s="346">
        <f>'L) Plafonnement taux'!Q116</f>
        <v>0</v>
      </c>
      <c r="L116" s="344">
        <f t="shared" si="2"/>
        <v>7012946.8760522194</v>
      </c>
      <c r="M116" s="246">
        <f>'M) Police'!O116</f>
        <v>304976.50300700747</v>
      </c>
      <c r="N116" s="246">
        <f t="shared" si="3"/>
        <v>7317923.3790592272</v>
      </c>
      <c r="P116" s="307"/>
      <c r="R116" s="352"/>
    </row>
    <row r="117" spans="1:18" s="165" customFormat="1" x14ac:dyDescent="0.25">
      <c r="A117" s="162">
        <f>'B) D RI'!A118</f>
        <v>5586</v>
      </c>
      <c r="B117" s="163" t="str">
        <f>'B) D RI'!B118</f>
        <v>Lausanne</v>
      </c>
      <c r="C117" s="347">
        <f>'B) D RI'!S118</f>
        <v>79</v>
      </c>
      <c r="D117" s="164">
        <f>'B) D RI'!AR118</f>
        <v>139624</v>
      </c>
      <c r="E117" s="345">
        <f>'D) Ecrêtage'!M116</f>
        <v>6228304.1083544316</v>
      </c>
      <c r="F117" s="349">
        <f>'E) Fact soc'!G122</f>
        <v>113723418.08266759</v>
      </c>
      <c r="G117" s="346">
        <f>'H) Péréquation directe'!I127</f>
        <v>-24399122.325222105</v>
      </c>
      <c r="H117" s="349">
        <f>+'I) Dépenses thématiques'!O116</f>
        <v>-43708330.161900274</v>
      </c>
      <c r="I117" s="346">
        <f>'K) Plafonnement aide'!J116</f>
        <v>0</v>
      </c>
      <c r="J117" s="349">
        <f>'J) Plafonnement effort'!I116</f>
        <v>0</v>
      </c>
      <c r="K117" s="346">
        <f>'L) Plafonnement taux'!Q117</f>
        <v>0</v>
      </c>
      <c r="L117" s="344">
        <f t="shared" ref="L117:L167" si="4">F117+G117+H117+I117+J117+K117</f>
        <v>45615965.59554521</v>
      </c>
      <c r="M117" s="246">
        <f>'M) Police'!O117</f>
        <v>7732789.2694619382</v>
      </c>
      <c r="N117" s="246">
        <f t="shared" si="3"/>
        <v>53348754.865007147</v>
      </c>
      <c r="P117" s="307"/>
      <c r="R117" s="352"/>
    </row>
    <row r="118" spans="1:18" s="165" customFormat="1" x14ac:dyDescent="0.25">
      <c r="A118" s="162">
        <f>'B) D RI'!A119</f>
        <v>5587</v>
      </c>
      <c r="B118" s="163" t="str">
        <f>'B) D RI'!B119</f>
        <v>Le Mont-sur-Lausanne</v>
      </c>
      <c r="C118" s="347">
        <f>'B) D RI'!S119</f>
        <v>75</v>
      </c>
      <c r="D118" s="164">
        <f>'B) D RI'!AR119</f>
        <v>8093</v>
      </c>
      <c r="E118" s="345">
        <f>'D) Ecrêtage'!M117</f>
        <v>419199.48633333331</v>
      </c>
      <c r="F118" s="349">
        <f>'E) Fact soc'!G123</f>
        <v>7360917.1027372833</v>
      </c>
      <c r="G118" s="346">
        <f>'H) Péréquation directe'!I128</f>
        <v>4138507.1881260714</v>
      </c>
      <c r="H118" s="349">
        <f>+'I) Dépenses thématiques'!O117</f>
        <v>-2225622.4125759285</v>
      </c>
      <c r="I118" s="346">
        <f>'K) Plafonnement aide'!J117</f>
        <v>0</v>
      </c>
      <c r="J118" s="349">
        <f>'J) Plafonnement effort'!I117</f>
        <v>0</v>
      </c>
      <c r="K118" s="346">
        <f>'L) Plafonnement taux'!Q118</f>
        <v>0</v>
      </c>
      <c r="L118" s="344">
        <f t="shared" si="4"/>
        <v>9273801.8782874253</v>
      </c>
      <c r="M118" s="246">
        <f>'M) Police'!O118</f>
        <v>1217414.0846400775</v>
      </c>
      <c r="N118" s="246">
        <f t="shared" si="3"/>
        <v>10491215.962927504</v>
      </c>
      <c r="P118" s="307"/>
      <c r="R118" s="352"/>
    </row>
    <row r="119" spans="1:18" s="165" customFormat="1" x14ac:dyDescent="0.25">
      <c r="A119" s="162">
        <f>'B) D RI'!A120</f>
        <v>5588</v>
      </c>
      <c r="B119" s="163" t="str">
        <f>'B) D RI'!B120</f>
        <v>Paudex</v>
      </c>
      <c r="C119" s="347">
        <f>'B) D RI'!S120</f>
        <v>61.5</v>
      </c>
      <c r="D119" s="164">
        <f>'B) D RI'!AR120</f>
        <v>1480</v>
      </c>
      <c r="E119" s="345">
        <f>'D) Ecrêtage'!M118</f>
        <v>127175.68911671983</v>
      </c>
      <c r="F119" s="349">
        <f>'E) Fact soc'!G124</f>
        <v>3629377.5318979397</v>
      </c>
      <c r="G119" s="346">
        <f>'H) Péréquation directe'!I129</f>
        <v>2086463.3991928552</v>
      </c>
      <c r="H119" s="349">
        <f>+'I) Dépenses thématiques'!O118</f>
        <v>0</v>
      </c>
      <c r="I119" s="346">
        <f>'K) Plafonnement aide'!J118</f>
        <v>0</v>
      </c>
      <c r="J119" s="349">
        <f>'J) Plafonnement effort'!I118</f>
        <v>0</v>
      </c>
      <c r="K119" s="346">
        <f>'L) Plafonnement taux'!Q119</f>
        <v>0</v>
      </c>
      <c r="L119" s="344">
        <f t="shared" si="4"/>
        <v>5715840.9310907945</v>
      </c>
      <c r="M119" s="246">
        <f>'M) Police'!O119</f>
        <v>157895.75894649542</v>
      </c>
      <c r="N119" s="246">
        <f t="shared" si="3"/>
        <v>5873736.6900372896</v>
      </c>
      <c r="P119" s="307"/>
      <c r="R119" s="352"/>
    </row>
    <row r="120" spans="1:18" s="165" customFormat="1" x14ac:dyDescent="0.25">
      <c r="A120" s="162">
        <f>'B) D RI'!A121</f>
        <v>5589</v>
      </c>
      <c r="B120" s="163" t="str">
        <f>'B) D RI'!B121</f>
        <v>Prilly</v>
      </c>
      <c r="C120" s="347">
        <f>'B) D RI'!S121</f>
        <v>73.5</v>
      </c>
      <c r="D120" s="164">
        <f>'B) D RI'!AR121</f>
        <v>12105</v>
      </c>
      <c r="E120" s="345">
        <f>'D) Ecrêtage'!M119</f>
        <v>433086.92517006805</v>
      </c>
      <c r="F120" s="349">
        <f>'E) Fact soc'!G125</f>
        <v>7647603.8531068917</v>
      </c>
      <c r="G120" s="346">
        <f>'H) Péréquation directe'!I130</f>
        <v>-1106161.5777034033</v>
      </c>
      <c r="H120" s="349">
        <f>+'I) Dépenses thématiques'!O119</f>
        <v>-1881835.8472081462</v>
      </c>
      <c r="I120" s="346">
        <f>'K) Plafonnement aide'!J119</f>
        <v>0</v>
      </c>
      <c r="J120" s="349">
        <f>'J) Plafonnement effort'!I119</f>
        <v>0</v>
      </c>
      <c r="K120" s="346">
        <f>'L) Plafonnement taux'!Q120</f>
        <v>0</v>
      </c>
      <c r="L120" s="344">
        <f t="shared" si="4"/>
        <v>4659606.4281953424</v>
      </c>
      <c r="M120" s="246">
        <f>'M) Police'!O120</f>
        <v>537701.73540613975</v>
      </c>
      <c r="N120" s="246">
        <f t="shared" si="3"/>
        <v>5197308.1636014823</v>
      </c>
      <c r="P120" s="307"/>
      <c r="R120" s="352"/>
    </row>
    <row r="121" spans="1:18" s="165" customFormat="1" x14ac:dyDescent="0.25">
      <c r="A121" s="162">
        <f>'B) D RI'!A122</f>
        <v>5590</v>
      </c>
      <c r="B121" s="163" t="str">
        <f>'B) D RI'!B122</f>
        <v>Pully</v>
      </c>
      <c r="C121" s="347">
        <f>'B) D RI'!S122</f>
        <v>61</v>
      </c>
      <c r="D121" s="164">
        <f>'B) D RI'!AR122</f>
        <v>18194</v>
      </c>
      <c r="E121" s="345">
        <f>'D) Ecrêtage'!M120</f>
        <v>1325739.9889937579</v>
      </c>
      <c r="F121" s="349">
        <f>'E) Fact soc'!G126</f>
        <v>35543563.116365254</v>
      </c>
      <c r="G121" s="346">
        <f>'H) Péréquation directe'!I131</f>
        <v>11564814.573841784</v>
      </c>
      <c r="H121" s="349">
        <f>+'I) Dépenses thématiques'!O120</f>
        <v>-2286906.2641307977</v>
      </c>
      <c r="I121" s="346">
        <f>'K) Plafonnement aide'!J120</f>
        <v>0</v>
      </c>
      <c r="J121" s="349">
        <f>'J) Plafonnement effort'!I120</f>
        <v>0</v>
      </c>
      <c r="K121" s="346">
        <f>'L) Plafonnement taux'!Q121</f>
        <v>0</v>
      </c>
      <c r="L121" s="344">
        <f t="shared" si="4"/>
        <v>44821471.426076233</v>
      </c>
      <c r="M121" s="246">
        <f>'M) Police'!O121</f>
        <v>1645980.6365646606</v>
      </c>
      <c r="N121" s="246">
        <f t="shared" si="3"/>
        <v>46467452.06264089</v>
      </c>
      <c r="P121" s="307"/>
      <c r="R121" s="352"/>
    </row>
    <row r="122" spans="1:18" s="165" customFormat="1" x14ac:dyDescent="0.25">
      <c r="A122" s="162">
        <f>'B) D RI'!A123</f>
        <v>5591</v>
      </c>
      <c r="B122" s="163" t="str">
        <f>'B) D RI'!B123</f>
        <v>Renens</v>
      </c>
      <c r="C122" s="347">
        <f>'B) D RI'!S123</f>
        <v>78.5</v>
      </c>
      <c r="D122" s="164">
        <f>'B) D RI'!AR123</f>
        <v>21114</v>
      </c>
      <c r="E122" s="345">
        <f>'D) Ecrêtage'!M121</f>
        <v>547576.12760691531</v>
      </c>
      <c r="F122" s="349">
        <f>'E) Fact soc'!G127</f>
        <v>9976014.0148693733</v>
      </c>
      <c r="G122" s="346">
        <f>'H) Péréquation directe'!I132</f>
        <v>-15593413.738164257</v>
      </c>
      <c r="H122" s="349">
        <f>+'I) Dépenses thématiques'!O121</f>
        <v>-5358052.7685159231</v>
      </c>
      <c r="I122" s="346">
        <f>'K) Plafonnement aide'!J121</f>
        <v>2058154.8938499347</v>
      </c>
      <c r="J122" s="349">
        <f>'J) Plafonnement effort'!I121</f>
        <v>0</v>
      </c>
      <c r="K122" s="346">
        <f>'L) Plafonnement taux'!Q122</f>
        <v>0</v>
      </c>
      <c r="L122" s="344">
        <f t="shared" si="4"/>
        <v>-8917297.5979608707</v>
      </c>
      <c r="M122" s="246">
        <f>'M) Police'!O122</f>
        <v>679846.50879403017</v>
      </c>
      <c r="N122" s="246">
        <f t="shared" si="3"/>
        <v>-8237451.0891668405</v>
      </c>
      <c r="P122" s="307"/>
      <c r="R122" s="352"/>
    </row>
    <row r="123" spans="1:18" s="165" customFormat="1" x14ac:dyDescent="0.25">
      <c r="A123" s="162">
        <f>'B) D RI'!A124</f>
        <v>5592</v>
      </c>
      <c r="B123" s="163" t="str">
        <f>'B) D RI'!B124</f>
        <v>Romanel-sur-Lausanne</v>
      </c>
      <c r="C123" s="347">
        <f>'B) D RI'!S124</f>
        <v>70</v>
      </c>
      <c r="D123" s="164">
        <f>'B) D RI'!AR124</f>
        <v>3300</v>
      </c>
      <c r="E123" s="345">
        <f>'D) Ecrêtage'!M122</f>
        <v>115829.88928571428</v>
      </c>
      <c r="F123" s="349">
        <f>'E) Fact soc'!G128</f>
        <v>1962708.787304518</v>
      </c>
      <c r="G123" s="346">
        <f>'H) Péréquation directe'!I133</f>
        <v>580614.3280815538</v>
      </c>
      <c r="H123" s="349">
        <f>+'I) Dépenses thématiques'!O122</f>
        <v>-242167.71301471675</v>
      </c>
      <c r="I123" s="346">
        <f>'K) Plafonnement aide'!J122</f>
        <v>0</v>
      </c>
      <c r="J123" s="349">
        <f>'J) Plafonnement effort'!I122</f>
        <v>0</v>
      </c>
      <c r="K123" s="346">
        <f>'L) Plafonnement taux'!Q123</f>
        <v>0</v>
      </c>
      <c r="L123" s="344">
        <f t="shared" si="4"/>
        <v>2301155.4023713549</v>
      </c>
      <c r="M123" s="246">
        <f>'M) Police'!O123</f>
        <v>352583.49710453884</v>
      </c>
      <c r="N123" s="246">
        <f t="shared" si="3"/>
        <v>2653738.8994758939</v>
      </c>
      <c r="P123" s="307"/>
      <c r="R123" s="352"/>
    </row>
    <row r="124" spans="1:18" s="165" customFormat="1" x14ac:dyDescent="0.25">
      <c r="A124" s="162">
        <f>'B) D RI'!A125</f>
        <v>5601</v>
      </c>
      <c r="B124" s="163" t="str">
        <f>'B) D RI'!B125</f>
        <v>Chexbres</v>
      </c>
      <c r="C124" s="347">
        <f>'B) D RI'!S125</f>
        <v>64</v>
      </c>
      <c r="D124" s="164">
        <f>'B) D RI'!AR125</f>
        <v>2250</v>
      </c>
      <c r="E124" s="345">
        <f>'D) Ecrêtage'!M123</f>
        <v>117508.63062500001</v>
      </c>
      <c r="F124" s="349">
        <f>'E) Fact soc'!G129</f>
        <v>2360149.0096037011</v>
      </c>
      <c r="G124" s="346">
        <f>'H) Péréquation directe'!I134</f>
        <v>1641492.0505521644</v>
      </c>
      <c r="H124" s="349">
        <f>+'I) Dépenses thématiques'!O123</f>
        <v>-124874.45728005387</v>
      </c>
      <c r="I124" s="346">
        <f>'K) Plafonnement aide'!J123</f>
        <v>0</v>
      </c>
      <c r="J124" s="349">
        <f>'J) Plafonnement effort'!I123</f>
        <v>0</v>
      </c>
      <c r="K124" s="346">
        <f>'L) Plafonnement taux'!Q124</f>
        <v>0</v>
      </c>
      <c r="L124" s="344">
        <f t="shared" si="4"/>
        <v>3876766.602875812</v>
      </c>
      <c r="M124" s="246">
        <f>'M) Police'!O124</f>
        <v>145893.56302421211</v>
      </c>
      <c r="N124" s="246">
        <f t="shared" si="3"/>
        <v>4022660.1659000241</v>
      </c>
      <c r="P124" s="307"/>
      <c r="R124" s="352"/>
    </row>
    <row r="125" spans="1:18" s="165" customFormat="1" x14ac:dyDescent="0.25">
      <c r="A125" s="162">
        <f>'B) D RI'!A126</f>
        <v>5604</v>
      </c>
      <c r="B125" s="163" t="str">
        <f>'B) D RI'!B126</f>
        <v>Forel (Lavaux)</v>
      </c>
      <c r="C125" s="347">
        <f>'B) D RI'!S126</f>
        <v>68</v>
      </c>
      <c r="D125" s="164">
        <f>'B) D RI'!AR126</f>
        <v>2084</v>
      </c>
      <c r="E125" s="345">
        <f>'D) Ecrêtage'!M124</f>
        <v>71631.535147058821</v>
      </c>
      <c r="F125" s="349">
        <f>'E) Fact soc'!G130</f>
        <v>1249716.8392284759</v>
      </c>
      <c r="G125" s="346">
        <f>'H) Péréquation directe'!I135</f>
        <v>451996.7003134113</v>
      </c>
      <c r="H125" s="349">
        <f>+'I) Dépenses thématiques'!O124</f>
        <v>-257215.98583543167</v>
      </c>
      <c r="I125" s="346">
        <f>'K) Plafonnement aide'!J124</f>
        <v>0</v>
      </c>
      <c r="J125" s="349">
        <f>'J) Plafonnement effort'!I124</f>
        <v>0</v>
      </c>
      <c r="K125" s="346">
        <f>'L) Plafonnement taux'!Q125</f>
        <v>0</v>
      </c>
      <c r="L125" s="344">
        <f t="shared" si="4"/>
        <v>1444497.5537064555</v>
      </c>
      <c r="M125" s="246">
        <f>'M) Police'!O125</f>
        <v>221099.7256389691</v>
      </c>
      <c r="N125" s="246">
        <f t="shared" si="3"/>
        <v>1665597.2793454246</v>
      </c>
      <c r="P125" s="307"/>
      <c r="R125" s="352"/>
    </row>
    <row r="126" spans="1:18" s="165" customFormat="1" x14ac:dyDescent="0.25">
      <c r="A126" s="162">
        <f>'B) D RI'!A127</f>
        <v>5606</v>
      </c>
      <c r="B126" s="163" t="str">
        <f>'B) D RI'!B127</f>
        <v>Lutry</v>
      </c>
      <c r="C126" s="347">
        <f>'B) D RI'!S127</f>
        <v>55.5</v>
      </c>
      <c r="D126" s="164">
        <f>'B) D RI'!AR127</f>
        <v>10001</v>
      </c>
      <c r="E126" s="345">
        <f>'D) Ecrêtage'!M125</f>
        <v>758715.71300431201</v>
      </c>
      <c r="F126" s="349">
        <f>'E) Fact soc'!G131</f>
        <v>20862853.190543283</v>
      </c>
      <c r="G126" s="346">
        <f>'H) Péréquation directe'!I136</f>
        <v>9037285.1051181555</v>
      </c>
      <c r="H126" s="349">
        <f>+'I) Dépenses thématiques'!O125</f>
        <v>-1835862.51531999</v>
      </c>
      <c r="I126" s="346">
        <f>'K) Plafonnement aide'!J125</f>
        <v>0</v>
      </c>
      <c r="J126" s="349">
        <f>'J) Plafonnement effort'!I125</f>
        <v>0</v>
      </c>
      <c r="K126" s="346">
        <f>'L) Plafonnement taux'!Q126</f>
        <v>0</v>
      </c>
      <c r="L126" s="344">
        <f t="shared" si="4"/>
        <v>28064275.780341446</v>
      </c>
      <c r="M126" s="246">
        <f>'M) Police'!O126</f>
        <v>941988.15954123554</v>
      </c>
      <c r="N126" s="246">
        <f t="shared" si="3"/>
        <v>29006263.939882681</v>
      </c>
      <c r="P126" s="307"/>
      <c r="R126" s="352"/>
    </row>
    <row r="127" spans="1:18" s="165" customFormat="1" x14ac:dyDescent="0.25">
      <c r="A127" s="162">
        <f>'B) D RI'!A128</f>
        <v>5607</v>
      </c>
      <c r="B127" s="163" t="str">
        <f>'B) D RI'!B128</f>
        <v>Puidoux</v>
      </c>
      <c r="C127" s="347">
        <f>'B) D RI'!S128</f>
        <v>70</v>
      </c>
      <c r="D127" s="164">
        <f>'B) D RI'!AR128</f>
        <v>2904</v>
      </c>
      <c r="E127" s="345">
        <f>'D) Ecrêtage'!M126</f>
        <v>108525.10310559007</v>
      </c>
      <c r="F127" s="349">
        <f>'E) Fact soc'!G132</f>
        <v>2009576.2999608517</v>
      </c>
      <c r="G127" s="346">
        <f>'H) Péréquation directe'!I137</f>
        <v>829932.64804461948</v>
      </c>
      <c r="H127" s="349">
        <f>+'I) Dépenses thématiques'!O126</f>
        <v>-814975.98659195064</v>
      </c>
      <c r="I127" s="346">
        <f>'K) Plafonnement aide'!J126</f>
        <v>0</v>
      </c>
      <c r="J127" s="349">
        <f>'J) Plafonnement effort'!I126</f>
        <v>0</v>
      </c>
      <c r="K127" s="346">
        <f>'L) Plafonnement taux'!Q127</f>
        <v>0</v>
      </c>
      <c r="L127" s="344">
        <f t="shared" si="4"/>
        <v>2024532.9614135209</v>
      </c>
      <c r="M127" s="246">
        <f>'M) Police'!O127</f>
        <v>134740.00918427878</v>
      </c>
      <c r="N127" s="246">
        <f t="shared" si="3"/>
        <v>2159272.9705977999</v>
      </c>
      <c r="P127" s="307"/>
      <c r="R127" s="352"/>
    </row>
    <row r="128" spans="1:18" s="165" customFormat="1" x14ac:dyDescent="0.25">
      <c r="A128" s="162">
        <f>'B) D RI'!A129</f>
        <v>5609</v>
      </c>
      <c r="B128" s="163" t="str">
        <f>'B) D RI'!B129</f>
        <v>Rivaz</v>
      </c>
      <c r="C128" s="347">
        <f>'B) D RI'!S129</f>
        <v>63.5</v>
      </c>
      <c r="D128" s="164">
        <f>'B) D RI'!AR129</f>
        <v>351</v>
      </c>
      <c r="E128" s="345">
        <f>'D) Ecrêtage'!M127</f>
        <v>15580.699212598427</v>
      </c>
      <c r="F128" s="349">
        <f>'E) Fact soc'!G133</f>
        <v>270855.29330435727</v>
      </c>
      <c r="G128" s="346">
        <f>'H) Péréquation directe'!I138</f>
        <v>251113.57526236263</v>
      </c>
      <c r="H128" s="349">
        <f>+'I) Dépenses thématiques'!O127</f>
        <v>-58989.087022106403</v>
      </c>
      <c r="I128" s="346">
        <f>'K) Plafonnement aide'!J127</f>
        <v>0</v>
      </c>
      <c r="J128" s="349">
        <f>'J) Plafonnement effort'!I127</f>
        <v>0</v>
      </c>
      <c r="K128" s="346">
        <f>'L) Plafonnement taux'!Q128</f>
        <v>0</v>
      </c>
      <c r="L128" s="344">
        <f t="shared" si="4"/>
        <v>462979.78154461354</v>
      </c>
      <c r="M128" s="246">
        <f>'M) Police'!O128</f>
        <v>19344.312927861767</v>
      </c>
      <c r="N128" s="246">
        <f t="shared" si="3"/>
        <v>482324.09447247529</v>
      </c>
      <c r="P128" s="307"/>
      <c r="R128" s="352"/>
    </row>
    <row r="129" spans="1:18" s="165" customFormat="1" x14ac:dyDescent="0.25">
      <c r="A129" s="162">
        <f>'B) D RI'!A130</f>
        <v>5610</v>
      </c>
      <c r="B129" s="163" t="str">
        <f>'B) D RI'!B130</f>
        <v>St-Saphorin (Lavaux)</v>
      </c>
      <c r="C129" s="347">
        <f>'B) D RI'!S130</f>
        <v>67</v>
      </c>
      <c r="D129" s="164">
        <f>'B) D RI'!AR130</f>
        <v>389</v>
      </c>
      <c r="E129" s="345">
        <f>'D) Ecrêtage'!M128</f>
        <v>21964.993093148194</v>
      </c>
      <c r="F129" s="349">
        <f>'E) Fact soc'!G134</f>
        <v>458546.68788073625</v>
      </c>
      <c r="G129" s="346">
        <f>'H) Péréquation directe'!I139</f>
        <v>367659.07432619756</v>
      </c>
      <c r="H129" s="349">
        <f>+'I) Dépenses thématiques'!O128</f>
        <v>-60116.90871029126</v>
      </c>
      <c r="I129" s="346">
        <f>'K) Plafonnement aide'!J128</f>
        <v>0</v>
      </c>
      <c r="J129" s="349">
        <f>'J) Plafonnement effort'!I128</f>
        <v>0</v>
      </c>
      <c r="K129" s="346">
        <f>'L) Plafonnement taux'!Q129</f>
        <v>0</v>
      </c>
      <c r="L129" s="344">
        <f t="shared" si="4"/>
        <v>766088.85349664255</v>
      </c>
      <c r="M129" s="246">
        <f>'M) Police'!O129</f>
        <v>27270.772258321515</v>
      </c>
      <c r="N129" s="246">
        <f t="shared" si="3"/>
        <v>793359.62575496407</v>
      </c>
      <c r="P129" s="307"/>
      <c r="R129" s="352"/>
    </row>
    <row r="130" spans="1:18" s="165" customFormat="1" x14ac:dyDescent="0.25">
      <c r="A130" s="162">
        <f>'B) D RI'!A131</f>
        <v>5611</v>
      </c>
      <c r="B130" s="163" t="str">
        <f>'B) D RI'!B131</f>
        <v>Savigny</v>
      </c>
      <c r="C130" s="347">
        <f>'B) D RI'!S131</f>
        <v>69</v>
      </c>
      <c r="D130" s="164">
        <f>'B) D RI'!AR131</f>
        <v>3352</v>
      </c>
      <c r="E130" s="345">
        <f>'D) Ecrêtage'!M129</f>
        <v>134510.93620772948</v>
      </c>
      <c r="F130" s="349">
        <f>'E) Fact soc'!G135</f>
        <v>2633591.8928880659</v>
      </c>
      <c r="G130" s="346">
        <f>'H) Péréquation directe'!I140</f>
        <v>1227071.3108474533</v>
      </c>
      <c r="H130" s="349">
        <f>+'I) Dépenses thématiques'!O129</f>
        <v>-494046.12214566098</v>
      </c>
      <c r="I130" s="346">
        <f>'K) Plafonnement aide'!J129</f>
        <v>0</v>
      </c>
      <c r="J130" s="349">
        <f>'J) Plafonnement effort'!I129</f>
        <v>0</v>
      </c>
      <c r="K130" s="346">
        <f>'L) Plafonnement taux'!Q130</f>
        <v>0</v>
      </c>
      <c r="L130" s="344">
        <f t="shared" si="4"/>
        <v>3366617.081589858</v>
      </c>
      <c r="M130" s="246">
        <f>'M) Police'!O130</f>
        <v>167002.88008371263</v>
      </c>
      <c r="N130" s="246">
        <f t="shared" si="3"/>
        <v>3533619.9616735708</v>
      </c>
      <c r="P130" s="307"/>
      <c r="R130" s="352"/>
    </row>
    <row r="131" spans="1:18" s="165" customFormat="1" x14ac:dyDescent="0.25">
      <c r="A131" s="162">
        <f>'B) D RI'!A132</f>
        <v>5613</v>
      </c>
      <c r="B131" s="163" t="str">
        <f>'B) D RI'!B132</f>
        <v>Bourg-en-Lavaux</v>
      </c>
      <c r="C131" s="347">
        <f>'B) D RI'!S132</f>
        <v>61</v>
      </c>
      <c r="D131" s="164">
        <f>'B) D RI'!AR132</f>
        <v>5288</v>
      </c>
      <c r="E131" s="345">
        <f>'D) Ecrêtage'!M130</f>
        <v>322026.63656055502</v>
      </c>
      <c r="F131" s="349">
        <f>'E) Fact soc'!G136</f>
        <v>6453438.1413064646</v>
      </c>
      <c r="G131" s="346">
        <f>'H) Péréquation directe'!I141</f>
        <v>4004654.6951663252</v>
      </c>
      <c r="H131" s="349">
        <f>+'I) Dépenses thématiques'!O130</f>
        <v>-265907.67344571318</v>
      </c>
      <c r="I131" s="346">
        <f>'K) Plafonnement aide'!J130</f>
        <v>0</v>
      </c>
      <c r="J131" s="349">
        <f>'J) Plafonnement effort'!I130</f>
        <v>0</v>
      </c>
      <c r="K131" s="346">
        <f>'L) Plafonnement taux'!Q131</f>
        <v>0</v>
      </c>
      <c r="L131" s="344">
        <f t="shared" si="4"/>
        <v>10192185.163027078</v>
      </c>
      <c r="M131" s="246">
        <f>'M) Police'!O131</f>
        <v>399814.15106821124</v>
      </c>
      <c r="N131" s="246">
        <f t="shared" si="3"/>
        <v>10591999.314095289</v>
      </c>
      <c r="P131" s="307"/>
      <c r="R131" s="352"/>
    </row>
    <row r="132" spans="1:18" s="165" customFormat="1" x14ac:dyDescent="0.25">
      <c r="A132" s="162">
        <f>'B) D RI'!A133</f>
        <v>5621</v>
      </c>
      <c r="B132" s="163" t="str">
        <f>'B) D RI'!B133</f>
        <v>Aclens</v>
      </c>
      <c r="C132" s="347">
        <f>'B) D RI'!S133</f>
        <v>62</v>
      </c>
      <c r="D132" s="164">
        <f>'B) D RI'!AR133</f>
        <v>545</v>
      </c>
      <c r="E132" s="345">
        <f>'D) Ecrêtage'!M131</f>
        <v>32448.080278851183</v>
      </c>
      <c r="F132" s="349">
        <f>'E) Fact soc'!G137</f>
        <v>892698.76524117554</v>
      </c>
      <c r="G132" s="346">
        <f>'H) Péréquation directe'!I142</f>
        <v>546059.03724803089</v>
      </c>
      <c r="H132" s="349">
        <f>+'I) Dépenses thématiques'!O131</f>
        <v>-14458.64104976385</v>
      </c>
      <c r="I132" s="346">
        <f>'K) Plafonnement aide'!J131</f>
        <v>0</v>
      </c>
      <c r="J132" s="349">
        <f>'J) Plafonnement effort'!I131</f>
        <v>0</v>
      </c>
      <c r="K132" s="346">
        <f>'L) Plafonnement taux'!Q132</f>
        <v>0</v>
      </c>
      <c r="L132" s="344">
        <f t="shared" si="4"/>
        <v>1424299.1614394425</v>
      </c>
      <c r="M132" s="246">
        <f>'M) Police'!O132</f>
        <v>87220.518598714538</v>
      </c>
      <c r="N132" s="246">
        <f t="shared" si="3"/>
        <v>1511519.6800381572</v>
      </c>
      <c r="P132" s="307"/>
      <c r="R132" s="352"/>
    </row>
    <row r="133" spans="1:18" s="165" customFormat="1" x14ac:dyDescent="0.25">
      <c r="A133" s="162">
        <f>'B) D RI'!A134</f>
        <v>5622</v>
      </c>
      <c r="B133" s="163" t="str">
        <f>'B) D RI'!B134</f>
        <v>Bremblens</v>
      </c>
      <c r="C133" s="347">
        <f>'B) D RI'!S134</f>
        <v>66</v>
      </c>
      <c r="D133" s="164">
        <f>'B) D RI'!AR134</f>
        <v>547</v>
      </c>
      <c r="E133" s="345">
        <f>'D) Ecrêtage'!M132</f>
        <v>31043.054707464271</v>
      </c>
      <c r="F133" s="349">
        <f>'E) Fact soc'!G138</f>
        <v>522954.80855552899</v>
      </c>
      <c r="G133" s="346">
        <f>'H) Péréquation directe'!I143</f>
        <v>519885.29647726455</v>
      </c>
      <c r="H133" s="349">
        <f>+'I) Dépenses thématiques'!O132</f>
        <v>0</v>
      </c>
      <c r="I133" s="346">
        <f>'K) Plafonnement aide'!J132</f>
        <v>0</v>
      </c>
      <c r="J133" s="349">
        <f>'J) Plafonnement effort'!I132</f>
        <v>0</v>
      </c>
      <c r="K133" s="346">
        <f>'L) Plafonnement taux'!Q133</f>
        <v>0</v>
      </c>
      <c r="L133" s="344">
        <f t="shared" si="4"/>
        <v>1042840.1050327935</v>
      </c>
      <c r="M133" s="246">
        <f>'M) Police'!O133</f>
        <v>85648.3368082581</v>
      </c>
      <c r="N133" s="246">
        <f t="shared" si="3"/>
        <v>1128488.4418410517</v>
      </c>
      <c r="P133" s="307"/>
      <c r="R133" s="352"/>
    </row>
    <row r="134" spans="1:18" s="165" customFormat="1" x14ac:dyDescent="0.25">
      <c r="A134" s="162">
        <f>'B) D RI'!A135</f>
        <v>5623</v>
      </c>
      <c r="B134" s="163" t="str">
        <f>'B) D RI'!B135</f>
        <v>Buchillon</v>
      </c>
      <c r="C134" s="347">
        <f>'B) D RI'!S135</f>
        <v>53</v>
      </c>
      <c r="D134" s="164">
        <f>'B) D RI'!AR135</f>
        <v>638</v>
      </c>
      <c r="E134" s="345">
        <f>'D) Ecrêtage'!M133</f>
        <v>62211.128546879416</v>
      </c>
      <c r="F134" s="349">
        <f>'E) Fact soc'!G139</f>
        <v>1984466.281348411</v>
      </c>
      <c r="G134" s="346">
        <f>'H) Péréquation directe'!I144</f>
        <v>1087131.4474290328</v>
      </c>
      <c r="H134" s="349">
        <f>+'I) Dépenses thématiques'!O133</f>
        <v>0</v>
      </c>
      <c r="I134" s="346">
        <f>'K) Plafonnement aide'!J133</f>
        <v>0</v>
      </c>
      <c r="J134" s="349">
        <f>'J) Plafonnement effort'!I133</f>
        <v>0</v>
      </c>
      <c r="K134" s="346">
        <f>'L) Plafonnement taux'!Q134</f>
        <v>0</v>
      </c>
      <c r="L134" s="344">
        <f t="shared" si="4"/>
        <v>3071597.728777444</v>
      </c>
      <c r="M134" s="246">
        <f>'M) Police'!O134</f>
        <v>77238.609242464852</v>
      </c>
      <c r="N134" s="246">
        <f t="shared" si="3"/>
        <v>3148836.3380199089</v>
      </c>
      <c r="P134" s="307"/>
      <c r="R134" s="352"/>
    </row>
    <row r="135" spans="1:18" s="165" customFormat="1" x14ac:dyDescent="0.25">
      <c r="A135" s="162">
        <f>'B) D RI'!A136</f>
        <v>5624</v>
      </c>
      <c r="B135" s="163" t="str">
        <f>'B) D RI'!B136</f>
        <v>Bussigny</v>
      </c>
      <c r="C135" s="347">
        <f>'B) D RI'!S136</f>
        <v>62</v>
      </c>
      <c r="D135" s="164">
        <f>'B) D RI'!AR136</f>
        <v>8677</v>
      </c>
      <c r="E135" s="345">
        <f>'D) Ecrêtage'!M134</f>
        <v>336696.75822580646</v>
      </c>
      <c r="F135" s="349">
        <f>'E) Fact soc'!G140</f>
        <v>6380153.6230630353</v>
      </c>
      <c r="G135" s="346">
        <f>'H) Péréquation directe'!I145</f>
        <v>1473806.3015261674</v>
      </c>
      <c r="H135" s="349">
        <f>+'I) Dépenses thématiques'!O134</f>
        <v>-895031.28326458368</v>
      </c>
      <c r="I135" s="346">
        <f>'K) Plafonnement aide'!J134</f>
        <v>0</v>
      </c>
      <c r="J135" s="349">
        <f>'J) Plafonnement effort'!I134</f>
        <v>0</v>
      </c>
      <c r="K135" s="346">
        <f>'L) Plafonnement taux'!Q135</f>
        <v>0</v>
      </c>
      <c r="L135" s="344">
        <f t="shared" si="4"/>
        <v>6958928.6413246188</v>
      </c>
      <c r="M135" s="246">
        <f>'M) Police'!O135</f>
        <v>418027.93084216153</v>
      </c>
      <c r="N135" s="246">
        <f t="shared" ref="N135:N193" si="5">L135+M135</f>
        <v>7376956.57216678</v>
      </c>
      <c r="P135" s="307"/>
      <c r="R135" s="352"/>
    </row>
    <row r="136" spans="1:18" s="165" customFormat="1" x14ac:dyDescent="0.25">
      <c r="A136" s="162">
        <f>'B) D RI'!A137</f>
        <v>5625</v>
      </c>
      <c r="B136" s="163" t="str">
        <f>'B) D RI'!B137</f>
        <v>Bussy-Chardonney</v>
      </c>
      <c r="C136" s="347">
        <f>'B) D RI'!S137</f>
        <v>78</v>
      </c>
      <c r="D136" s="164">
        <f>'B) D RI'!AR137</f>
        <v>371</v>
      </c>
      <c r="E136" s="345">
        <f>'D) Ecrêtage'!M135</f>
        <v>13792.360683760684</v>
      </c>
      <c r="F136" s="349">
        <f>'E) Fact soc'!G141</f>
        <v>247593.35683228864</v>
      </c>
      <c r="G136" s="346">
        <f>'H) Péréquation directe'!I146</f>
        <v>150079.42194875731</v>
      </c>
      <c r="H136" s="349">
        <f>+'I) Dépenses thématiques'!O135</f>
        <v>-13729.509081156</v>
      </c>
      <c r="I136" s="346">
        <f>'K) Plafonnement aide'!J135</f>
        <v>0</v>
      </c>
      <c r="J136" s="349">
        <f>'J) Plafonnement effort'!I135</f>
        <v>0</v>
      </c>
      <c r="K136" s="346">
        <f>'L) Plafonnement taux'!Q136</f>
        <v>0</v>
      </c>
      <c r="L136" s="344">
        <f t="shared" si="4"/>
        <v>383943.26969988993</v>
      </c>
      <c r="M136" s="246">
        <f>'M) Police'!O136</f>
        <v>42223.613306120809</v>
      </c>
      <c r="N136" s="246">
        <f t="shared" si="5"/>
        <v>426166.88300601073</v>
      </c>
      <c r="P136" s="307"/>
      <c r="R136" s="352"/>
    </row>
    <row r="137" spans="1:18" s="165" customFormat="1" x14ac:dyDescent="0.25">
      <c r="A137" s="162">
        <f>'B) D RI'!A138</f>
        <v>5627</v>
      </c>
      <c r="B137" s="163" t="str">
        <f>'B) D RI'!B138</f>
        <v>Chavannes-près-Renens</v>
      </c>
      <c r="C137" s="347">
        <f>'B) D RI'!S138</f>
        <v>79</v>
      </c>
      <c r="D137" s="164">
        <f>'B) D RI'!AR138</f>
        <v>7653</v>
      </c>
      <c r="E137" s="345">
        <f>'D) Ecrêtage'!M136</f>
        <v>175193.96054852317</v>
      </c>
      <c r="F137" s="349">
        <f>'E) Fact soc'!G142</f>
        <v>4015020.0968499547</v>
      </c>
      <c r="G137" s="346">
        <f>'H) Péréquation directe'!I147</f>
        <v>-4265186.0948538659</v>
      </c>
      <c r="H137" s="349">
        <f>+'I) Dépenses thématiques'!O136</f>
        <v>-1355307.4959884661</v>
      </c>
      <c r="I137" s="346">
        <f>'K) Plafonnement aide'!J136</f>
        <v>0</v>
      </c>
      <c r="J137" s="349">
        <f>'J) Plafonnement effort'!I136</f>
        <v>0</v>
      </c>
      <c r="K137" s="346">
        <f>'L) Plafonnement taux'!Q137</f>
        <v>0</v>
      </c>
      <c r="L137" s="344">
        <f t="shared" si="4"/>
        <v>-1605473.4939923773</v>
      </c>
      <c r="M137" s="246">
        <f>'M) Police'!O137</f>
        <v>217513.13915243148</v>
      </c>
      <c r="N137" s="246">
        <f t="shared" si="5"/>
        <v>-1387960.3548399459</v>
      </c>
      <c r="P137" s="307"/>
      <c r="R137" s="352"/>
    </row>
    <row r="138" spans="1:18" s="165" customFormat="1" x14ac:dyDescent="0.25">
      <c r="A138" s="162">
        <f>'B) D RI'!A139</f>
        <v>5628</v>
      </c>
      <c r="B138" s="163" t="str">
        <f>'B) D RI'!B139</f>
        <v>Chigny</v>
      </c>
      <c r="C138" s="347">
        <f>'B) D RI'!S139</f>
        <v>62</v>
      </c>
      <c r="D138" s="164">
        <f>'B) D RI'!AR139</f>
        <v>338</v>
      </c>
      <c r="E138" s="345">
        <f>'D) Ecrêtage'!M137</f>
        <v>19325.492137498935</v>
      </c>
      <c r="F138" s="349">
        <f>'E) Fact soc'!G143</f>
        <v>362997.17529612279</v>
      </c>
      <c r="G138" s="346">
        <f>'H) Péréquation directe'!I148</f>
        <v>323898.33141203714</v>
      </c>
      <c r="H138" s="349">
        <f>+'I) Dépenses thématiques'!O137</f>
        <v>0</v>
      </c>
      <c r="I138" s="346">
        <f>'K) Plafonnement aide'!J137</f>
        <v>0</v>
      </c>
      <c r="J138" s="349">
        <f>'J) Plafonnement effort'!I137</f>
        <v>0</v>
      </c>
      <c r="K138" s="346">
        <f>'L) Plafonnement taux'!Q138</f>
        <v>0</v>
      </c>
      <c r="L138" s="344">
        <f t="shared" si="4"/>
        <v>686895.50670815993</v>
      </c>
      <c r="M138" s="246">
        <f>'M) Police'!O138</f>
        <v>53101.626515701835</v>
      </c>
      <c r="N138" s="246">
        <f t="shared" si="5"/>
        <v>739997.13322386181</v>
      </c>
      <c r="P138" s="307"/>
      <c r="R138" s="352"/>
    </row>
    <row r="139" spans="1:18" s="165" customFormat="1" x14ac:dyDescent="0.25">
      <c r="A139" s="162">
        <f>'B) D RI'!A140</f>
        <v>5629</v>
      </c>
      <c r="B139" s="163" t="str">
        <f>'B) D RI'!B140</f>
        <v>Clarmont</v>
      </c>
      <c r="C139" s="347">
        <f>'B) D RI'!S140</f>
        <v>75</v>
      </c>
      <c r="D139" s="164">
        <f>'B) D RI'!AR140</f>
        <v>189</v>
      </c>
      <c r="E139" s="345">
        <f>'D) Ecrêtage'!M138</f>
        <v>7511.8584000000001</v>
      </c>
      <c r="F139" s="349">
        <f>'E) Fact soc'!G144</f>
        <v>124859.04454719601</v>
      </c>
      <c r="G139" s="346">
        <f>'H) Péréquation directe'!I149</f>
        <v>98900.966608733186</v>
      </c>
      <c r="H139" s="349">
        <f>+'I) Dépenses thématiques'!O138</f>
        <v>-38948.285331308209</v>
      </c>
      <c r="I139" s="346">
        <f>'K) Plafonnement aide'!J138</f>
        <v>0</v>
      </c>
      <c r="J139" s="349">
        <f>'J) Plafonnement effort'!I138</f>
        <v>0</v>
      </c>
      <c r="K139" s="346">
        <f>'L) Plafonnement taux'!Q139</f>
        <v>0</v>
      </c>
      <c r="L139" s="344">
        <f t="shared" si="4"/>
        <v>184811.72582462098</v>
      </c>
      <c r="M139" s="246">
        <f>'M) Police'!O139</f>
        <v>23346.440127377522</v>
      </c>
      <c r="N139" s="246">
        <f t="shared" si="5"/>
        <v>208158.1659519985</v>
      </c>
      <c r="P139" s="307"/>
      <c r="R139" s="352"/>
    </row>
    <row r="140" spans="1:18" s="165" customFormat="1" x14ac:dyDescent="0.25">
      <c r="A140" s="162">
        <f>'B) D RI'!A141</f>
        <v>5631</v>
      </c>
      <c r="B140" s="163" t="str">
        <f>'B) D RI'!B141</f>
        <v>Denens</v>
      </c>
      <c r="C140" s="347">
        <f>'B) D RI'!S141</f>
        <v>70</v>
      </c>
      <c r="D140" s="164">
        <f>'B) D RI'!AR141</f>
        <v>774</v>
      </c>
      <c r="E140" s="345">
        <f>'D) Ecrêtage'!M139</f>
        <v>44860.345540429065</v>
      </c>
      <c r="F140" s="349">
        <f>'E) Fact soc'!G145</f>
        <v>841088.79647215724</v>
      </c>
      <c r="G140" s="346">
        <f>'H) Péréquation directe'!I150</f>
        <v>752913.83155573951</v>
      </c>
      <c r="H140" s="349">
        <f>+'I) Dépenses thématiques'!O139</f>
        <v>-38857.321785623863</v>
      </c>
      <c r="I140" s="346">
        <f>'K) Plafonnement aide'!J139</f>
        <v>0</v>
      </c>
      <c r="J140" s="349">
        <f>'J) Plafonnement effort'!I139</f>
        <v>0</v>
      </c>
      <c r="K140" s="346">
        <f>'L) Plafonnement taux'!Q140</f>
        <v>0</v>
      </c>
      <c r="L140" s="344">
        <f t="shared" si="4"/>
        <v>1555145.306242273</v>
      </c>
      <c r="M140" s="246">
        <f>'M) Police'!O140</f>
        <v>122352.10477573151</v>
      </c>
      <c r="N140" s="246">
        <f t="shared" si="5"/>
        <v>1677497.4110180044</v>
      </c>
      <c r="P140" s="307"/>
      <c r="R140" s="352"/>
    </row>
    <row r="141" spans="1:18" s="165" customFormat="1" x14ac:dyDescent="0.25">
      <c r="A141" s="162">
        <f>'B) D RI'!A142</f>
        <v>5632</v>
      </c>
      <c r="B141" s="163" t="str">
        <f>'B) D RI'!B142</f>
        <v>Denges</v>
      </c>
      <c r="C141" s="347">
        <f>'B) D RI'!S142</f>
        <v>62</v>
      </c>
      <c r="D141" s="164">
        <f>'B) D RI'!AR142</f>
        <v>1614</v>
      </c>
      <c r="E141" s="345">
        <f>'D) Ecrêtage'!M140</f>
        <v>67894.99080645162</v>
      </c>
      <c r="F141" s="349">
        <f>'E) Fact soc'!G146</f>
        <v>1164855.4786912682</v>
      </c>
      <c r="G141" s="346">
        <f>'H) Péréquation directe'!I151</f>
        <v>876980.64168922405</v>
      </c>
      <c r="H141" s="349">
        <f>+'I) Dépenses thématiques'!O140</f>
        <v>-17714.332447960824</v>
      </c>
      <c r="I141" s="346">
        <f>'K) Plafonnement aide'!J140</f>
        <v>0</v>
      </c>
      <c r="J141" s="349">
        <f>'J) Plafonnement effort'!I140</f>
        <v>0</v>
      </c>
      <c r="K141" s="346">
        <f>'L) Plafonnement taux'!Q141</f>
        <v>0</v>
      </c>
      <c r="L141" s="344">
        <f t="shared" si="4"/>
        <v>2024121.7879325317</v>
      </c>
      <c r="M141" s="246">
        <f>'M) Police'!O141</f>
        <v>208923.51532176707</v>
      </c>
      <c r="N141" s="246">
        <f t="shared" si="5"/>
        <v>2233045.3032542989</v>
      </c>
      <c r="P141" s="307"/>
      <c r="R141" s="352"/>
    </row>
    <row r="142" spans="1:18" s="165" customFormat="1" x14ac:dyDescent="0.25">
      <c r="A142" s="162">
        <f>'B) D RI'!A143</f>
        <v>5633</v>
      </c>
      <c r="B142" s="163" t="str">
        <f>'B) D RI'!B143</f>
        <v>Echandens</v>
      </c>
      <c r="C142" s="347">
        <f>'B) D RI'!S143</f>
        <v>62</v>
      </c>
      <c r="D142" s="164">
        <f>'B) D RI'!AR143</f>
        <v>2757</v>
      </c>
      <c r="E142" s="345">
        <f>'D) Ecrêtage'!M141</f>
        <v>131889.87370967743</v>
      </c>
      <c r="F142" s="349">
        <f>'E) Fact soc'!G147</f>
        <v>2331287.8740268792</v>
      </c>
      <c r="G142" s="346">
        <f>'H) Péréquation directe'!I152</f>
        <v>1732065.1611721255</v>
      </c>
      <c r="H142" s="349">
        <f>+'I) Dépenses thématiques'!O141</f>
        <v>-383388.86175512301</v>
      </c>
      <c r="I142" s="346">
        <f>'K) Plafonnement aide'!J141</f>
        <v>0</v>
      </c>
      <c r="J142" s="349">
        <f>'J) Plafonnement effort'!I141</f>
        <v>0</v>
      </c>
      <c r="K142" s="346">
        <f>'L) Plafonnement taux'!Q142</f>
        <v>0</v>
      </c>
      <c r="L142" s="344">
        <f t="shared" si="4"/>
        <v>3679964.1734438818</v>
      </c>
      <c r="M142" s="246">
        <f>'M) Police'!O142</f>
        <v>401176.49026916327</v>
      </c>
      <c r="N142" s="246">
        <f t="shared" si="5"/>
        <v>4081140.663713045</v>
      </c>
      <c r="P142" s="307"/>
      <c r="R142" s="352"/>
    </row>
    <row r="143" spans="1:18" s="165" customFormat="1" x14ac:dyDescent="0.25">
      <c r="A143" s="162">
        <f>'B) D RI'!A144</f>
        <v>5634</v>
      </c>
      <c r="B143" s="163" t="str">
        <f>'B) D RI'!B144</f>
        <v>Echichens</v>
      </c>
      <c r="C143" s="347">
        <f>'B) D RI'!S144</f>
        <v>68</v>
      </c>
      <c r="D143" s="164">
        <f>'B) D RI'!AR144</f>
        <v>2712</v>
      </c>
      <c r="E143" s="345">
        <f>'D) Ecrêtage'!M142</f>
        <v>127167.81867647056</v>
      </c>
      <c r="F143" s="349">
        <f>'E) Fact soc'!G148</f>
        <v>2435869.6142313802</v>
      </c>
      <c r="G143" s="346">
        <f>'H) Péréquation directe'!I153</f>
        <v>1660323.524058308</v>
      </c>
      <c r="H143" s="349">
        <f>+'I) Dépenses thématiques'!O142</f>
        <v>0</v>
      </c>
      <c r="I143" s="346">
        <f>'K) Plafonnement aide'!J142</f>
        <v>0</v>
      </c>
      <c r="J143" s="349">
        <f>'J) Plafonnement effort'!I142</f>
        <v>0</v>
      </c>
      <c r="K143" s="346">
        <f>'L) Plafonnement taux'!Q143</f>
        <v>0</v>
      </c>
      <c r="L143" s="344">
        <f t="shared" si="4"/>
        <v>4096193.1382896882</v>
      </c>
      <c r="M143" s="246">
        <f>'M) Police'!O143</f>
        <v>391438.47596036509</v>
      </c>
      <c r="N143" s="246">
        <f t="shared" si="5"/>
        <v>4487631.6142500537</v>
      </c>
      <c r="P143" s="307"/>
      <c r="R143" s="352"/>
    </row>
    <row r="144" spans="1:18" s="165" customFormat="1" x14ac:dyDescent="0.25">
      <c r="A144" s="162">
        <f>'B) D RI'!A145</f>
        <v>5635</v>
      </c>
      <c r="B144" s="163" t="str">
        <f>'B) D RI'!B145</f>
        <v>Ecublens</v>
      </c>
      <c r="C144" s="347">
        <f>'B) D RI'!S145</f>
        <v>62</v>
      </c>
      <c r="D144" s="164">
        <f>'B) D RI'!AR145</f>
        <v>12560</v>
      </c>
      <c r="E144" s="345">
        <f>'D) Ecrêtage'!M143</f>
        <v>453953.99228353141</v>
      </c>
      <c r="F144" s="349">
        <f>'E) Fact soc'!G149</f>
        <v>8202046.5433613509</v>
      </c>
      <c r="G144" s="346">
        <f>'H) Péréquation directe'!I154</f>
        <v>-487251.20390380733</v>
      </c>
      <c r="H144" s="349">
        <f>+'I) Dépenses thématiques'!O143</f>
        <v>-2594427.3455872331</v>
      </c>
      <c r="I144" s="346">
        <f>'K) Plafonnement aide'!J143</f>
        <v>0</v>
      </c>
      <c r="J144" s="349">
        <f>'J) Plafonnement effort'!I143</f>
        <v>0</v>
      </c>
      <c r="K144" s="346">
        <f>'L) Plafonnement taux'!Q144</f>
        <v>0</v>
      </c>
      <c r="L144" s="344">
        <f t="shared" si="4"/>
        <v>5120367.9938703105</v>
      </c>
      <c r="M144" s="246">
        <f>'M) Police'!O144</f>
        <v>563609.37091219798</v>
      </c>
      <c r="N144" s="246">
        <f t="shared" si="5"/>
        <v>5683977.3647825085</v>
      </c>
      <c r="P144" s="307"/>
      <c r="R144" s="352"/>
    </row>
    <row r="145" spans="1:18" s="165" customFormat="1" x14ac:dyDescent="0.25">
      <c r="A145" s="162">
        <f>'B) D RI'!A146</f>
        <v>5636</v>
      </c>
      <c r="B145" s="163" t="str">
        <f>'B) D RI'!B146</f>
        <v>Etoy</v>
      </c>
      <c r="C145" s="347">
        <f>'B) D RI'!S146</f>
        <v>61</v>
      </c>
      <c r="D145" s="164">
        <f>'B) D RI'!AR146</f>
        <v>2908</v>
      </c>
      <c r="E145" s="345">
        <f>'D) Ecrêtage'!M144</f>
        <v>157303.40508196724</v>
      </c>
      <c r="F145" s="349">
        <f>'E) Fact soc'!G150</f>
        <v>3078969.3357674051</v>
      </c>
      <c r="G145" s="346">
        <f>'H) Péréquation directe'!I155</f>
        <v>2149699.3259641817</v>
      </c>
      <c r="H145" s="349">
        <f>+'I) Dépenses thématiques'!O144</f>
        <v>0</v>
      </c>
      <c r="I145" s="346">
        <f>'K) Plafonnement aide'!J144</f>
        <v>0</v>
      </c>
      <c r="J145" s="349">
        <f>'J) Plafonnement effort'!I144</f>
        <v>0</v>
      </c>
      <c r="K145" s="346">
        <f>'L) Plafonnement taux'!Q145</f>
        <v>0</v>
      </c>
      <c r="L145" s="344">
        <f t="shared" si="4"/>
        <v>5228668.6617315868</v>
      </c>
      <c r="M145" s="246">
        <f>'M) Police'!O145</f>
        <v>445732.66075033066</v>
      </c>
      <c r="N145" s="246">
        <f t="shared" si="5"/>
        <v>5674401.3224819172</v>
      </c>
      <c r="P145" s="307"/>
      <c r="R145" s="352"/>
    </row>
    <row r="146" spans="1:18" s="165" customFormat="1" x14ac:dyDescent="0.25">
      <c r="A146" s="162">
        <f>'B) D RI'!A147</f>
        <v>5637</v>
      </c>
      <c r="B146" s="163" t="str">
        <f>'B) D RI'!B147</f>
        <v>Lavigny</v>
      </c>
      <c r="C146" s="347">
        <f>'B) D RI'!S147</f>
        <v>74.5</v>
      </c>
      <c r="D146" s="164">
        <f>'B) D RI'!AR147</f>
        <v>1007</v>
      </c>
      <c r="E146" s="345">
        <f>'D) Ecrêtage'!M145</f>
        <v>36259.562058165546</v>
      </c>
      <c r="F146" s="349">
        <f>'E) Fact soc'!G151</f>
        <v>662354.34664493531</v>
      </c>
      <c r="G146" s="346">
        <f>'H) Péréquation directe'!I156</f>
        <v>374191.88976005849</v>
      </c>
      <c r="H146" s="349">
        <f>+'I) Dépenses thématiques'!O145</f>
        <v>-86849.219349232517</v>
      </c>
      <c r="I146" s="346">
        <f>'K) Plafonnement aide'!J145</f>
        <v>0</v>
      </c>
      <c r="J146" s="349">
        <f>'J) Plafonnement effort'!I145</f>
        <v>0</v>
      </c>
      <c r="K146" s="346">
        <f>'L) Plafonnement taux'!Q146</f>
        <v>0</v>
      </c>
      <c r="L146" s="344">
        <f t="shared" si="4"/>
        <v>949697.0170557613</v>
      </c>
      <c r="M146" s="246">
        <f>'M) Police'!O146</f>
        <v>112415.8001200163</v>
      </c>
      <c r="N146" s="246">
        <f t="shared" si="5"/>
        <v>1062112.8171757776</v>
      </c>
      <c r="P146" s="307"/>
      <c r="R146" s="352"/>
    </row>
    <row r="147" spans="1:18" s="165" customFormat="1" x14ac:dyDescent="0.25">
      <c r="A147" s="162">
        <f>'B) D RI'!A148</f>
        <v>5638</v>
      </c>
      <c r="B147" s="163" t="str">
        <f>'B) D RI'!B148</f>
        <v>Lonay</v>
      </c>
      <c r="C147" s="347">
        <f>'B) D RI'!S148</f>
        <v>55</v>
      </c>
      <c r="D147" s="164">
        <f>'B) D RI'!AR148</f>
        <v>2492</v>
      </c>
      <c r="E147" s="345">
        <f>'D) Ecrêtage'!M146</f>
        <v>150321.62938264804</v>
      </c>
      <c r="F147" s="349">
        <f>'E) Fact soc'!G152</f>
        <v>5579965.8919217568</v>
      </c>
      <c r="G147" s="346">
        <f>'H) Péréquation directe'!I157</f>
        <v>2164462.2991980133</v>
      </c>
      <c r="H147" s="349">
        <f>+'I) Dépenses thématiques'!O146</f>
        <v>-278417.81536039826</v>
      </c>
      <c r="I147" s="346">
        <f>'K) Plafonnement aide'!J146</f>
        <v>0</v>
      </c>
      <c r="J147" s="349">
        <f>'J) Plafonnement effort'!I146</f>
        <v>0</v>
      </c>
      <c r="K147" s="346">
        <f>'L) Plafonnement taux'!Q147</f>
        <v>0</v>
      </c>
      <c r="L147" s="344">
        <f t="shared" si="4"/>
        <v>7466010.3757593716</v>
      </c>
      <c r="M147" s="246">
        <f>'M) Police'!O147</f>
        <v>401239.2336989519</v>
      </c>
      <c r="N147" s="246">
        <f t="shared" si="5"/>
        <v>7867249.6094583236</v>
      </c>
      <c r="P147" s="307"/>
      <c r="R147" s="352"/>
    </row>
    <row r="148" spans="1:18" s="165" customFormat="1" x14ac:dyDescent="0.25">
      <c r="A148" s="162">
        <f>'B) D RI'!A149</f>
        <v>5639</v>
      </c>
      <c r="B148" s="163" t="str">
        <f>'B) D RI'!B149</f>
        <v>Lully</v>
      </c>
      <c r="C148" s="347">
        <f>'B) D RI'!S149</f>
        <v>61</v>
      </c>
      <c r="D148" s="164">
        <f>'B) D RI'!AR149</f>
        <v>795</v>
      </c>
      <c r="E148" s="345">
        <f>'D) Ecrêtage'!M147</f>
        <v>49975.06593843337</v>
      </c>
      <c r="F148" s="349">
        <f>'E) Fact soc'!G153</f>
        <v>1010743.396783725</v>
      </c>
      <c r="G148" s="346">
        <f>'H) Péréquation directe'!I158</f>
        <v>845400.28907739057</v>
      </c>
      <c r="H148" s="349">
        <f>+'I) Dépenses thématiques'!O147</f>
        <v>0</v>
      </c>
      <c r="I148" s="346">
        <f>'K) Plafonnement aide'!J147</f>
        <v>0</v>
      </c>
      <c r="J148" s="349">
        <f>'J) Plafonnement effort'!I147</f>
        <v>0</v>
      </c>
      <c r="K148" s="346">
        <f>'L) Plafonnement taux'!Q148</f>
        <v>0</v>
      </c>
      <c r="L148" s="344">
        <f t="shared" si="4"/>
        <v>1856143.6858611156</v>
      </c>
      <c r="M148" s="246">
        <f>'M) Police'!O148</f>
        <v>130510.79900069875</v>
      </c>
      <c r="N148" s="246">
        <f t="shared" si="5"/>
        <v>1986654.4848618144</v>
      </c>
      <c r="P148" s="307"/>
      <c r="R148" s="352"/>
    </row>
    <row r="149" spans="1:18" s="165" customFormat="1" x14ac:dyDescent="0.25">
      <c r="A149" s="162">
        <f>'B) D RI'!A150</f>
        <v>5640</v>
      </c>
      <c r="B149" s="163" t="str">
        <f>'B) D RI'!B150</f>
        <v>Lussy-sur-Morges</v>
      </c>
      <c r="C149" s="347">
        <f>'B) D RI'!S150</f>
        <v>66</v>
      </c>
      <c r="D149" s="164">
        <f>'B) D RI'!AR150</f>
        <v>667</v>
      </c>
      <c r="E149" s="345">
        <f>'D) Ecrêtage'!M148</f>
        <v>50651.70710935448</v>
      </c>
      <c r="F149" s="349">
        <f>'E) Fact soc'!G154</f>
        <v>1991450.589335005</v>
      </c>
      <c r="G149" s="346">
        <f>'H) Péréquation directe'!I159</f>
        <v>870555.52434687898</v>
      </c>
      <c r="H149" s="349">
        <f>+'I) Dépenses thématiques'!O148</f>
        <v>0</v>
      </c>
      <c r="I149" s="346">
        <f>'K) Plafonnement aide'!J148</f>
        <v>0</v>
      </c>
      <c r="J149" s="349">
        <f>'J) Plafonnement effort'!I148</f>
        <v>0</v>
      </c>
      <c r="K149" s="346">
        <f>'L) Plafonnement taux'!Q149</f>
        <v>0</v>
      </c>
      <c r="L149" s="344">
        <f t="shared" si="4"/>
        <v>2862006.113681884</v>
      </c>
      <c r="M149" s="246">
        <f>'M) Police'!O149</f>
        <v>62886.938466887106</v>
      </c>
      <c r="N149" s="246">
        <f t="shared" si="5"/>
        <v>2924893.052148771</v>
      </c>
      <c r="P149" s="307"/>
      <c r="R149" s="352"/>
    </row>
    <row r="150" spans="1:18" s="165" customFormat="1" x14ac:dyDescent="0.25">
      <c r="A150" s="162">
        <f>'B) D RI'!A151</f>
        <v>5642</v>
      </c>
      <c r="B150" s="163" t="str">
        <f>'B) D RI'!B151</f>
        <v>Morges</v>
      </c>
      <c r="C150" s="347">
        <f>'B) D RI'!S151</f>
        <v>68.5</v>
      </c>
      <c r="D150" s="164">
        <f>'B) D RI'!AR151</f>
        <v>15839</v>
      </c>
      <c r="E150" s="345">
        <f>'D) Ecrêtage'!M149</f>
        <v>777988.51795620425</v>
      </c>
      <c r="F150" s="349">
        <f>'E) Fact soc'!G155</f>
        <v>14999603.487605035</v>
      </c>
      <c r="G150" s="346">
        <f>'H) Péréquation directe'!I160</f>
        <v>3880866.6983136013</v>
      </c>
      <c r="H150" s="349">
        <f>+'I) Dépenses thématiques'!O149</f>
        <v>-563905.66303134779</v>
      </c>
      <c r="I150" s="346">
        <f>'K) Plafonnement aide'!J149</f>
        <v>0</v>
      </c>
      <c r="J150" s="349">
        <f>'J) Plafonnement effort'!I149</f>
        <v>0</v>
      </c>
      <c r="K150" s="346">
        <f>'L) Plafonnement taux'!Q150</f>
        <v>0</v>
      </c>
      <c r="L150" s="344">
        <f t="shared" si="4"/>
        <v>18316564.52288729</v>
      </c>
      <c r="M150" s="246">
        <f>'M) Police'!O150</f>
        <v>965916.42905596888</v>
      </c>
      <c r="N150" s="246">
        <f t="shared" si="5"/>
        <v>19282480.95194326</v>
      </c>
      <c r="P150" s="307"/>
      <c r="R150" s="352"/>
    </row>
    <row r="151" spans="1:18" s="165" customFormat="1" x14ac:dyDescent="0.25">
      <c r="A151" s="162">
        <f>'B) D RI'!A152</f>
        <v>5643</v>
      </c>
      <c r="B151" s="163" t="str">
        <f>'B) D RI'!B152</f>
        <v>Préverenges</v>
      </c>
      <c r="C151" s="347">
        <f>'B) D RI'!S152</f>
        <v>64</v>
      </c>
      <c r="D151" s="164">
        <f>'B) D RI'!AR152</f>
        <v>5291</v>
      </c>
      <c r="E151" s="345">
        <f>'D) Ecrêtage'!M150</f>
        <v>264736.09703124996</v>
      </c>
      <c r="F151" s="349">
        <f>'E) Fact soc'!G156</f>
        <v>4324802.6490630787</v>
      </c>
      <c r="G151" s="346">
        <f>'H) Péréquation directe'!I161</f>
        <v>2943687.1980237896</v>
      </c>
      <c r="H151" s="349">
        <f>+'I) Dépenses thématiques'!O150</f>
        <v>0</v>
      </c>
      <c r="I151" s="346">
        <f>'K) Plafonnement aide'!J150</f>
        <v>0</v>
      </c>
      <c r="J151" s="349">
        <f>'J) Plafonnement effort'!I150</f>
        <v>0</v>
      </c>
      <c r="K151" s="346">
        <f>'L) Plafonnement taux'!Q151</f>
        <v>0</v>
      </c>
      <c r="L151" s="344">
        <f t="shared" si="4"/>
        <v>7268489.8470868682</v>
      </c>
      <c r="M151" s="246">
        <f>'M) Police'!O151</f>
        <v>328684.72938187298</v>
      </c>
      <c r="N151" s="246">
        <f t="shared" si="5"/>
        <v>7597174.5764687415</v>
      </c>
      <c r="P151" s="307"/>
      <c r="R151" s="352"/>
    </row>
    <row r="152" spans="1:18" s="165" customFormat="1" x14ac:dyDescent="0.25">
      <c r="A152" s="162">
        <f>'B) D RI'!A153</f>
        <v>5644</v>
      </c>
      <c r="B152" s="163" t="str">
        <f>'B) D RI'!B153</f>
        <v>Reverolle</v>
      </c>
      <c r="C152" s="347">
        <f>'B) D RI'!S153</f>
        <v>76</v>
      </c>
      <c r="D152" s="164">
        <f>'B) D RI'!AR153</f>
        <v>382</v>
      </c>
      <c r="E152" s="345">
        <f>'D) Ecrêtage'!M151</f>
        <v>15137.442236842104</v>
      </c>
      <c r="F152" s="349">
        <f>'E) Fact soc'!G157</f>
        <v>252863.23955468833</v>
      </c>
      <c r="G152" s="346">
        <f>'H) Péréquation directe'!I162</f>
        <v>196864.45299562797</v>
      </c>
      <c r="H152" s="349">
        <f>+'I) Dépenses thématiques'!O151</f>
        <v>-34122.111327103856</v>
      </c>
      <c r="I152" s="346">
        <f>'K) Plafonnement aide'!J151</f>
        <v>0</v>
      </c>
      <c r="J152" s="349">
        <f>'J) Plafonnement effort'!I151</f>
        <v>0</v>
      </c>
      <c r="K152" s="346">
        <f>'L) Plafonnement taux'!Q152</f>
        <v>0</v>
      </c>
      <c r="L152" s="344">
        <f t="shared" si="4"/>
        <v>415605.58122321247</v>
      </c>
      <c r="M152" s="246">
        <f>'M) Police'!O152</f>
        <v>47168.067661499736</v>
      </c>
      <c r="N152" s="246">
        <f t="shared" si="5"/>
        <v>462773.64888471219</v>
      </c>
      <c r="P152" s="307"/>
      <c r="R152" s="352"/>
    </row>
    <row r="153" spans="1:18" s="165" customFormat="1" x14ac:dyDescent="0.25">
      <c r="A153" s="162">
        <f>'B) D RI'!A154</f>
        <v>5645</v>
      </c>
      <c r="B153" s="163" t="str">
        <f>'B) D RI'!B154</f>
        <v>Romanel-sur-Morges</v>
      </c>
      <c r="C153" s="347">
        <f>'B) D RI'!S154</f>
        <v>56</v>
      </c>
      <c r="D153" s="164">
        <f>'B) D RI'!AR154</f>
        <v>470</v>
      </c>
      <c r="E153" s="345">
        <f>'D) Ecrêtage'!M152</f>
        <v>26740.464147907049</v>
      </c>
      <c r="F153" s="349">
        <f>'E) Fact soc'!G158</f>
        <v>449523.32956524286</v>
      </c>
      <c r="G153" s="346">
        <f>'H) Péréquation directe'!I163</f>
        <v>447945.91433724464</v>
      </c>
      <c r="H153" s="349">
        <f>+'I) Dépenses thématiques'!O152</f>
        <v>0</v>
      </c>
      <c r="I153" s="346">
        <f>'K) Plafonnement aide'!J152</f>
        <v>0</v>
      </c>
      <c r="J153" s="349">
        <f>'J) Plafonnement effort'!I152</f>
        <v>0</v>
      </c>
      <c r="K153" s="346">
        <f>'L) Plafonnement taux'!Q153</f>
        <v>0</v>
      </c>
      <c r="L153" s="344">
        <f t="shared" si="4"/>
        <v>897469.24390248745</v>
      </c>
      <c r="M153" s="246">
        <f>'M) Police'!O153</f>
        <v>73675.329619915428</v>
      </c>
      <c r="N153" s="246">
        <f t="shared" si="5"/>
        <v>971144.5735224029</v>
      </c>
      <c r="P153" s="307"/>
      <c r="R153" s="352"/>
    </row>
    <row r="154" spans="1:18" s="165" customFormat="1" x14ac:dyDescent="0.25">
      <c r="A154" s="162">
        <f>'B) D RI'!A155</f>
        <v>5646</v>
      </c>
      <c r="B154" s="163" t="str">
        <f>'B) D RI'!B155</f>
        <v>Saint-Prex</v>
      </c>
      <c r="C154" s="347">
        <f>'B) D RI'!S155</f>
        <v>55</v>
      </c>
      <c r="D154" s="164">
        <f>'B) D RI'!AR155</f>
        <v>5695</v>
      </c>
      <c r="E154" s="345">
        <f>'D) Ecrêtage'!M153</f>
        <v>369808.23845823808</v>
      </c>
      <c r="F154" s="349">
        <f>'E) Fact soc'!G159</f>
        <v>8009097.5464090817</v>
      </c>
      <c r="G154" s="346">
        <f>'H) Péréquation directe'!I164</f>
        <v>4646790.4846986178</v>
      </c>
      <c r="H154" s="349">
        <f>+'I) Dépenses thématiques'!O153</f>
        <v>0</v>
      </c>
      <c r="I154" s="346">
        <f>'K) Plafonnement aide'!J153</f>
        <v>0</v>
      </c>
      <c r="J154" s="349">
        <f>'J) Plafonnement effort'!I153</f>
        <v>0</v>
      </c>
      <c r="K154" s="346">
        <f>'L) Plafonnement taux'!Q154</f>
        <v>0</v>
      </c>
      <c r="L154" s="344">
        <f t="shared" si="4"/>
        <v>12655888.031107699</v>
      </c>
      <c r="M154" s="246">
        <f>'M) Police'!O154</f>
        <v>459137.69275855535</v>
      </c>
      <c r="N154" s="246">
        <f t="shared" si="5"/>
        <v>13115025.723866254</v>
      </c>
      <c r="P154" s="307"/>
      <c r="R154" s="352"/>
    </row>
    <row r="155" spans="1:18" s="165" customFormat="1" x14ac:dyDescent="0.25">
      <c r="A155" s="162">
        <f>'B) D RI'!A156</f>
        <v>5648</v>
      </c>
      <c r="B155" s="163" t="str">
        <f>'B) D RI'!B156</f>
        <v>Saint-Sulpice</v>
      </c>
      <c r="C155" s="347">
        <f>'B) D RI'!S156</f>
        <v>55</v>
      </c>
      <c r="D155" s="164">
        <f>'B) D RI'!AR156</f>
        <v>4524</v>
      </c>
      <c r="E155" s="345">
        <f>'D) Ecrêtage'!M154</f>
        <v>334205.15465588256</v>
      </c>
      <c r="F155" s="349">
        <f>'E) Fact soc'!G160</f>
        <v>8731628.5031068176</v>
      </c>
      <c r="G155" s="346">
        <f>'H) Péréquation directe'!I165</f>
        <v>4635652.1499055624</v>
      </c>
      <c r="H155" s="349">
        <f>+'I) Dépenses thématiques'!O154</f>
        <v>0</v>
      </c>
      <c r="I155" s="346">
        <f>'K) Plafonnement aide'!J154</f>
        <v>0</v>
      </c>
      <c r="J155" s="349">
        <f>'J) Plafonnement effort'!I154</f>
        <v>0</v>
      </c>
      <c r="K155" s="346">
        <f>'L) Plafonnement taux'!Q155</f>
        <v>0</v>
      </c>
      <c r="L155" s="344">
        <f t="shared" si="4"/>
        <v>13367280.65301238</v>
      </c>
      <c r="M155" s="246">
        <f>'M) Police'!O155</f>
        <v>414934.46510669484</v>
      </c>
      <c r="N155" s="246">
        <f t="shared" si="5"/>
        <v>13782215.118119074</v>
      </c>
      <c r="P155" s="307"/>
      <c r="R155" s="352"/>
    </row>
    <row r="156" spans="1:18" s="165" customFormat="1" x14ac:dyDescent="0.25">
      <c r="A156" s="162">
        <f>'B) D RI'!A157</f>
        <v>5649</v>
      </c>
      <c r="B156" s="163" t="str">
        <f>'B) D RI'!B157</f>
        <v>Tolochenaz</v>
      </c>
      <c r="C156" s="347">
        <f>'B) D RI'!S157</f>
        <v>65</v>
      </c>
      <c r="D156" s="164">
        <f>'B) D RI'!AR157</f>
        <v>1883</v>
      </c>
      <c r="E156" s="345">
        <f>'D) Ecrêtage'!M155</f>
        <v>195848.93852904905</v>
      </c>
      <c r="F156" s="349">
        <f>'E) Fact soc'!G161</f>
        <v>7562783.8937896071</v>
      </c>
      <c r="G156" s="346">
        <f>'H) Péréquation directe'!I166</f>
        <v>3216749.3281974969</v>
      </c>
      <c r="H156" s="349">
        <f>+'I) Dépenses thématiques'!O155</f>
        <v>0</v>
      </c>
      <c r="I156" s="346">
        <f>'K) Plafonnement aide'!J155</f>
        <v>0</v>
      </c>
      <c r="J156" s="349">
        <f>'J) Plafonnement effort'!I155</f>
        <v>0</v>
      </c>
      <c r="K156" s="346">
        <f>'L) Plafonnement taux'!Q156</f>
        <v>0</v>
      </c>
      <c r="L156" s="344">
        <f t="shared" si="4"/>
        <v>10779533.221987104</v>
      </c>
      <c r="M156" s="246">
        <f>'M) Police'!O156</f>
        <v>243157.45409115442</v>
      </c>
      <c r="N156" s="246">
        <f t="shared" si="5"/>
        <v>11022690.676078258</v>
      </c>
      <c r="P156" s="307"/>
      <c r="R156" s="352"/>
    </row>
    <row r="157" spans="1:18" s="165" customFormat="1" x14ac:dyDescent="0.25">
      <c r="A157" s="162">
        <f>'B) D RI'!A158</f>
        <v>5650</v>
      </c>
      <c r="B157" s="163" t="str">
        <f>'B) D RI'!B158</f>
        <v>Vaux-sur-Morges</v>
      </c>
      <c r="C157" s="347">
        <f>'B) D RI'!S158</f>
        <v>56</v>
      </c>
      <c r="D157" s="164">
        <f>'B) D RI'!AR158</f>
        <v>199</v>
      </c>
      <c r="E157" s="345">
        <f>'D) Ecrêtage'!M156</f>
        <v>103424.65367092534</v>
      </c>
      <c r="F157" s="349">
        <f>'E) Fact soc'!G162</f>
        <v>7281166.733139365</v>
      </c>
      <c r="G157" s="346">
        <f>'H) Péréquation directe'!I167</f>
        <v>1892458.3665135754</v>
      </c>
      <c r="H157" s="349">
        <f>+'I) Dépenses thématiques'!O156</f>
        <v>0</v>
      </c>
      <c r="I157" s="346">
        <f>'K) Plafonnement aide'!J156</f>
        <v>0</v>
      </c>
      <c r="J157" s="349">
        <f>'J) Plafonnement effort'!I156</f>
        <v>0</v>
      </c>
      <c r="K157" s="346">
        <f>'L) Plafonnement taux'!Q157</f>
        <v>0</v>
      </c>
      <c r="L157" s="344">
        <f t="shared" si="4"/>
        <v>9173625.0996529404</v>
      </c>
      <c r="M157" s="246">
        <f>'M) Police'!O157</f>
        <v>145545.03149996692</v>
      </c>
      <c r="N157" s="246">
        <f t="shared" si="5"/>
        <v>9319170.1311529074</v>
      </c>
      <c r="P157" s="307"/>
      <c r="R157" s="352"/>
    </row>
    <row r="158" spans="1:18" s="165" customFormat="1" x14ac:dyDescent="0.25">
      <c r="A158" s="162">
        <f>'B) D RI'!A159</f>
        <v>5651</v>
      </c>
      <c r="B158" s="163" t="str">
        <f>'B) D RI'!B159</f>
        <v>Villars-Sainte-Croix</v>
      </c>
      <c r="C158" s="347">
        <f>'B) D RI'!S159</f>
        <v>59</v>
      </c>
      <c r="D158" s="164">
        <f>'B) D RI'!AR159</f>
        <v>935</v>
      </c>
      <c r="E158" s="345">
        <f>'D) Ecrêtage'!M157</f>
        <v>52872.416721397552</v>
      </c>
      <c r="F158" s="349">
        <f>'E) Fact soc'!G163</f>
        <v>1007323.586392984</v>
      </c>
      <c r="G158" s="346">
        <f>'H) Péréquation directe'!I168</f>
        <v>885135.6120654213</v>
      </c>
      <c r="H158" s="349">
        <f>+'I) Dépenses thématiques'!O157</f>
        <v>0</v>
      </c>
      <c r="I158" s="346">
        <f>'K) Plafonnement aide'!J157</f>
        <v>0</v>
      </c>
      <c r="J158" s="349">
        <f>'J) Plafonnement effort'!I157</f>
        <v>0</v>
      </c>
      <c r="K158" s="346">
        <f>'L) Plafonnement taux'!Q158</f>
        <v>0</v>
      </c>
      <c r="L158" s="344">
        <f t="shared" si="4"/>
        <v>1892459.1984584052</v>
      </c>
      <c r="M158" s="246">
        <f>'M) Police'!O158</f>
        <v>65644.074142963567</v>
      </c>
      <c r="N158" s="246">
        <f t="shared" si="5"/>
        <v>1958103.2726013688</v>
      </c>
      <c r="P158" s="307"/>
      <c r="R158" s="352"/>
    </row>
    <row r="159" spans="1:18" s="165" customFormat="1" x14ac:dyDescent="0.25">
      <c r="A159" s="162">
        <f>'B) D RI'!A160</f>
        <v>5652</v>
      </c>
      <c r="B159" s="163" t="str">
        <f>'B) D RI'!B160</f>
        <v>Villars-sous-Yens</v>
      </c>
      <c r="C159" s="347">
        <f>'B) D RI'!S160</f>
        <v>76</v>
      </c>
      <c r="D159" s="164">
        <f>'B) D RI'!AR160</f>
        <v>614</v>
      </c>
      <c r="E159" s="345">
        <f>'D) Ecrêtage'!M158</f>
        <v>25892.335109649121</v>
      </c>
      <c r="F159" s="349">
        <f>'E) Fact soc'!G164</f>
        <v>417640.1707500224</v>
      </c>
      <c r="G159" s="346">
        <f>'H) Péréquation directe'!I169</f>
        <v>381105.58237167308</v>
      </c>
      <c r="H159" s="349">
        <f>+'I) Dépenses thématiques'!O158</f>
        <v>-2418.8100043436793</v>
      </c>
      <c r="I159" s="346">
        <f>'K) Plafonnement aide'!J158</f>
        <v>0</v>
      </c>
      <c r="J159" s="349">
        <f>'J) Plafonnement effort'!I158</f>
        <v>0</v>
      </c>
      <c r="K159" s="346">
        <f>'L) Plafonnement taux'!Q159</f>
        <v>0</v>
      </c>
      <c r="L159" s="344">
        <f t="shared" si="4"/>
        <v>796326.94311735185</v>
      </c>
      <c r="M159" s="246">
        <f>'M) Police'!O159</f>
        <v>81122.685523428852</v>
      </c>
      <c r="N159" s="246">
        <f t="shared" si="5"/>
        <v>877449.62864078069</v>
      </c>
      <c r="P159" s="307"/>
      <c r="R159" s="352"/>
    </row>
    <row r="160" spans="1:18" s="165" customFormat="1" x14ac:dyDescent="0.25">
      <c r="A160" s="162">
        <f>'B) D RI'!A161</f>
        <v>5653</v>
      </c>
      <c r="B160" s="163" t="str">
        <f>'B) D RI'!B161</f>
        <v>Vufflens-le-Château</v>
      </c>
      <c r="C160" s="347">
        <f>'B) D RI'!S161</f>
        <v>55</v>
      </c>
      <c r="D160" s="164">
        <f>'B) D RI'!AR161</f>
        <v>884</v>
      </c>
      <c r="E160" s="345">
        <f>'D) Ecrêtage'!M159</f>
        <v>56018.487471928405</v>
      </c>
      <c r="F160" s="349">
        <f>'E) Fact soc'!G165</f>
        <v>1058185.5629301546</v>
      </c>
      <c r="G160" s="346">
        <f>'H) Péréquation directe'!I170</f>
        <v>948338.6938351572</v>
      </c>
      <c r="H160" s="349">
        <f>+'I) Dépenses thématiques'!O159</f>
        <v>0</v>
      </c>
      <c r="I160" s="346">
        <f>'K) Plafonnement aide'!J159</f>
        <v>0</v>
      </c>
      <c r="J160" s="349">
        <f>'J) Plafonnement effort'!I159</f>
        <v>0</v>
      </c>
      <c r="K160" s="346">
        <f>'L) Plafonnement taux'!Q160</f>
        <v>0</v>
      </c>
      <c r="L160" s="344">
        <f t="shared" si="4"/>
        <v>2006524.2567653118</v>
      </c>
      <c r="M160" s="246">
        <f>'M) Police'!O160</f>
        <v>145678.56368193359</v>
      </c>
      <c r="N160" s="246">
        <f t="shared" si="5"/>
        <v>2152202.8204472456</v>
      </c>
      <c r="P160" s="307"/>
      <c r="R160" s="352"/>
    </row>
    <row r="161" spans="1:18" s="165" customFormat="1" x14ac:dyDescent="0.25">
      <c r="A161" s="162">
        <f>'B) D RI'!A162</f>
        <v>5654</v>
      </c>
      <c r="B161" s="163" t="str">
        <f>'B) D RI'!B162</f>
        <v>Vullierens</v>
      </c>
      <c r="C161" s="347">
        <f>'B) D RI'!S162</f>
        <v>76</v>
      </c>
      <c r="D161" s="164">
        <f>'B) D RI'!AR162</f>
        <v>499</v>
      </c>
      <c r="E161" s="345">
        <f>'D) Ecrêtage'!M160</f>
        <v>18691.767368421053</v>
      </c>
      <c r="F161" s="349">
        <f>'E) Fact soc'!G166</f>
        <v>299250.97978558193</v>
      </c>
      <c r="G161" s="346">
        <f>'H) Péréquation directe'!I171</f>
        <v>212341.42633401172</v>
      </c>
      <c r="H161" s="349">
        <f>+'I) Dépenses thématiques'!O160</f>
        <v>-4903.7279967359309</v>
      </c>
      <c r="I161" s="346">
        <f>'K) Plafonnement aide'!J160</f>
        <v>0</v>
      </c>
      <c r="J161" s="349">
        <f>'J) Plafonnement effort'!I160</f>
        <v>0</v>
      </c>
      <c r="K161" s="346">
        <f>'L) Plafonnement taux'!Q161</f>
        <v>0</v>
      </c>
      <c r="L161" s="344">
        <f t="shared" si="4"/>
        <v>506688.6781228577</v>
      </c>
      <c r="M161" s="246">
        <f>'M) Police'!O161</f>
        <v>58206.537150677425</v>
      </c>
      <c r="N161" s="246">
        <f t="shared" si="5"/>
        <v>564895.21527353511</v>
      </c>
      <c r="P161" s="307"/>
      <c r="R161" s="352"/>
    </row>
    <row r="162" spans="1:18" s="165" customFormat="1" x14ac:dyDescent="0.25">
      <c r="A162" s="162">
        <f>'B) D RI'!A163</f>
        <v>5655</v>
      </c>
      <c r="B162" s="163" t="str">
        <f>'B) D RI'!B163</f>
        <v>Yens</v>
      </c>
      <c r="C162" s="347">
        <f>'B) D RI'!S163</f>
        <v>73</v>
      </c>
      <c r="D162" s="164">
        <f>'B) D RI'!AR163</f>
        <v>1395</v>
      </c>
      <c r="E162" s="345">
        <f>'D) Ecrêtage'!M161</f>
        <v>72322.592328767118</v>
      </c>
      <c r="F162" s="349">
        <f>'E) Fact soc'!G167</f>
        <v>1492551.0273482199</v>
      </c>
      <c r="G162" s="346">
        <f>'H) Péréquation directe'!I172</f>
        <v>1101728.531859098</v>
      </c>
      <c r="H162" s="349">
        <f>+'I) Dépenses thématiques'!O161</f>
        <v>0</v>
      </c>
      <c r="I162" s="346">
        <f>'K) Plafonnement aide'!J161</f>
        <v>0</v>
      </c>
      <c r="J162" s="349">
        <f>'J) Plafonnement effort'!I161</f>
        <v>0</v>
      </c>
      <c r="K162" s="346">
        <f>'L) Plafonnement taux'!Q162</f>
        <v>0</v>
      </c>
      <c r="L162" s="344">
        <f t="shared" si="4"/>
        <v>2594279.5592073179</v>
      </c>
      <c r="M162" s="246">
        <f>'M) Police'!O162</f>
        <v>209927.41238585144</v>
      </c>
      <c r="N162" s="246">
        <f t="shared" si="5"/>
        <v>2804206.9715931695</v>
      </c>
      <c r="P162" s="307"/>
      <c r="R162" s="352"/>
    </row>
    <row r="163" spans="1:18" s="165" customFormat="1" x14ac:dyDescent="0.25">
      <c r="A163" s="162">
        <f>'B) D RI'!A164</f>
        <v>5661</v>
      </c>
      <c r="B163" s="163" t="str">
        <f>'B) D RI'!B164</f>
        <v>Boulens</v>
      </c>
      <c r="C163" s="347">
        <f>'B) D RI'!S164</f>
        <v>79</v>
      </c>
      <c r="D163" s="164">
        <f>'B) D RI'!AR164</f>
        <v>377</v>
      </c>
      <c r="E163" s="345">
        <f>'D) Ecrêtage'!M162</f>
        <v>9059.2982278481013</v>
      </c>
      <c r="F163" s="349">
        <f>'E) Fact soc'!G168</f>
        <v>147913.5788401257</v>
      </c>
      <c r="G163" s="346">
        <f>'H) Péréquation directe'!I173</f>
        <v>-63726.906380944798</v>
      </c>
      <c r="H163" s="349">
        <f>+'I) Dépenses thématiques'!O162</f>
        <v>-15646.014110363105</v>
      </c>
      <c r="I163" s="346">
        <f>'K) Plafonnement aide'!J162</f>
        <v>0</v>
      </c>
      <c r="J163" s="349">
        <f>'J) Plafonnement effort'!I162</f>
        <v>0</v>
      </c>
      <c r="K163" s="346">
        <f>'L) Plafonnement taux'!Q163</f>
        <v>0</v>
      </c>
      <c r="L163" s="344">
        <f t="shared" si="4"/>
        <v>68540.6583488178</v>
      </c>
      <c r="M163" s="246">
        <f>'M) Police'!O163</f>
        <v>28193.006163157734</v>
      </c>
      <c r="N163" s="246">
        <f t="shared" si="5"/>
        <v>96733.664511975541</v>
      </c>
      <c r="P163" s="307"/>
      <c r="R163" s="352"/>
    </row>
    <row r="164" spans="1:18" s="165" customFormat="1" x14ac:dyDescent="0.25">
      <c r="A164" s="162">
        <f>'B) D RI'!A165</f>
        <v>5663</v>
      </c>
      <c r="B164" s="163" t="str">
        <f>'B) D RI'!B165</f>
        <v>Bussy-sur-Moudon</v>
      </c>
      <c r="C164" s="347">
        <f>'B) D RI'!S165</f>
        <v>80</v>
      </c>
      <c r="D164" s="164">
        <f>'B) D RI'!AR165</f>
        <v>209</v>
      </c>
      <c r="E164" s="345">
        <f>'D) Ecrêtage'!M163</f>
        <v>5679.6416249999993</v>
      </c>
      <c r="F164" s="349">
        <f>'E) Fact soc'!G169</f>
        <v>99527.419254055843</v>
      </c>
      <c r="G164" s="346">
        <f>'H) Péréquation directe'!I174</f>
        <v>-9209.5554111660022</v>
      </c>
      <c r="H164" s="349">
        <f>+'I) Dépenses thématiques'!O163</f>
        <v>-68983.489298331464</v>
      </c>
      <c r="I164" s="346">
        <f>'K) Plafonnement aide'!J163</f>
        <v>0</v>
      </c>
      <c r="J164" s="349">
        <f>'J) Plafonnement effort'!I163</f>
        <v>0</v>
      </c>
      <c r="K164" s="346">
        <f>'L) Plafonnement taux'!Q164</f>
        <v>0</v>
      </c>
      <c r="L164" s="344">
        <f t="shared" si="4"/>
        <v>21334.374544558377</v>
      </c>
      <c r="M164" s="246">
        <f>'M) Police'!O164</f>
        <v>17609.665989008547</v>
      </c>
      <c r="N164" s="246">
        <f t="shared" si="5"/>
        <v>38944.04053356692</v>
      </c>
      <c r="P164" s="307"/>
      <c r="R164" s="352"/>
    </row>
    <row r="165" spans="1:18" s="165" customFormat="1" x14ac:dyDescent="0.25">
      <c r="A165" s="162">
        <f>'B) D RI'!A166</f>
        <v>5665</v>
      </c>
      <c r="B165" s="163" t="str">
        <f>'B) D RI'!B166</f>
        <v>Chavannes-sur-Moudon</v>
      </c>
      <c r="C165" s="347">
        <f>'B) D RI'!S166</f>
        <v>73</v>
      </c>
      <c r="D165" s="164">
        <f>'B) D RI'!AR166</f>
        <v>220</v>
      </c>
      <c r="E165" s="345">
        <f>'D) Ecrêtage'!M164</f>
        <v>5041.8972602739723</v>
      </c>
      <c r="F165" s="349">
        <f>'E) Fact soc'!G170</f>
        <v>77250.561531677609</v>
      </c>
      <c r="G165" s="346">
        <f>'H) Péréquation directe'!I175</f>
        <v>-30348.780016528792</v>
      </c>
      <c r="H165" s="349">
        <f>+'I) Dépenses thématiques'!O164</f>
        <v>-5224.8393625578901</v>
      </c>
      <c r="I165" s="346">
        <f>'K) Plafonnement aide'!J164</f>
        <v>0</v>
      </c>
      <c r="J165" s="349">
        <f>'J) Plafonnement effort'!I164</f>
        <v>0</v>
      </c>
      <c r="K165" s="346">
        <f>'L) Plafonnement taux'!Q165</f>
        <v>0</v>
      </c>
      <c r="L165" s="344">
        <f t="shared" si="4"/>
        <v>41676.942152590927</v>
      </c>
      <c r="M165" s="246">
        <f>'M) Police'!O165</f>
        <v>15688.927318012775</v>
      </c>
      <c r="N165" s="246">
        <f t="shared" si="5"/>
        <v>57365.869470603706</v>
      </c>
      <c r="P165" s="307"/>
      <c r="R165" s="352"/>
    </row>
    <row r="166" spans="1:18" s="165" customFormat="1" x14ac:dyDescent="0.25">
      <c r="A166" s="162">
        <f>'B) D RI'!A167</f>
        <v>5669</v>
      </c>
      <c r="B166" s="163" t="str">
        <f>'B) D RI'!B167</f>
        <v>Curtilles</v>
      </c>
      <c r="C166" s="347">
        <f>'B) D RI'!S167</f>
        <v>75</v>
      </c>
      <c r="D166" s="164">
        <f>'B) D RI'!AR167</f>
        <v>318</v>
      </c>
      <c r="E166" s="345">
        <f>'D) Ecrêtage'!M165</f>
        <v>9002.5637333333325</v>
      </c>
      <c r="F166" s="349">
        <f>'E) Fact soc'!G171</f>
        <v>168011.0214122546</v>
      </c>
      <c r="G166" s="346">
        <f>'H) Péréquation directe'!I176</f>
        <v>17956.224755765463</v>
      </c>
      <c r="H166" s="349">
        <f>+'I) Dépenses thématiques'!O165</f>
        <v>-6614.5330768010008</v>
      </c>
      <c r="I166" s="346">
        <f>'K) Plafonnement aide'!J165</f>
        <v>0</v>
      </c>
      <c r="J166" s="349">
        <f>'J) Plafonnement effort'!I165</f>
        <v>0</v>
      </c>
      <c r="K166" s="346">
        <f>'L) Plafonnement taux'!Q166</f>
        <v>0</v>
      </c>
      <c r="L166" s="344">
        <f t="shared" si="4"/>
        <v>179352.71309121908</v>
      </c>
      <c r="M166" s="246">
        <f>'M) Police'!O166</f>
        <v>27976.88916840162</v>
      </c>
      <c r="N166" s="246">
        <f t="shared" si="5"/>
        <v>207329.6022596207</v>
      </c>
      <c r="P166" s="307"/>
      <c r="R166" s="352"/>
    </row>
    <row r="167" spans="1:18" s="165" customFormat="1" x14ac:dyDescent="0.25">
      <c r="A167" s="162">
        <f>'B) D RI'!A168</f>
        <v>5671</v>
      </c>
      <c r="B167" s="163" t="str">
        <f>'B) D RI'!B168</f>
        <v>Dompierre</v>
      </c>
      <c r="C167" s="347">
        <f>'B) D RI'!S168</f>
        <v>80</v>
      </c>
      <c r="D167" s="164">
        <f>'B) D RI'!AR168</f>
        <v>259</v>
      </c>
      <c r="E167" s="345">
        <f>'D) Ecrêtage'!M166</f>
        <v>6375.2653750000009</v>
      </c>
      <c r="F167" s="349">
        <f>'E) Fact soc'!G172</f>
        <v>95753.120120526219</v>
      </c>
      <c r="G167" s="346">
        <f>'H) Péréquation directe'!I177</f>
        <v>-40524.571055327091</v>
      </c>
      <c r="H167" s="349">
        <f>+'I) Dépenses thématiques'!O166</f>
        <v>-56189.801113839458</v>
      </c>
      <c r="I167" s="346">
        <f>'K) Plafonnement aide'!J166</f>
        <v>0</v>
      </c>
      <c r="J167" s="349">
        <f>'J) Plafonnement effort'!I166</f>
        <v>0</v>
      </c>
      <c r="K167" s="346">
        <f>'L) Plafonnement taux'!Q167</f>
        <v>0</v>
      </c>
      <c r="L167" s="344">
        <f t="shared" si="4"/>
        <v>-961.25204864033003</v>
      </c>
      <c r="M167" s="246">
        <f>'M) Police'!O167</f>
        <v>19802.088183869611</v>
      </c>
      <c r="N167" s="246">
        <f t="shared" si="5"/>
        <v>18840.836135229281</v>
      </c>
      <c r="P167" s="307"/>
      <c r="R167" s="352"/>
    </row>
    <row r="168" spans="1:18" s="165" customFormat="1" x14ac:dyDescent="0.25">
      <c r="A168" s="162">
        <f>'B) D RI'!A169</f>
        <v>5673</v>
      </c>
      <c r="B168" s="163" t="str">
        <f>'B) D RI'!B169</f>
        <v>Hermenches</v>
      </c>
      <c r="C168" s="347">
        <f>'B) D RI'!S169</f>
        <v>75</v>
      </c>
      <c r="D168" s="164">
        <f>'B) D RI'!AR169</f>
        <v>379</v>
      </c>
      <c r="E168" s="345">
        <f>'D) Ecrêtage'!M167</f>
        <v>8890.2024444444451</v>
      </c>
      <c r="F168" s="349">
        <f>'E) Fact soc'!G173</f>
        <v>138833.99384970081</v>
      </c>
      <c r="G168" s="346">
        <f>'H) Péréquation directe'!I178</f>
        <v>-53682.949412284128</v>
      </c>
      <c r="H168" s="349">
        <f>+'I) Dépenses thématiques'!O167</f>
        <v>-53459.805219033369</v>
      </c>
      <c r="I168" s="346">
        <f>'K) Plafonnement aide'!J167</f>
        <v>0</v>
      </c>
      <c r="J168" s="349">
        <f>'J) Plafonnement effort'!I167</f>
        <v>0</v>
      </c>
      <c r="K168" s="346">
        <f>'L) Plafonnement taux'!Q168</f>
        <v>0</v>
      </c>
      <c r="L168" s="344">
        <f t="shared" ref="L168:L220" si="6">F168+G168+H168+I168+J168+K168</f>
        <v>31691.239218383314</v>
      </c>
      <c r="M168" s="246">
        <f>'M) Police'!O168</f>
        <v>27591.501519165755</v>
      </c>
      <c r="N168" s="246">
        <f t="shared" si="5"/>
        <v>59282.740737549073</v>
      </c>
      <c r="P168" s="307"/>
      <c r="R168" s="352"/>
    </row>
    <row r="169" spans="1:18" s="165" customFormat="1" x14ac:dyDescent="0.25">
      <c r="A169" s="162">
        <f>'B) D RI'!A170</f>
        <v>5674</v>
      </c>
      <c r="B169" s="163" t="str">
        <f>'B) D RI'!B170</f>
        <v>Lovatens</v>
      </c>
      <c r="C169" s="347">
        <f>'B) D RI'!S170</f>
        <v>75</v>
      </c>
      <c r="D169" s="164">
        <f>'B) D RI'!AR170</f>
        <v>141</v>
      </c>
      <c r="E169" s="345">
        <f>'D) Ecrêtage'!M168</f>
        <v>3625.6310666666668</v>
      </c>
      <c r="F169" s="349">
        <f>'E) Fact soc'!G174</f>
        <v>56932.300148621609</v>
      </c>
      <c r="G169" s="346">
        <f>'H) Péréquation directe'!I179</f>
        <v>-6982.2569248856598</v>
      </c>
      <c r="H169" s="349">
        <f>+'I) Dépenses thématiques'!O168</f>
        <v>-16950.821987524763</v>
      </c>
      <c r="I169" s="346">
        <f>'K) Plafonnement aide'!J168</f>
        <v>0</v>
      </c>
      <c r="J169" s="349">
        <f>'J) Plafonnement effort'!I168</f>
        <v>0</v>
      </c>
      <c r="K169" s="346">
        <f>'L) Plafonnement taux'!Q169</f>
        <v>0</v>
      </c>
      <c r="L169" s="344">
        <f t="shared" si="6"/>
        <v>32999.22123621119</v>
      </c>
      <c r="M169" s="246">
        <f>'M) Police'!O169</f>
        <v>11229.593348255599</v>
      </c>
      <c r="N169" s="246">
        <f t="shared" si="5"/>
        <v>44228.814584466789</v>
      </c>
      <c r="P169" s="307"/>
      <c r="R169" s="352"/>
    </row>
    <row r="170" spans="1:18" s="165" customFormat="1" x14ac:dyDescent="0.25">
      <c r="A170" s="162">
        <f>'B) D RI'!A171</f>
        <v>5675</v>
      </c>
      <c r="B170" s="163" t="str">
        <f>'B) D RI'!B171</f>
        <v>Lucens</v>
      </c>
      <c r="C170" s="347">
        <f>'B) D RI'!S171</f>
        <v>66</v>
      </c>
      <c r="D170" s="164">
        <f>'B) D RI'!AR171</f>
        <v>4157</v>
      </c>
      <c r="E170" s="345">
        <f>'D) Ecrêtage'!M169</f>
        <v>86340.116763085374</v>
      </c>
      <c r="F170" s="349">
        <f>'E) Fact soc'!G175</f>
        <v>1619124.3585848331</v>
      </c>
      <c r="G170" s="346">
        <f>'H) Péréquation directe'!I180</f>
        <v>-1492823.7797132309</v>
      </c>
      <c r="H170" s="349">
        <f>+'I) Dépenses thématiques'!O169</f>
        <v>-431039.39651393262</v>
      </c>
      <c r="I170" s="346">
        <f>'K) Plafonnement aide'!J169</f>
        <v>0</v>
      </c>
      <c r="J170" s="349">
        <f>'J) Plafonnement effort'!I169</f>
        <v>0</v>
      </c>
      <c r="K170" s="346">
        <f>'L) Plafonnement taux'!Q170</f>
        <v>0</v>
      </c>
      <c r="L170" s="344">
        <f t="shared" ref="L170" si="7">F170+G170+H170+I170+J170+K170</f>
        <v>-304738.81764233042</v>
      </c>
      <c r="M170" s="246">
        <f>'M) Police'!O170</f>
        <v>261272.39901487809</v>
      </c>
      <c r="N170" s="246">
        <f t="shared" ref="N170" si="8">L170+M170</f>
        <v>-43466.418627452338</v>
      </c>
      <c r="P170" s="307"/>
      <c r="R170" s="352"/>
    </row>
    <row r="171" spans="1:18" s="165" customFormat="1" x14ac:dyDescent="0.25">
      <c r="A171" s="162">
        <f>'B) D RI'!A172</f>
        <v>5678</v>
      </c>
      <c r="B171" s="163" t="str">
        <f>'B) D RI'!B172</f>
        <v>Moudon</v>
      </c>
      <c r="C171" s="347">
        <f>'B) D RI'!S172</f>
        <v>75</v>
      </c>
      <c r="D171" s="164">
        <f>'B) D RI'!AR172</f>
        <v>6185</v>
      </c>
      <c r="E171" s="345">
        <f>'D) Ecrêtage'!M170</f>
        <v>119887.03426666667</v>
      </c>
      <c r="F171" s="349">
        <f>'E) Fact soc'!G176</f>
        <v>2511240.3922734871</v>
      </c>
      <c r="G171" s="346">
        <f>'H) Péréquation directe'!I181</f>
        <v>-3774222.6648240825</v>
      </c>
      <c r="H171" s="349">
        <f>+'I) Dépenses thématiques'!O170</f>
        <v>-1147810.1248770724</v>
      </c>
      <c r="I171" s="346">
        <f>'K) Plafonnement aide'!J170</f>
        <v>483716.54981726164</v>
      </c>
      <c r="J171" s="349">
        <f>'J) Plafonnement effort'!I170</f>
        <v>0</v>
      </c>
      <c r="K171" s="346">
        <f>'L) Plafonnement taux'!Q171</f>
        <v>0</v>
      </c>
      <c r="L171" s="344">
        <f t="shared" si="6"/>
        <v>-1927075.8476104061</v>
      </c>
      <c r="M171" s="246">
        <f>'M) Police'!O171</f>
        <v>366949.91802591085</v>
      </c>
      <c r="N171" s="246">
        <f t="shared" si="5"/>
        <v>-1560125.9295844953</v>
      </c>
      <c r="P171" s="307"/>
      <c r="R171" s="352"/>
    </row>
    <row r="172" spans="1:18" s="165" customFormat="1" x14ac:dyDescent="0.25">
      <c r="A172" s="162">
        <f>'B) D RI'!A173</f>
        <v>5680</v>
      </c>
      <c r="B172" s="163" t="str">
        <f>'B) D RI'!B173</f>
        <v>Ogens</v>
      </c>
      <c r="C172" s="347">
        <f>'B) D RI'!S173</f>
        <v>78</v>
      </c>
      <c r="D172" s="164">
        <f>'B) D RI'!AR173</f>
        <v>304</v>
      </c>
      <c r="E172" s="345">
        <f>'D) Ecrêtage'!M171</f>
        <v>7440.7528632478625</v>
      </c>
      <c r="F172" s="349">
        <f>'E) Fact soc'!G177</f>
        <v>129761.95864224093</v>
      </c>
      <c r="G172" s="346">
        <f>'H) Péréquation directe'!I182</f>
        <v>-41668.021434266004</v>
      </c>
      <c r="H172" s="349">
        <f>+'I) Dépenses thématiques'!O171</f>
        <v>-16300.136726440911</v>
      </c>
      <c r="I172" s="346">
        <f>'K) Plafonnement aide'!J171</f>
        <v>0</v>
      </c>
      <c r="J172" s="349">
        <f>'J) Plafonnement effort'!I171</f>
        <v>0</v>
      </c>
      <c r="K172" s="346">
        <f>'L) Plafonnement taux'!Q172</f>
        <v>0</v>
      </c>
      <c r="L172" s="344">
        <f t="shared" si="6"/>
        <v>71793.800481534025</v>
      </c>
      <c r="M172" s="246">
        <f>'M) Police'!O172</f>
        <v>23022.96350323538</v>
      </c>
      <c r="N172" s="246">
        <f t="shared" si="5"/>
        <v>94816.763984769408</v>
      </c>
      <c r="P172" s="307"/>
      <c r="R172" s="352"/>
    </row>
    <row r="173" spans="1:18" s="165" customFormat="1" x14ac:dyDescent="0.25">
      <c r="A173" s="162">
        <f>'B) D RI'!A174</f>
        <v>5683</v>
      </c>
      <c r="B173" s="163" t="str">
        <f>'B) D RI'!B174</f>
        <v>Prévonloup</v>
      </c>
      <c r="C173" s="347">
        <f>'B) D RI'!S174</f>
        <v>74</v>
      </c>
      <c r="D173" s="164">
        <f>'B) D RI'!AR174</f>
        <v>160</v>
      </c>
      <c r="E173" s="345">
        <f>'D) Ecrêtage'!M172</f>
        <v>3896.046081081081</v>
      </c>
      <c r="F173" s="349">
        <f>'E) Fact soc'!G178</f>
        <v>70952.749452332791</v>
      </c>
      <c r="G173" s="346">
        <f>'H) Péréquation directe'!I183</f>
        <v>-14893.31101703149</v>
      </c>
      <c r="H173" s="349">
        <f>+'I) Dépenses thématiques'!O172</f>
        <v>-95779.567399211781</v>
      </c>
      <c r="I173" s="346">
        <f>'K) Plafonnement aide'!J172</f>
        <v>0</v>
      </c>
      <c r="J173" s="349">
        <f>'J) Plafonnement effort'!I172</f>
        <v>0</v>
      </c>
      <c r="K173" s="346">
        <f>'L) Plafonnement taux'!Q173</f>
        <v>0</v>
      </c>
      <c r="L173" s="344">
        <f t="shared" si="6"/>
        <v>-39720.12896391048</v>
      </c>
      <c r="M173" s="246">
        <f>'M) Police'!O173</f>
        <v>12017.062945412548</v>
      </c>
      <c r="N173" s="246">
        <f t="shared" si="5"/>
        <v>-27703.066018497932</v>
      </c>
      <c r="P173" s="307"/>
      <c r="R173" s="352"/>
    </row>
    <row r="174" spans="1:18" s="165" customFormat="1" x14ac:dyDescent="0.25">
      <c r="A174" s="162">
        <f>'B) D RI'!A175</f>
        <v>5684</v>
      </c>
      <c r="B174" s="163" t="str">
        <f>'B) D RI'!B175</f>
        <v>Rossenges</v>
      </c>
      <c r="C174" s="347">
        <f>'B) D RI'!S175</f>
        <v>60</v>
      </c>
      <c r="D174" s="164">
        <f>'B) D RI'!AR175</f>
        <v>63</v>
      </c>
      <c r="E174" s="345">
        <f>'D) Ecrêtage'!M173</f>
        <v>2935.9523333333332</v>
      </c>
      <c r="F174" s="349">
        <f>'E) Fact soc'!G179</f>
        <v>44083.789649719358</v>
      </c>
      <c r="G174" s="346">
        <f>'H) Péréquation directe'!I184</f>
        <v>48056.031872250082</v>
      </c>
      <c r="H174" s="349">
        <f>+'I) Dépenses thématiques'!O173</f>
        <v>0</v>
      </c>
      <c r="I174" s="346">
        <f>'K) Plafonnement aide'!J173</f>
        <v>0</v>
      </c>
      <c r="J174" s="349">
        <f>'J) Plafonnement effort'!I173</f>
        <v>0</v>
      </c>
      <c r="K174" s="346">
        <f>'L) Plafonnement taux'!Q174</f>
        <v>0</v>
      </c>
      <c r="L174" s="344">
        <f t="shared" si="6"/>
        <v>92139.821521969439</v>
      </c>
      <c r="M174" s="246">
        <f>'M) Police'!O174</f>
        <v>9070.5946541094563</v>
      </c>
      <c r="N174" s="246">
        <f t="shared" si="5"/>
        <v>101210.4161760789</v>
      </c>
      <c r="P174" s="307"/>
      <c r="R174" s="352"/>
    </row>
    <row r="175" spans="1:18" s="165" customFormat="1" x14ac:dyDescent="0.25">
      <c r="A175" s="162">
        <f>'B) D RI'!A176</f>
        <v>5688</v>
      </c>
      <c r="B175" s="163" t="str">
        <f>'B) D RI'!B176</f>
        <v>Syens</v>
      </c>
      <c r="C175" s="347">
        <f>'B) D RI'!S176</f>
        <v>75.599999999999994</v>
      </c>
      <c r="D175" s="164">
        <f>'B) D RI'!AR176</f>
        <v>150</v>
      </c>
      <c r="E175" s="345">
        <f>'D) Ecrêtage'!M174</f>
        <v>6288.5417989418002</v>
      </c>
      <c r="F175" s="349">
        <f>'E) Fact soc'!G180</f>
        <v>109864.85187984481</v>
      </c>
      <c r="G175" s="346">
        <f>'H) Péréquation directe'!I185</f>
        <v>91677.161987265295</v>
      </c>
      <c r="H175" s="349">
        <f>+'I) Dépenses thématiques'!O174</f>
        <v>-15681.829640172989</v>
      </c>
      <c r="I175" s="346">
        <f>'K) Plafonnement aide'!J174</f>
        <v>0</v>
      </c>
      <c r="J175" s="349">
        <f>'J) Plafonnement effort'!I174</f>
        <v>0</v>
      </c>
      <c r="K175" s="346">
        <f>'L) Plafonnement taux'!Q175</f>
        <v>0</v>
      </c>
      <c r="L175" s="344">
        <f t="shared" si="6"/>
        <v>185860.18422693713</v>
      </c>
      <c r="M175" s="246">
        <f>'M) Police'!O175</f>
        <v>19783.341236732729</v>
      </c>
      <c r="N175" s="246">
        <f t="shared" si="5"/>
        <v>205643.52546366985</v>
      </c>
      <c r="P175" s="307"/>
      <c r="R175" s="352"/>
    </row>
    <row r="176" spans="1:18" s="165" customFormat="1" x14ac:dyDescent="0.25">
      <c r="A176" s="162">
        <f>'B) D RI'!A177</f>
        <v>5690</v>
      </c>
      <c r="B176" s="163" t="str">
        <f>'B) D RI'!B177</f>
        <v>Villars-le-Comte</v>
      </c>
      <c r="C176" s="347">
        <f>'B) D RI'!S177</f>
        <v>70</v>
      </c>
      <c r="D176" s="164">
        <f>'B) D RI'!AR177</f>
        <v>142</v>
      </c>
      <c r="E176" s="345">
        <f>'D) Ecrêtage'!M175</f>
        <v>3582.5831666666668</v>
      </c>
      <c r="F176" s="349">
        <f>'E) Fact soc'!G181</f>
        <v>65628.854106790837</v>
      </c>
      <c r="G176" s="346">
        <f>'H) Péréquation directe'!I186</f>
        <v>-1841.871370113382</v>
      </c>
      <c r="H176" s="349">
        <f>+'I) Dépenses thématiques'!O175</f>
        <v>-3196.1626457282564</v>
      </c>
      <c r="I176" s="346">
        <f>'K) Plafonnement aide'!J175</f>
        <v>0</v>
      </c>
      <c r="J176" s="349">
        <f>'J) Plafonnement effort'!I175</f>
        <v>0</v>
      </c>
      <c r="K176" s="346">
        <f>'L) Plafonnement taux'!Q176</f>
        <v>0</v>
      </c>
      <c r="L176" s="344">
        <f t="shared" si="6"/>
        <v>60590.820090949201</v>
      </c>
      <c r="M176" s="246">
        <f>'M) Police'!O176</f>
        <v>11019.104734696906</v>
      </c>
      <c r="N176" s="246">
        <f t="shared" si="5"/>
        <v>71609.9248256461</v>
      </c>
      <c r="P176" s="307"/>
      <c r="R176" s="352"/>
    </row>
    <row r="177" spans="1:18" s="165" customFormat="1" x14ac:dyDescent="0.25">
      <c r="A177" s="162">
        <f>'B) D RI'!A178</f>
        <v>5692</v>
      </c>
      <c r="B177" s="163" t="str">
        <f>'B) D RI'!B178</f>
        <v>Vucherens</v>
      </c>
      <c r="C177" s="347">
        <f>'B) D RI'!S178</f>
        <v>79</v>
      </c>
      <c r="D177" s="164">
        <f>'B) D RI'!AR178</f>
        <v>583</v>
      </c>
      <c r="E177" s="345">
        <f>'D) Ecrêtage'!M176</f>
        <v>17338.328227848098</v>
      </c>
      <c r="F177" s="349">
        <f>'E) Fact soc'!G182</f>
        <v>304092.54656227288</v>
      </c>
      <c r="G177" s="346">
        <f>'H) Péréquation directe'!I187</f>
        <v>45485.860840187466</v>
      </c>
      <c r="H177" s="349">
        <f>+'I) Dépenses thématiques'!O176</f>
        <v>-47120.309639489751</v>
      </c>
      <c r="I177" s="346">
        <f>'K) Plafonnement aide'!J176</f>
        <v>0</v>
      </c>
      <c r="J177" s="349">
        <f>'J) Plafonnement effort'!I176</f>
        <v>0</v>
      </c>
      <c r="K177" s="346">
        <f>'L) Plafonnement taux'!Q177</f>
        <v>0</v>
      </c>
      <c r="L177" s="344">
        <f t="shared" si="6"/>
        <v>302458.0977629706</v>
      </c>
      <c r="M177" s="246">
        <f>'M) Police'!O177</f>
        <v>54018.489813220578</v>
      </c>
      <c r="N177" s="246">
        <f t="shared" si="5"/>
        <v>356476.58757619117</v>
      </c>
      <c r="P177" s="307"/>
      <c r="R177" s="352"/>
    </row>
    <row r="178" spans="1:18" s="165" customFormat="1" x14ac:dyDescent="0.25">
      <c r="A178" s="162">
        <f>'B) D RI'!A179</f>
        <v>5693</v>
      </c>
      <c r="B178" s="163" t="str">
        <f>'B) D RI'!B179</f>
        <v>Montanaire</v>
      </c>
      <c r="C178" s="347">
        <f>'B) D RI'!S179</f>
        <v>72</v>
      </c>
      <c r="D178" s="164">
        <f>'B) D RI'!AR179</f>
        <v>2606</v>
      </c>
      <c r="E178" s="345">
        <f>'D) Ecrêtage'!M177</f>
        <v>71023.934305555566</v>
      </c>
      <c r="F178" s="349">
        <f>'E) Fact soc'!G183</f>
        <v>1294900.3762852028</v>
      </c>
      <c r="G178" s="346">
        <f>'H) Péréquation directe'!I188</f>
        <v>-281804.85009044642</v>
      </c>
      <c r="H178" s="349">
        <f>+'I) Dépenses thématiques'!O177</f>
        <v>-408394.4262745757</v>
      </c>
      <c r="I178" s="346">
        <f>'K) Plafonnement aide'!J177</f>
        <v>0</v>
      </c>
      <c r="J178" s="349">
        <f>'J) Plafonnement effort'!I177</f>
        <v>0</v>
      </c>
      <c r="K178" s="346">
        <f>'L) Plafonnement taux'!Q178</f>
        <v>0</v>
      </c>
      <c r="L178" s="344">
        <f>F178+G178+H178+I178+J178+K178</f>
        <v>604701.09992018063</v>
      </c>
      <c r="M178" s="246">
        <f>'M) Police'!O178</f>
        <v>220681.84326376289</v>
      </c>
      <c r="N178" s="246">
        <f t="shared" si="5"/>
        <v>825382.94318394351</v>
      </c>
      <c r="P178" s="307"/>
      <c r="R178" s="352"/>
    </row>
    <row r="179" spans="1:18" s="165" customFormat="1" x14ac:dyDescent="0.25">
      <c r="A179" s="162">
        <f>'B) D RI'!A180</f>
        <v>5701</v>
      </c>
      <c r="B179" s="163" t="str">
        <f>'B) D RI'!B180</f>
        <v>Arnex-sur-Nyon</v>
      </c>
      <c r="C179" s="347">
        <f>'B) D RI'!S180</f>
        <v>70</v>
      </c>
      <c r="D179" s="164">
        <f>'B) D RI'!AR180</f>
        <v>224</v>
      </c>
      <c r="E179" s="345">
        <f>'D) Ecrêtage'!M178</f>
        <v>14061.940305841415</v>
      </c>
      <c r="F179" s="349">
        <f>'E) Fact soc'!G184</f>
        <v>280647.04695862008</v>
      </c>
      <c r="G179" s="346">
        <f>'H) Péréquation directe'!I189</f>
        <v>237848.00020186539</v>
      </c>
      <c r="H179" s="349">
        <f>+'I) Dépenses thématiques'!O178</f>
        <v>0</v>
      </c>
      <c r="I179" s="346">
        <f>'K) Plafonnement aide'!J178</f>
        <v>0</v>
      </c>
      <c r="J179" s="349">
        <f>'J) Plafonnement effort'!I178</f>
        <v>0</v>
      </c>
      <c r="K179" s="346">
        <f>'L) Plafonnement taux'!Q179</f>
        <v>0</v>
      </c>
      <c r="L179" s="344">
        <f>F179+G179+H179+I179+J179+K179</f>
        <v>518495.04716048547</v>
      </c>
      <c r="M179" s="246">
        <f>'M) Police'!O179</f>
        <v>36749.159502308685</v>
      </c>
      <c r="N179" s="246">
        <f t="shared" si="5"/>
        <v>555244.20666279411</v>
      </c>
      <c r="P179" s="307"/>
      <c r="R179" s="352"/>
    </row>
    <row r="180" spans="1:18" s="165" customFormat="1" x14ac:dyDescent="0.25">
      <c r="A180" s="162">
        <f>'B) D RI'!A181</f>
        <v>5702</v>
      </c>
      <c r="B180" s="163" t="str">
        <f>'B) D RI'!B181</f>
        <v>Arzier-Le Muids</v>
      </c>
      <c r="C180" s="347">
        <f>'B) D RI'!S181</f>
        <v>64</v>
      </c>
      <c r="D180" s="164">
        <f>'B) D RI'!AR181</f>
        <v>2653</v>
      </c>
      <c r="E180" s="345">
        <f>'D) Ecrêtage'!M179</f>
        <v>154163.71357205033</v>
      </c>
      <c r="F180" s="349">
        <f>'E) Fact soc'!G185</f>
        <v>3105610.6522240806</v>
      </c>
      <c r="G180" s="346">
        <f>'H) Péréquation directe'!I190</f>
        <v>2179825.1495826198</v>
      </c>
      <c r="H180" s="349">
        <f>+'I) Dépenses thématiques'!O179</f>
        <v>-289151.84415493772</v>
      </c>
      <c r="I180" s="346">
        <f>'K) Plafonnement aide'!J179</f>
        <v>0</v>
      </c>
      <c r="J180" s="349">
        <f>'J) Plafonnement effort'!I179</f>
        <v>0</v>
      </c>
      <c r="K180" s="346">
        <f>'L) Plafonnement taux'!Q180</f>
        <v>0</v>
      </c>
      <c r="L180" s="344">
        <f t="shared" si="6"/>
        <v>4996283.9576517623</v>
      </c>
      <c r="M180" s="246">
        <f>'M) Police'!O180</f>
        <v>419874.42300962051</v>
      </c>
      <c r="N180" s="246">
        <f t="shared" si="5"/>
        <v>5416158.3806613833</v>
      </c>
      <c r="P180" s="307"/>
      <c r="R180" s="352"/>
    </row>
    <row r="181" spans="1:18" s="165" customFormat="1" x14ac:dyDescent="0.25">
      <c r="A181" s="162">
        <f>'B) D RI'!A182</f>
        <v>5703</v>
      </c>
      <c r="B181" s="163" t="str">
        <f>'B) D RI'!B182</f>
        <v>Bassins</v>
      </c>
      <c r="C181" s="347">
        <f>'B) D RI'!S182</f>
        <v>74</v>
      </c>
      <c r="D181" s="164">
        <f>'B) D RI'!AR182</f>
        <v>1356</v>
      </c>
      <c r="E181" s="345">
        <f>'D) Ecrêtage'!M180</f>
        <v>56627.812818532817</v>
      </c>
      <c r="F181" s="349">
        <f>'E) Fact soc'!G186</f>
        <v>1063444.2852925004</v>
      </c>
      <c r="G181" s="346">
        <f>'H) Péréquation directe'!I191</f>
        <v>735658.47297174623</v>
      </c>
      <c r="H181" s="349">
        <f>+'I) Dépenses thématiques'!O180</f>
        <v>-219571.68325022183</v>
      </c>
      <c r="I181" s="346">
        <f>'K) Plafonnement aide'!J180</f>
        <v>0</v>
      </c>
      <c r="J181" s="349">
        <f>'J) Plafonnement effort'!I180</f>
        <v>0</v>
      </c>
      <c r="K181" s="346">
        <f>'L) Plafonnement taux'!Q181</f>
        <v>0</v>
      </c>
      <c r="L181" s="344">
        <f t="shared" si="6"/>
        <v>1579531.0750140247</v>
      </c>
      <c r="M181" s="246">
        <f>'M) Police'!O181</f>
        <v>175703.2557493319</v>
      </c>
      <c r="N181" s="246">
        <f t="shared" si="5"/>
        <v>1755234.3307633568</v>
      </c>
      <c r="P181" s="307"/>
      <c r="R181" s="352"/>
    </row>
    <row r="182" spans="1:18" s="165" customFormat="1" x14ac:dyDescent="0.25">
      <c r="A182" s="162">
        <f>'B) D RI'!A183</f>
        <v>5704</v>
      </c>
      <c r="B182" s="163" t="str">
        <f>'B) D RI'!B183</f>
        <v>Begnins</v>
      </c>
      <c r="C182" s="347">
        <f>'B) D RI'!S183</f>
        <v>67</v>
      </c>
      <c r="D182" s="164">
        <f>'B) D RI'!AR183</f>
        <v>1910</v>
      </c>
      <c r="E182" s="345">
        <f>'D) Ecrêtage'!M181</f>
        <v>123086.41985171527</v>
      </c>
      <c r="F182" s="349">
        <f>'E) Fact soc'!G187</f>
        <v>2839281.8515457679</v>
      </c>
      <c r="G182" s="346">
        <f>'H) Péréquation directe'!I192</f>
        <v>1862177.7667531883</v>
      </c>
      <c r="H182" s="349">
        <f>+'I) Dépenses thématiques'!O181</f>
        <v>0</v>
      </c>
      <c r="I182" s="346">
        <f>'K) Plafonnement aide'!J181</f>
        <v>0</v>
      </c>
      <c r="J182" s="349">
        <f>'J) Plafonnement effort'!I181</f>
        <v>0</v>
      </c>
      <c r="K182" s="346">
        <f>'L) Plafonnement taux'!Q182</f>
        <v>0</v>
      </c>
      <c r="L182" s="344">
        <f t="shared" si="6"/>
        <v>4701459.6182989562</v>
      </c>
      <c r="M182" s="246">
        <f>'M) Police'!O182</f>
        <v>317304.41438837512</v>
      </c>
      <c r="N182" s="246">
        <f t="shared" si="5"/>
        <v>5018764.0326873315</v>
      </c>
      <c r="P182" s="307"/>
      <c r="R182" s="352"/>
    </row>
    <row r="183" spans="1:18" s="165" customFormat="1" x14ac:dyDescent="0.25">
      <c r="A183" s="162">
        <f>'B) D RI'!A184</f>
        <v>5705</v>
      </c>
      <c r="B183" s="163" t="str">
        <f>'B) D RI'!B184</f>
        <v>Bogis-Bossey</v>
      </c>
      <c r="C183" s="347">
        <f>'B) D RI'!S184</f>
        <v>70</v>
      </c>
      <c r="D183" s="164">
        <f>'B) D RI'!AR184</f>
        <v>893</v>
      </c>
      <c r="E183" s="345">
        <f>'D) Ecrêtage'!M182</f>
        <v>53789.536206675177</v>
      </c>
      <c r="F183" s="349">
        <f>'E) Fact soc'!G188</f>
        <v>1046933.1125178633</v>
      </c>
      <c r="G183" s="346">
        <f>'H) Péréquation directe'!I193</f>
        <v>906240.64062143513</v>
      </c>
      <c r="H183" s="349">
        <f>+'I) Dépenses thématiques'!O182</f>
        <v>0</v>
      </c>
      <c r="I183" s="346">
        <f>'K) Plafonnement aide'!J182</f>
        <v>0</v>
      </c>
      <c r="J183" s="349">
        <f>'J) Plafonnement effort'!I182</f>
        <v>0</v>
      </c>
      <c r="K183" s="346">
        <f>'L) Plafonnement taux'!Q183</f>
        <v>0</v>
      </c>
      <c r="L183" s="344">
        <f t="shared" si="6"/>
        <v>1953173.7531392984</v>
      </c>
      <c r="M183" s="246">
        <f>'M) Police'!O183</f>
        <v>143686.25909901559</v>
      </c>
      <c r="N183" s="246">
        <f t="shared" si="5"/>
        <v>2096860.0122383139</v>
      </c>
      <c r="P183" s="307"/>
      <c r="R183" s="352"/>
    </row>
    <row r="184" spans="1:18" s="165" customFormat="1" x14ac:dyDescent="0.25">
      <c r="A184" s="162">
        <f>'B) D RI'!A185</f>
        <v>5706</v>
      </c>
      <c r="B184" s="163" t="str">
        <f>'B) D RI'!B185</f>
        <v>Borex</v>
      </c>
      <c r="C184" s="347">
        <f>'B) D RI'!S185</f>
        <v>58</v>
      </c>
      <c r="D184" s="164">
        <f>'B) D RI'!AR185</f>
        <v>1126</v>
      </c>
      <c r="E184" s="345">
        <f>'D) Ecrêtage'!M183</f>
        <v>69662.629283993607</v>
      </c>
      <c r="F184" s="349">
        <f>'E) Fact soc'!G189</f>
        <v>1420371.9928351932</v>
      </c>
      <c r="G184" s="346">
        <f>'H) Péréquation directe'!I194</f>
        <v>1145564.4349205378</v>
      </c>
      <c r="H184" s="349">
        <f>+'I) Dépenses thématiques'!O183</f>
        <v>0</v>
      </c>
      <c r="I184" s="346">
        <f>'K) Plafonnement aide'!J183</f>
        <v>0</v>
      </c>
      <c r="J184" s="349">
        <f>'J) Plafonnement effort'!I183</f>
        <v>0</v>
      </c>
      <c r="K184" s="346">
        <f>'L) Plafonnement taux'!Q184</f>
        <v>0</v>
      </c>
      <c r="L184" s="344">
        <f t="shared" si="6"/>
        <v>2565936.4277557312</v>
      </c>
      <c r="M184" s="246">
        <f>'M) Police'!O184</f>
        <v>183459.13003163075</v>
      </c>
      <c r="N184" s="246">
        <f t="shared" si="5"/>
        <v>2749395.557787362</v>
      </c>
      <c r="P184" s="307"/>
      <c r="R184" s="352"/>
    </row>
    <row r="185" spans="1:18" s="165" customFormat="1" x14ac:dyDescent="0.25">
      <c r="A185" s="162">
        <f>'B) D RI'!A186</f>
        <v>5707</v>
      </c>
      <c r="B185" s="163" t="str">
        <f>'B) D RI'!B186</f>
        <v>Chavannes-de-Bogis</v>
      </c>
      <c r="C185" s="347">
        <f>'B) D RI'!S186</f>
        <v>59</v>
      </c>
      <c r="D185" s="164">
        <f>'B) D RI'!AR186</f>
        <v>1290</v>
      </c>
      <c r="E185" s="345">
        <f>'D) Ecrêtage'!M184</f>
        <v>81931.09381401616</v>
      </c>
      <c r="F185" s="349">
        <f>'E) Fact soc'!G190</f>
        <v>1818979.9657495406</v>
      </c>
      <c r="G185" s="346">
        <f>'H) Péréquation directe'!I195</f>
        <v>1315677.1359480759</v>
      </c>
      <c r="H185" s="349">
        <f>+'I) Dépenses thématiques'!O184</f>
        <v>0</v>
      </c>
      <c r="I185" s="346">
        <f>'K) Plafonnement aide'!J184</f>
        <v>0</v>
      </c>
      <c r="J185" s="349">
        <f>'J) Plafonnement effort'!I184</f>
        <v>0</v>
      </c>
      <c r="K185" s="346">
        <f>'L) Plafonnement taux'!Q185</f>
        <v>0</v>
      </c>
      <c r="L185" s="344">
        <f t="shared" si="6"/>
        <v>3134657.1016976163</v>
      </c>
      <c r="M185" s="246">
        <f>'M) Police'!O185</f>
        <v>212814.49819877706</v>
      </c>
      <c r="N185" s="246">
        <f t="shared" si="5"/>
        <v>3347471.5998963933</v>
      </c>
      <c r="P185" s="307"/>
      <c r="R185" s="352"/>
    </row>
    <row r="186" spans="1:18" s="165" customFormat="1" x14ac:dyDescent="0.25">
      <c r="A186" s="162">
        <f>'B) D RI'!A187</f>
        <v>5708</v>
      </c>
      <c r="B186" s="163" t="str">
        <f>'B) D RI'!B187</f>
        <v>Chavannes-des-Bois</v>
      </c>
      <c r="C186" s="347">
        <f>'B) D RI'!S187</f>
        <v>59</v>
      </c>
      <c r="D186" s="164">
        <f>'B) D RI'!AR187</f>
        <v>942</v>
      </c>
      <c r="E186" s="345">
        <f>'D) Ecrêtage'!M185</f>
        <v>56145.839673991715</v>
      </c>
      <c r="F186" s="349">
        <f>'E) Fact soc'!G191</f>
        <v>997108.76903101336</v>
      </c>
      <c r="G186" s="346">
        <f>'H) Péréquation directe'!I196</f>
        <v>944963.20531929471</v>
      </c>
      <c r="H186" s="349">
        <f>+'I) Dépenses thématiques'!O185</f>
        <v>0</v>
      </c>
      <c r="I186" s="346">
        <f>'K) Plafonnement aide'!J185</f>
        <v>0</v>
      </c>
      <c r="J186" s="349">
        <f>'J) Plafonnement effort'!I185</f>
        <v>0</v>
      </c>
      <c r="K186" s="346">
        <f>'L) Plafonnement taux'!Q186</f>
        <v>0</v>
      </c>
      <c r="L186" s="344">
        <f t="shared" si="6"/>
        <v>1942071.9743503081</v>
      </c>
      <c r="M186" s="246">
        <f>'M) Police'!O186</f>
        <v>150831.5326989991</v>
      </c>
      <c r="N186" s="246">
        <f t="shared" si="5"/>
        <v>2092903.5070493072</v>
      </c>
      <c r="P186" s="307"/>
      <c r="R186" s="352"/>
    </row>
    <row r="187" spans="1:18" s="165" customFormat="1" x14ac:dyDescent="0.25">
      <c r="A187" s="162">
        <f>'B) D RI'!A188</f>
        <v>5709</v>
      </c>
      <c r="B187" s="163" t="str">
        <f>'B) D RI'!B188</f>
        <v>Chéserex</v>
      </c>
      <c r="C187" s="347">
        <f>'B) D RI'!S188</f>
        <v>57</v>
      </c>
      <c r="D187" s="164">
        <f>'B) D RI'!AR188</f>
        <v>1219</v>
      </c>
      <c r="E187" s="345">
        <f>'D) Ecrêtage'!M186</f>
        <v>71031.174983110643</v>
      </c>
      <c r="F187" s="349">
        <f>'E) Fact soc'!G192</f>
        <v>1996738.5823028318</v>
      </c>
      <c r="G187" s="346">
        <f>'H) Péréquation directe'!I197</f>
        <v>1138709.1069428741</v>
      </c>
      <c r="H187" s="349">
        <f>+'I) Dépenses thématiques'!O186</f>
        <v>0</v>
      </c>
      <c r="I187" s="346">
        <f>'K) Plafonnement aide'!J186</f>
        <v>0</v>
      </c>
      <c r="J187" s="349">
        <f>'J) Plafonnement effort'!I186</f>
        <v>0</v>
      </c>
      <c r="K187" s="346">
        <f>'L) Plafonnement taux'!Q187</f>
        <v>0</v>
      </c>
      <c r="L187" s="344">
        <f t="shared" si="6"/>
        <v>3135447.689245706</v>
      </c>
      <c r="M187" s="246">
        <f>'M) Police'!O187</f>
        <v>193167.24656752023</v>
      </c>
      <c r="N187" s="246">
        <f t="shared" si="5"/>
        <v>3328614.9358132263</v>
      </c>
      <c r="P187" s="307"/>
      <c r="R187" s="352"/>
    </row>
    <row r="188" spans="1:18" s="165" customFormat="1" x14ac:dyDescent="0.25">
      <c r="A188" s="162">
        <f>'B) D RI'!A189</f>
        <v>5710</v>
      </c>
      <c r="B188" s="163" t="str">
        <f>'B) D RI'!B189</f>
        <v>Coinsins</v>
      </c>
      <c r="C188" s="347">
        <f>'B) D RI'!S189</f>
        <v>51</v>
      </c>
      <c r="D188" s="164">
        <f>'B) D RI'!AR189</f>
        <v>484</v>
      </c>
      <c r="E188" s="345">
        <f>'D) Ecrêtage'!M187</f>
        <v>62595.279457764242</v>
      </c>
      <c r="F188" s="349">
        <f>'E) Fact soc'!G193</f>
        <v>2551997.147994061</v>
      </c>
      <c r="G188" s="346">
        <f>'H) Péréquation directe'!I198</f>
        <v>1109447.725594854</v>
      </c>
      <c r="H188" s="349">
        <f>+'I) Dépenses thématiques'!O187</f>
        <v>0</v>
      </c>
      <c r="I188" s="346">
        <f>'K) Plafonnement aide'!J187</f>
        <v>0</v>
      </c>
      <c r="J188" s="349">
        <f>'J) Plafonnement effort'!I187</f>
        <v>0</v>
      </c>
      <c r="K188" s="346">
        <f>'L) Plafonnement taux'!Q188</f>
        <v>0</v>
      </c>
      <c r="L188" s="344">
        <f t="shared" si="6"/>
        <v>3661444.873588915</v>
      </c>
      <c r="M188" s="246">
        <f>'M) Police'!O188</f>
        <v>119396.75051276335</v>
      </c>
      <c r="N188" s="246">
        <f t="shared" si="5"/>
        <v>3780841.6241016784</v>
      </c>
      <c r="P188" s="307"/>
      <c r="R188" s="352"/>
    </row>
    <row r="189" spans="1:18" s="165" customFormat="1" x14ac:dyDescent="0.25">
      <c r="A189" s="162">
        <f>'B) D RI'!A190</f>
        <v>5711</v>
      </c>
      <c r="B189" s="163" t="str">
        <f>'B) D RI'!B190</f>
        <v>Commugny</v>
      </c>
      <c r="C189" s="347">
        <f>'B) D RI'!S190</f>
        <v>57</v>
      </c>
      <c r="D189" s="164">
        <f>'B) D RI'!AR190</f>
        <v>2858</v>
      </c>
      <c r="E189" s="345">
        <f>'D) Ecrêtage'!M188</f>
        <v>227503.4761721325</v>
      </c>
      <c r="F189" s="349">
        <f>'E) Fact soc'!G194</f>
        <v>6207267.3161090948</v>
      </c>
      <c r="G189" s="346">
        <f>'H) Péréquation directe'!I199</f>
        <v>3464849.0958191273</v>
      </c>
      <c r="H189" s="349">
        <f>+'I) Dépenses thématiques'!O188</f>
        <v>0</v>
      </c>
      <c r="I189" s="346">
        <f>'K) Plafonnement aide'!J188</f>
        <v>0</v>
      </c>
      <c r="J189" s="349">
        <f>'J) Plafonnement effort'!I188</f>
        <v>0</v>
      </c>
      <c r="K189" s="346">
        <f>'L) Plafonnement taux'!Q189</f>
        <v>0</v>
      </c>
      <c r="L189" s="344">
        <f t="shared" si="6"/>
        <v>9672116.4119282216</v>
      </c>
      <c r="M189" s="246">
        <f>'M) Police'!O189</f>
        <v>528584.08202571538</v>
      </c>
      <c r="N189" s="246">
        <f t="shared" si="5"/>
        <v>10200700.493953938</v>
      </c>
      <c r="P189" s="307"/>
      <c r="R189" s="352"/>
    </row>
    <row r="190" spans="1:18" s="165" customFormat="1" x14ac:dyDescent="0.25">
      <c r="A190" s="162">
        <f>'B) D RI'!A191</f>
        <v>5712</v>
      </c>
      <c r="B190" s="163" t="str">
        <f>'B) D RI'!B191</f>
        <v>Coppet</v>
      </c>
      <c r="C190" s="347">
        <f>'B) D RI'!S191</f>
        <v>53</v>
      </c>
      <c r="D190" s="164">
        <f>'B) D RI'!AR191</f>
        <v>3123</v>
      </c>
      <c r="E190" s="345">
        <f>'D) Ecrêtage'!M189</f>
        <v>280651.05418461503</v>
      </c>
      <c r="F190" s="349">
        <f>'E) Fact soc'!G195</f>
        <v>9018146.988404762</v>
      </c>
      <c r="G190" s="346">
        <f>'H) Péréquation directe'!I200</f>
        <v>4337585.5802487181</v>
      </c>
      <c r="H190" s="349">
        <f>+'I) Dépenses thématiques'!O189</f>
        <v>0</v>
      </c>
      <c r="I190" s="346">
        <f>'K) Plafonnement aide'!J189</f>
        <v>0</v>
      </c>
      <c r="J190" s="349">
        <f>'J) Plafonnement effort'!I189</f>
        <v>0</v>
      </c>
      <c r="K190" s="346">
        <f>'L) Plafonnement taux'!Q190</f>
        <v>0</v>
      </c>
      <c r="L190" s="344">
        <f t="shared" si="6"/>
        <v>13355732.568653479</v>
      </c>
      <c r="M190" s="246">
        <f>'M) Police'!O190</f>
        <v>617391.10054214438</v>
      </c>
      <c r="N190" s="246">
        <f t="shared" si="5"/>
        <v>13973123.669195624</v>
      </c>
      <c r="P190" s="307"/>
      <c r="R190" s="352"/>
    </row>
    <row r="191" spans="1:18" s="165" customFormat="1" x14ac:dyDescent="0.25">
      <c r="A191" s="162">
        <f>'B) D RI'!A192</f>
        <v>5713</v>
      </c>
      <c r="B191" s="163" t="str">
        <f>'B) D RI'!B192</f>
        <v>Crans-près-Céligny</v>
      </c>
      <c r="C191" s="347">
        <f>'B) D RI'!S192</f>
        <v>53</v>
      </c>
      <c r="D191" s="164">
        <f>'B) D RI'!AR192</f>
        <v>2177</v>
      </c>
      <c r="E191" s="345">
        <f>'D) Ecrêtage'!M190</f>
        <v>203382.5009999318</v>
      </c>
      <c r="F191" s="349">
        <f>'E) Fact soc'!G196</f>
        <v>6475939.8620810267</v>
      </c>
      <c r="G191" s="346">
        <f>'H) Péréquation directe'!I201</f>
        <v>3254372.3125269404</v>
      </c>
      <c r="H191" s="349">
        <f>+'I) Dépenses thématiques'!O190</f>
        <v>0</v>
      </c>
      <c r="I191" s="346">
        <f>'K) Plafonnement aide'!J190</f>
        <v>0</v>
      </c>
      <c r="J191" s="349">
        <f>'J) Plafonnement effort'!I190</f>
        <v>0</v>
      </c>
      <c r="K191" s="346">
        <f>'L) Plafonnement taux'!Q191</f>
        <v>0</v>
      </c>
      <c r="L191" s="344">
        <f t="shared" si="6"/>
        <v>9730312.1746079661</v>
      </c>
      <c r="M191" s="246">
        <f>'M) Police'!O191</f>
        <v>252510.79490788197</v>
      </c>
      <c r="N191" s="246">
        <f t="shared" si="5"/>
        <v>9982822.9695158489</v>
      </c>
      <c r="P191" s="307"/>
      <c r="R191" s="352"/>
    </row>
    <row r="192" spans="1:18" s="165" customFormat="1" x14ac:dyDescent="0.25">
      <c r="A192" s="162">
        <f>'B) D RI'!A193</f>
        <v>5714</v>
      </c>
      <c r="B192" s="163" t="str">
        <f>'B) D RI'!B193</f>
        <v>Crassier</v>
      </c>
      <c r="C192" s="347">
        <f>'B) D RI'!S193</f>
        <v>64</v>
      </c>
      <c r="D192" s="164">
        <f>'B) D RI'!AR193</f>
        <v>1161</v>
      </c>
      <c r="E192" s="345">
        <f>'D) Ecrêtage'!M191</f>
        <v>78039.512063475704</v>
      </c>
      <c r="F192" s="349">
        <f>'E) Fact soc'!G197</f>
        <v>1838409.4005399602</v>
      </c>
      <c r="G192" s="346">
        <f>'H) Péréquation directe'!I202</f>
        <v>1288334.3844237379</v>
      </c>
      <c r="H192" s="349">
        <f>+'I) Dépenses thématiques'!O191</f>
        <v>0</v>
      </c>
      <c r="I192" s="346">
        <f>'K) Plafonnement aide'!J191</f>
        <v>0</v>
      </c>
      <c r="J192" s="349">
        <f>'J) Plafonnement effort'!I191</f>
        <v>0</v>
      </c>
      <c r="K192" s="346">
        <f>'L) Plafonnement taux'!Q192</f>
        <v>0</v>
      </c>
      <c r="L192" s="344">
        <f t="shared" si="6"/>
        <v>3126743.7849636981</v>
      </c>
      <c r="M192" s="246">
        <f>'M) Police'!O192</f>
        <v>196873.63646315807</v>
      </c>
      <c r="N192" s="246">
        <f t="shared" si="5"/>
        <v>3323617.421426856</v>
      </c>
      <c r="P192" s="307"/>
      <c r="R192" s="352"/>
    </row>
    <row r="193" spans="1:18" s="165" customFormat="1" x14ac:dyDescent="0.25">
      <c r="A193" s="162">
        <f>'B) D RI'!A194</f>
        <v>5715</v>
      </c>
      <c r="B193" s="163" t="str">
        <f>'B) D RI'!B194</f>
        <v>Duillier</v>
      </c>
      <c r="C193" s="347">
        <f>'B) D RI'!S194</f>
        <v>66</v>
      </c>
      <c r="D193" s="164">
        <f>'B) D RI'!AR194</f>
        <v>1078</v>
      </c>
      <c r="E193" s="345">
        <f>'D) Ecrêtage'!M192</f>
        <v>59384.712424242425</v>
      </c>
      <c r="F193" s="349">
        <f>'E) Fact soc'!G198</f>
        <v>965303.35985609959</v>
      </c>
      <c r="G193" s="346">
        <f>'H) Péréquation directe'!I203</f>
        <v>972143.18026858638</v>
      </c>
      <c r="H193" s="349">
        <f>+'I) Dépenses thématiques'!O192</f>
        <v>0</v>
      </c>
      <c r="I193" s="346">
        <f>'K) Plafonnement aide'!J192</f>
        <v>0</v>
      </c>
      <c r="J193" s="349">
        <f>'J) Plafonnement effort'!I192</f>
        <v>0</v>
      </c>
      <c r="K193" s="346">
        <f>'L) Plafonnement taux'!Q193</f>
        <v>0</v>
      </c>
      <c r="L193" s="344">
        <f t="shared" si="6"/>
        <v>1937446.540124686</v>
      </c>
      <c r="M193" s="246">
        <f>'M) Police'!O193</f>
        <v>166564.84678103996</v>
      </c>
      <c r="N193" s="246">
        <f t="shared" si="5"/>
        <v>2104011.386905726</v>
      </c>
      <c r="P193" s="307"/>
      <c r="R193" s="352"/>
    </row>
    <row r="194" spans="1:18" s="165" customFormat="1" x14ac:dyDescent="0.25">
      <c r="A194" s="162">
        <f>'B) D RI'!A195</f>
        <v>5716</v>
      </c>
      <c r="B194" s="163" t="str">
        <f>'B) D RI'!B195</f>
        <v>Eysins</v>
      </c>
      <c r="C194" s="347">
        <f>'B) D RI'!S195</f>
        <v>61</v>
      </c>
      <c r="D194" s="164">
        <f>'B) D RI'!AR195</f>
        <v>1603</v>
      </c>
      <c r="E194" s="345">
        <f>'D) Ecrêtage'!M193</f>
        <v>123435.81252189125</v>
      </c>
      <c r="F194" s="349">
        <f>'E) Fact soc'!G199</f>
        <v>3518507.8266838389</v>
      </c>
      <c r="G194" s="346">
        <f>'H) Péréquation directe'!I204</f>
        <v>1974790.165907915</v>
      </c>
      <c r="H194" s="349">
        <f>+'I) Dépenses thématiques'!O193</f>
        <v>0</v>
      </c>
      <c r="I194" s="346">
        <f>'K) Plafonnement aide'!J193</f>
        <v>0</v>
      </c>
      <c r="J194" s="349">
        <f>'J) Plafonnement effort'!I193</f>
        <v>0</v>
      </c>
      <c r="K194" s="346">
        <f>'L) Plafonnement taux'!Q194</f>
        <v>0</v>
      </c>
      <c r="L194" s="344">
        <f t="shared" si="6"/>
        <v>5493297.9925917536</v>
      </c>
      <c r="M194" s="246">
        <f>'M) Police'!O194</f>
        <v>291299.92550734582</v>
      </c>
      <c r="N194" s="246">
        <f t="shared" ref="N194:N254" si="9">L194+M194</f>
        <v>5784597.9180990998</v>
      </c>
      <c r="P194" s="307"/>
      <c r="R194" s="352"/>
    </row>
    <row r="195" spans="1:18" s="165" customFormat="1" x14ac:dyDescent="0.25">
      <c r="A195" s="162">
        <f>'B) D RI'!A196</f>
        <v>5717</v>
      </c>
      <c r="B195" s="163" t="str">
        <f>'B) D RI'!B196</f>
        <v>Founex</v>
      </c>
      <c r="C195" s="347">
        <f>'B) D RI'!S196</f>
        <v>57</v>
      </c>
      <c r="D195" s="164">
        <f>'B) D RI'!AR196</f>
        <v>3788</v>
      </c>
      <c r="E195" s="345">
        <f>'D) Ecrêtage'!M194</f>
        <v>306169.11911949283</v>
      </c>
      <c r="F195" s="349">
        <f>'E) Fact soc'!G200</f>
        <v>8881760.9510646537</v>
      </c>
      <c r="G195" s="346">
        <f>'H) Péréquation directe'!I205</f>
        <v>4480878.4210454645</v>
      </c>
      <c r="H195" s="349">
        <f>+'I) Dépenses thématiques'!O194</f>
        <v>0</v>
      </c>
      <c r="I195" s="346">
        <f>'K) Plafonnement aide'!J194</f>
        <v>0</v>
      </c>
      <c r="J195" s="349">
        <f>'J) Plafonnement effort'!I194</f>
        <v>0</v>
      </c>
      <c r="K195" s="346">
        <f>'L) Plafonnement taux'!Q195</f>
        <v>0</v>
      </c>
      <c r="L195" s="344">
        <f t="shared" si="6"/>
        <v>13362639.372110117</v>
      </c>
      <c r="M195" s="246">
        <f>'M) Police'!O195</f>
        <v>706341.79688315839</v>
      </c>
      <c r="N195" s="246">
        <f t="shared" si="9"/>
        <v>14068981.168993276</v>
      </c>
      <c r="P195" s="307"/>
      <c r="R195" s="352"/>
    </row>
    <row r="196" spans="1:18" s="165" customFormat="1" x14ac:dyDescent="0.25">
      <c r="A196" s="162">
        <f>'B) D RI'!A197</f>
        <v>5718</v>
      </c>
      <c r="B196" s="163" t="str">
        <f>'B) D RI'!B197</f>
        <v>Genolier</v>
      </c>
      <c r="C196" s="347">
        <f>'B) D RI'!S197</f>
        <v>55</v>
      </c>
      <c r="D196" s="164">
        <f>'B) D RI'!AR197</f>
        <v>1945</v>
      </c>
      <c r="E196" s="345">
        <f>'D) Ecrêtage'!M195</f>
        <v>160603.19784979385</v>
      </c>
      <c r="F196" s="349">
        <f>'E) Fact soc'!G201</f>
        <v>4611814.6087676762</v>
      </c>
      <c r="G196" s="346">
        <f>'H) Péréquation directe'!I206</f>
        <v>2543686.9803708741</v>
      </c>
      <c r="H196" s="349">
        <f>+'I) Dépenses thématiques'!O195</f>
        <v>0</v>
      </c>
      <c r="I196" s="346">
        <f>'K) Plafonnement aide'!J195</f>
        <v>0</v>
      </c>
      <c r="J196" s="349">
        <f>'J) Plafonnement effort'!I195</f>
        <v>0</v>
      </c>
      <c r="K196" s="346">
        <f>'L) Plafonnement taux'!Q196</f>
        <v>0</v>
      </c>
      <c r="L196" s="344">
        <f t="shared" si="6"/>
        <v>7155501.5891385507</v>
      </c>
      <c r="M196" s="246">
        <f>'M) Police'!O196</f>
        <v>366897.73693733558</v>
      </c>
      <c r="N196" s="246">
        <f t="shared" si="9"/>
        <v>7522399.3260758864</v>
      </c>
      <c r="P196" s="307"/>
      <c r="R196" s="352"/>
    </row>
    <row r="197" spans="1:18" s="165" customFormat="1" x14ac:dyDescent="0.25">
      <c r="A197" s="162">
        <f>'B) D RI'!A198</f>
        <v>5719</v>
      </c>
      <c r="B197" s="163" t="str">
        <f>'B) D RI'!B198</f>
        <v>Gingins</v>
      </c>
      <c r="C197" s="347">
        <f>'B) D RI'!S198</f>
        <v>57</v>
      </c>
      <c r="D197" s="164">
        <f>'B) D RI'!AR198</f>
        <v>1212</v>
      </c>
      <c r="E197" s="345">
        <f>'D) Ecrêtage'!M196</f>
        <v>112135.70327468452</v>
      </c>
      <c r="F197" s="349">
        <f>'E) Fact soc'!G202</f>
        <v>3765629.0145840207</v>
      </c>
      <c r="G197" s="346">
        <f>'H) Péréquation directe'!I207</f>
        <v>1901071.2917066377</v>
      </c>
      <c r="H197" s="349">
        <f>+'I) Dépenses thématiques'!O196</f>
        <v>0</v>
      </c>
      <c r="I197" s="346">
        <f>'K) Plafonnement aide'!J196</f>
        <v>0</v>
      </c>
      <c r="J197" s="349">
        <f>'J) Plafonnement effort'!I196</f>
        <v>0</v>
      </c>
      <c r="K197" s="346">
        <f>'L) Plafonnement taux'!Q197</f>
        <v>0</v>
      </c>
      <c r="L197" s="344">
        <f t="shared" si="6"/>
        <v>5666700.3062906582</v>
      </c>
      <c r="M197" s="246">
        <f>'M) Police'!O197</f>
        <v>243597.99923870002</v>
      </c>
      <c r="N197" s="246">
        <f t="shared" si="9"/>
        <v>5910298.3055293579</v>
      </c>
      <c r="P197" s="307"/>
      <c r="R197" s="352"/>
    </row>
    <row r="198" spans="1:18" s="165" customFormat="1" x14ac:dyDescent="0.25">
      <c r="A198" s="162">
        <f>'B) D RI'!A199</f>
        <v>5720</v>
      </c>
      <c r="B198" s="163" t="str">
        <f>'B) D RI'!B199</f>
        <v>Givrins</v>
      </c>
      <c r="C198" s="347">
        <f>'B) D RI'!S199</f>
        <v>61</v>
      </c>
      <c r="D198" s="164">
        <f>'B) D RI'!AR199</f>
        <v>995</v>
      </c>
      <c r="E198" s="345">
        <f>'D) Ecrêtage'!M197</f>
        <v>68221.808847066932</v>
      </c>
      <c r="F198" s="349">
        <f>'E) Fact soc'!G203</f>
        <v>1500983.7034522528</v>
      </c>
      <c r="G198" s="346">
        <f>'H) Péréquation directe'!I208</f>
        <v>1162988.0725226623</v>
      </c>
      <c r="H198" s="349">
        <f>+'I) Dépenses thématiques'!O197</f>
        <v>-44622.02916888339</v>
      </c>
      <c r="I198" s="346">
        <f>'K) Plafonnement aide'!J197</f>
        <v>0</v>
      </c>
      <c r="J198" s="349">
        <f>'J) Plafonnement effort'!I197</f>
        <v>0</v>
      </c>
      <c r="K198" s="346">
        <f>'L) Plafonnement taux'!Q198</f>
        <v>0</v>
      </c>
      <c r="L198" s="344">
        <f t="shared" si="6"/>
        <v>2619349.746806032</v>
      </c>
      <c r="M198" s="246">
        <f>'M) Police'!O198</f>
        <v>170388.78972844838</v>
      </c>
      <c r="N198" s="246">
        <f t="shared" si="9"/>
        <v>2789738.5365344803</v>
      </c>
      <c r="P198" s="307"/>
      <c r="R198" s="352"/>
    </row>
    <row r="199" spans="1:18" s="165" customFormat="1" x14ac:dyDescent="0.25">
      <c r="A199" s="162">
        <f>'B) D RI'!A200</f>
        <v>5721</v>
      </c>
      <c r="B199" s="163" t="str">
        <f>'B) D RI'!B200</f>
        <v>Gland</v>
      </c>
      <c r="C199" s="347">
        <f>'B) D RI'!S200</f>
        <v>62.5</v>
      </c>
      <c r="D199" s="164">
        <f>'B) D RI'!AR200</f>
        <v>13081</v>
      </c>
      <c r="E199" s="345">
        <f>'D) Ecrêtage'!M198</f>
        <v>601947.88112000003</v>
      </c>
      <c r="F199" s="349">
        <f>'E) Fact soc'!G204</f>
        <v>12945226.622092666</v>
      </c>
      <c r="G199" s="346">
        <f>'H) Péréquation directe'!I209</f>
        <v>3392369.8669964103</v>
      </c>
      <c r="H199" s="349">
        <f>+'I) Dépenses thématiques'!O198</f>
        <v>0</v>
      </c>
      <c r="I199" s="346">
        <f>'K) Plafonnement aide'!J198</f>
        <v>0</v>
      </c>
      <c r="J199" s="349">
        <f>'J) Plafonnement effort'!I198</f>
        <v>0</v>
      </c>
      <c r="K199" s="346">
        <f>'L) Plafonnement taux'!Q199</f>
        <v>0</v>
      </c>
      <c r="L199" s="344">
        <f t="shared" si="6"/>
        <v>16337596.489089075</v>
      </c>
      <c r="M199" s="246">
        <f>'M) Police'!O199</f>
        <v>1856686.1519915534</v>
      </c>
      <c r="N199" s="246">
        <f t="shared" si="9"/>
        <v>18194282.641080629</v>
      </c>
      <c r="P199" s="307"/>
      <c r="R199" s="352"/>
    </row>
    <row r="200" spans="1:18" s="165" customFormat="1" x14ac:dyDescent="0.25">
      <c r="A200" s="162">
        <f>'B) D RI'!A201</f>
        <v>5722</v>
      </c>
      <c r="B200" s="163" t="str">
        <f>'B) D RI'!B201</f>
        <v>Grens</v>
      </c>
      <c r="C200" s="347">
        <f>'B) D RI'!S201</f>
        <v>62</v>
      </c>
      <c r="D200" s="164">
        <f>'B) D RI'!AR201</f>
        <v>382</v>
      </c>
      <c r="E200" s="345">
        <f>'D) Ecrêtage'!M199</f>
        <v>24348.700505589088</v>
      </c>
      <c r="F200" s="349">
        <f>'E) Fact soc'!G205</f>
        <v>482148.924654615</v>
      </c>
      <c r="G200" s="346">
        <f>'H) Péréquation directe'!I210</f>
        <v>412420.67835652403</v>
      </c>
      <c r="H200" s="349">
        <f>+'I) Dépenses thématiques'!O199</f>
        <v>0</v>
      </c>
      <c r="I200" s="346">
        <f>'K) Plafonnement aide'!J199</f>
        <v>0</v>
      </c>
      <c r="J200" s="349">
        <f>'J) Plafonnement effort'!I199</f>
        <v>0</v>
      </c>
      <c r="K200" s="346">
        <f>'L) Plafonnement taux'!Q200</f>
        <v>0</v>
      </c>
      <c r="L200" s="344">
        <f t="shared" si="6"/>
        <v>894569.60301113897</v>
      </c>
      <c r="M200" s="246">
        <f>'M) Police'!O200</f>
        <v>63127.421425235909</v>
      </c>
      <c r="N200" s="246">
        <f t="shared" si="9"/>
        <v>957697.02443637489</v>
      </c>
      <c r="P200" s="307"/>
      <c r="R200" s="352"/>
    </row>
    <row r="201" spans="1:18" s="165" customFormat="1" x14ac:dyDescent="0.25">
      <c r="A201" s="162">
        <f>'B) D RI'!A202</f>
        <v>5723</v>
      </c>
      <c r="B201" s="163" t="str">
        <f>'B) D RI'!B202</f>
        <v>Mies</v>
      </c>
      <c r="C201" s="347">
        <f>'B) D RI'!S202</f>
        <v>49</v>
      </c>
      <c r="D201" s="164">
        <f>'B) D RI'!AR202</f>
        <v>2037</v>
      </c>
      <c r="E201" s="345">
        <f>'D) Ecrêtage'!M200</f>
        <v>320274.23723898944</v>
      </c>
      <c r="F201" s="349">
        <f>'E) Fact soc'!G206</f>
        <v>15194332.995138463</v>
      </c>
      <c r="G201" s="346">
        <f>'H) Péréquation directe'!I211</f>
        <v>5463878.7181169353</v>
      </c>
      <c r="H201" s="349">
        <f>+'I) Dépenses thématiques'!O200</f>
        <v>0</v>
      </c>
      <c r="I201" s="346">
        <f>'K) Plafonnement aide'!J200</f>
        <v>0</v>
      </c>
      <c r="J201" s="349">
        <f>'J) Plafonnement effort'!I200</f>
        <v>0</v>
      </c>
      <c r="K201" s="346">
        <f>'L) Plafonnement taux'!Q201</f>
        <v>0</v>
      </c>
      <c r="L201" s="344">
        <f t="shared" si="6"/>
        <v>20658211.713255398</v>
      </c>
      <c r="M201" s="246">
        <f>'M) Police'!O201</f>
        <v>573061.16989167884</v>
      </c>
      <c r="N201" s="246">
        <f t="shared" si="9"/>
        <v>21231272.883147076</v>
      </c>
      <c r="P201" s="307"/>
      <c r="R201" s="352"/>
    </row>
    <row r="202" spans="1:18" s="165" customFormat="1" x14ac:dyDescent="0.25">
      <c r="A202" s="162">
        <f>'B) D RI'!A203</f>
        <v>5724</v>
      </c>
      <c r="B202" s="163" t="str">
        <f>'B) D RI'!B203</f>
        <v>Nyon</v>
      </c>
      <c r="C202" s="347">
        <f>'B) D RI'!S203</f>
        <v>61</v>
      </c>
      <c r="D202" s="164">
        <f>'B) D RI'!AR203</f>
        <v>20551</v>
      </c>
      <c r="E202" s="345">
        <f>'D) Ecrêtage'!M201</f>
        <v>1274788.3959276013</v>
      </c>
      <c r="F202" s="349">
        <f>'E) Fact soc'!G207</f>
        <v>28764022.981017608</v>
      </c>
      <c r="G202" s="346">
        <f>'H) Péréquation directe'!I212</f>
        <v>8177847.445032794</v>
      </c>
      <c r="H202" s="349">
        <f>+'I) Dépenses thématiques'!O201</f>
        <v>-545949.07804291823</v>
      </c>
      <c r="I202" s="346">
        <f>'K) Plafonnement aide'!J201</f>
        <v>0</v>
      </c>
      <c r="J202" s="349">
        <f>'J) Plafonnement effort'!I201</f>
        <v>0</v>
      </c>
      <c r="K202" s="346">
        <f>'L) Plafonnement taux'!Q202</f>
        <v>0</v>
      </c>
      <c r="L202" s="344">
        <f t="shared" si="6"/>
        <v>36395921.348007485</v>
      </c>
      <c r="M202" s="246">
        <f>'M) Police'!O202</f>
        <v>1582721.3728438234</v>
      </c>
      <c r="N202" s="246">
        <f t="shared" si="9"/>
        <v>37978642.72085131</v>
      </c>
      <c r="P202" s="307"/>
      <c r="R202" s="352"/>
    </row>
    <row r="203" spans="1:18" s="165" customFormat="1" x14ac:dyDescent="0.25">
      <c r="A203" s="162">
        <f>'B) D RI'!A204</f>
        <v>5725</v>
      </c>
      <c r="B203" s="163" t="str">
        <f>'B) D RI'!B204</f>
        <v>Prangins</v>
      </c>
      <c r="C203" s="347">
        <f>'B) D RI'!S204</f>
        <v>56</v>
      </c>
      <c r="D203" s="164">
        <f>'B) D RI'!AR204</f>
        <v>4069</v>
      </c>
      <c r="E203" s="345">
        <f>'D) Ecrêtage'!M202</f>
        <v>280306.63695050572</v>
      </c>
      <c r="F203" s="349">
        <f>'E) Fact soc'!G208</f>
        <v>6582484.5492756665</v>
      </c>
      <c r="G203" s="346">
        <f>'H) Péréquation directe'!I213</f>
        <v>3863928.2455772958</v>
      </c>
      <c r="H203" s="349">
        <f>+'I) Dépenses thématiques'!O202</f>
        <v>0</v>
      </c>
      <c r="I203" s="346">
        <f>'K) Plafonnement aide'!J202</f>
        <v>0</v>
      </c>
      <c r="J203" s="349">
        <f>'J) Plafonnement effort'!I202</f>
        <v>0</v>
      </c>
      <c r="K203" s="346">
        <f>'L) Plafonnement taux'!Q203</f>
        <v>0</v>
      </c>
      <c r="L203" s="344">
        <f t="shared" si="6"/>
        <v>10446412.794852963</v>
      </c>
      <c r="M203" s="246">
        <f>'M) Police'!O203</f>
        <v>348016.42897660605</v>
      </c>
      <c r="N203" s="246">
        <f t="shared" si="9"/>
        <v>10794429.223829569</v>
      </c>
      <c r="P203" s="307"/>
      <c r="R203" s="352"/>
    </row>
    <row r="204" spans="1:18" s="165" customFormat="1" x14ac:dyDescent="0.25">
      <c r="A204" s="162">
        <f>'B) D RI'!A205</f>
        <v>5726</v>
      </c>
      <c r="B204" s="163" t="str">
        <f>'B) D RI'!B205</f>
        <v>La Rippe</v>
      </c>
      <c r="C204" s="347">
        <f>'B) D RI'!S205</f>
        <v>65</v>
      </c>
      <c r="D204" s="164">
        <f>'B) D RI'!AR205</f>
        <v>1164</v>
      </c>
      <c r="E204" s="345">
        <f>'D) Ecrêtage'!M203</f>
        <v>56867.973846153851</v>
      </c>
      <c r="F204" s="349">
        <f>'E) Fact soc'!G209</f>
        <v>1026537.4361890843</v>
      </c>
      <c r="G204" s="346">
        <f>'H) Péréquation directe'!I214</f>
        <v>895877.02160180814</v>
      </c>
      <c r="H204" s="349">
        <f>+'I) Dépenses thématiques'!O203</f>
        <v>0</v>
      </c>
      <c r="I204" s="346">
        <f>'K) Plafonnement aide'!J203</f>
        <v>0</v>
      </c>
      <c r="J204" s="349">
        <f>'J) Plafonnement effort'!I203</f>
        <v>0</v>
      </c>
      <c r="K204" s="346">
        <f>'L) Plafonnement taux'!Q204</f>
        <v>0</v>
      </c>
      <c r="L204" s="344">
        <f t="shared" si="6"/>
        <v>1922414.4577908926</v>
      </c>
      <c r="M204" s="246">
        <f>'M) Police'!O204</f>
        <v>170846.33750841921</v>
      </c>
      <c r="N204" s="246">
        <f t="shared" si="9"/>
        <v>2093260.7952993119</v>
      </c>
      <c r="P204" s="307"/>
      <c r="R204" s="352"/>
    </row>
    <row r="205" spans="1:18" s="165" customFormat="1" x14ac:dyDescent="0.25">
      <c r="A205" s="162">
        <f>'B) D RI'!A206</f>
        <v>5727</v>
      </c>
      <c r="B205" s="163" t="str">
        <f>'B) D RI'!B206</f>
        <v>Saint-Cergue</v>
      </c>
      <c r="C205" s="347">
        <f>'B) D RI'!S206</f>
        <v>66</v>
      </c>
      <c r="D205" s="164">
        <f>'B) D RI'!AR206</f>
        <v>2559</v>
      </c>
      <c r="E205" s="345">
        <f>'D) Ecrêtage'!M204</f>
        <v>100488.23186868687</v>
      </c>
      <c r="F205" s="349">
        <f>'E) Fact soc'!G210</f>
        <v>1849548.039450109</v>
      </c>
      <c r="G205" s="346">
        <f>'H) Péréquation directe'!I215</f>
        <v>975470.85007421661</v>
      </c>
      <c r="H205" s="349">
        <f>+'I) Dépenses thématiques'!O204</f>
        <v>-267885.40888350282</v>
      </c>
      <c r="I205" s="346">
        <f>'K) Plafonnement aide'!J204</f>
        <v>0</v>
      </c>
      <c r="J205" s="349">
        <f>'J) Plafonnement effort'!I204</f>
        <v>0</v>
      </c>
      <c r="K205" s="346">
        <f>'L) Plafonnement taux'!Q205</f>
        <v>0</v>
      </c>
      <c r="L205" s="344">
        <f t="shared" si="6"/>
        <v>2557133.480640823</v>
      </c>
      <c r="M205" s="246">
        <f>'M) Police'!O205</f>
        <v>311195.02984953433</v>
      </c>
      <c r="N205" s="246">
        <f t="shared" si="9"/>
        <v>2868328.5104903574</v>
      </c>
      <c r="P205" s="307"/>
      <c r="R205" s="352"/>
    </row>
    <row r="206" spans="1:18" s="165" customFormat="1" x14ac:dyDescent="0.25">
      <c r="A206" s="162">
        <f>'B) D RI'!A207</f>
        <v>5728</v>
      </c>
      <c r="B206" s="163" t="str">
        <f>'B) D RI'!B207</f>
        <v>Signy-Avenex</v>
      </c>
      <c r="C206" s="347">
        <f>'B) D RI'!S207</f>
        <v>58</v>
      </c>
      <c r="D206" s="164">
        <f>'B) D RI'!AR207</f>
        <v>567</v>
      </c>
      <c r="E206" s="345">
        <f>'D) Ecrêtage'!M205</f>
        <v>37353.52716698312</v>
      </c>
      <c r="F206" s="349">
        <f>'E) Fact soc'!G211</f>
        <v>865786.15202256362</v>
      </c>
      <c r="G206" s="346">
        <f>'H) Péréquation directe'!I216</f>
        <v>634577.64703331061</v>
      </c>
      <c r="H206" s="349">
        <f>+'I) Dépenses thématiques'!O205</f>
        <v>0</v>
      </c>
      <c r="I206" s="346">
        <f>'K) Plafonnement aide'!J205</f>
        <v>0</v>
      </c>
      <c r="J206" s="349">
        <f>'J) Plafonnement effort'!I205</f>
        <v>0</v>
      </c>
      <c r="K206" s="346">
        <f>'L) Plafonnement taux'!Q206</f>
        <v>0</v>
      </c>
      <c r="L206" s="344">
        <f t="shared" si="6"/>
        <v>1500363.7990558743</v>
      </c>
      <c r="M206" s="246">
        <f>'M) Police'!O206</f>
        <v>95205.506184744198</v>
      </c>
      <c r="N206" s="246">
        <f t="shared" si="9"/>
        <v>1595569.3052406185</v>
      </c>
      <c r="P206" s="307"/>
      <c r="R206" s="352"/>
    </row>
    <row r="207" spans="1:18" s="165" customFormat="1" x14ac:dyDescent="0.25">
      <c r="A207" s="162">
        <f>'B) D RI'!A208</f>
        <v>5729</v>
      </c>
      <c r="B207" s="163" t="str">
        <f>'B) D RI'!B208</f>
        <v>Tannay</v>
      </c>
      <c r="C207" s="347">
        <f>'B) D RI'!S208</f>
        <v>61</v>
      </c>
      <c r="D207" s="164">
        <f>'B) D RI'!AR208</f>
        <v>1585</v>
      </c>
      <c r="E207" s="345">
        <f>'D) Ecrêtage'!M206</f>
        <v>149071.09635277546</v>
      </c>
      <c r="F207" s="349">
        <f>'E) Fact soc'!G212</f>
        <v>5306054.6151741222</v>
      </c>
      <c r="G207" s="346">
        <f>'H) Péréquation directe'!I217</f>
        <v>2454960.0123541495</v>
      </c>
      <c r="H207" s="349">
        <f>+'I) Dépenses thématiques'!O206</f>
        <v>0</v>
      </c>
      <c r="I207" s="346">
        <f>'K) Plafonnement aide'!J206</f>
        <v>0</v>
      </c>
      <c r="J207" s="349">
        <f>'J) Plafonnement effort'!I206</f>
        <v>0</v>
      </c>
      <c r="K207" s="346">
        <f>'L) Plafonnement taux'!Q207</f>
        <v>0</v>
      </c>
      <c r="L207" s="344">
        <f t="shared" si="6"/>
        <v>7761014.6275282716</v>
      </c>
      <c r="M207" s="246">
        <f>'M) Police'!O207</f>
        <v>321577.44266641908</v>
      </c>
      <c r="N207" s="246">
        <f t="shared" si="9"/>
        <v>8082592.0701946905</v>
      </c>
      <c r="P207" s="307"/>
      <c r="R207" s="352"/>
    </row>
    <row r="208" spans="1:18" s="165" customFormat="1" x14ac:dyDescent="0.25">
      <c r="A208" s="162">
        <f>'B) D RI'!A209</f>
        <v>5730</v>
      </c>
      <c r="B208" s="163" t="str">
        <f>'B) D RI'!B209</f>
        <v>Trélex</v>
      </c>
      <c r="C208" s="347">
        <f>'B) D RI'!S209</f>
        <v>57</v>
      </c>
      <c r="D208" s="164">
        <f>'B) D RI'!AR209</f>
        <v>1405</v>
      </c>
      <c r="E208" s="345">
        <f>'D) Ecrêtage'!M207</f>
        <v>98350.258573491388</v>
      </c>
      <c r="F208" s="349">
        <f>'E) Fact soc'!G213</f>
        <v>2346118.9873624584</v>
      </c>
      <c r="G208" s="346">
        <f>'H) Péréquation directe'!I218</f>
        <v>1579471.0660988581</v>
      </c>
      <c r="H208" s="349">
        <f>+'I) Dépenses thématiques'!O207</f>
        <v>-19376.420963075911</v>
      </c>
      <c r="I208" s="346">
        <f>'K) Plafonnement aide'!J207</f>
        <v>0</v>
      </c>
      <c r="J208" s="349">
        <f>'J) Plafonnement effort'!I207</f>
        <v>0</v>
      </c>
      <c r="K208" s="346">
        <f>'L) Plafonnement taux'!Q208</f>
        <v>0</v>
      </c>
      <c r="L208" s="344">
        <f t="shared" si="6"/>
        <v>3906213.6324982406</v>
      </c>
      <c r="M208" s="246">
        <f>'M) Police'!O208</f>
        <v>243103.40322338563</v>
      </c>
      <c r="N208" s="246">
        <f t="shared" si="9"/>
        <v>4149317.0357216261</v>
      </c>
      <c r="P208" s="307"/>
      <c r="R208" s="352"/>
    </row>
    <row r="209" spans="1:18" s="165" customFormat="1" x14ac:dyDescent="0.25">
      <c r="A209" s="162">
        <f>'B) D RI'!A210</f>
        <v>5731</v>
      </c>
      <c r="B209" s="163" t="str">
        <f>'B) D RI'!B210</f>
        <v>Le Vaud</v>
      </c>
      <c r="C209" s="347">
        <f>'B) D RI'!S210</f>
        <v>75</v>
      </c>
      <c r="D209" s="164">
        <f>'B) D RI'!AR210</f>
        <v>1283</v>
      </c>
      <c r="E209" s="345">
        <f>'D) Ecrêtage'!M208</f>
        <v>50893.333199999994</v>
      </c>
      <c r="F209" s="349">
        <f>'E) Fact soc'!G214</f>
        <v>946813.68987342319</v>
      </c>
      <c r="G209" s="346">
        <f>'H) Péréquation directe'!I219</f>
        <v>597402.75470878405</v>
      </c>
      <c r="H209" s="349">
        <f>+'I) Dépenses thématiques'!O208</f>
        <v>-104107.47455287447</v>
      </c>
      <c r="I209" s="346">
        <f>'K) Plafonnement aide'!J208</f>
        <v>0</v>
      </c>
      <c r="J209" s="349">
        <f>'J) Plafonnement effort'!I208</f>
        <v>0</v>
      </c>
      <c r="K209" s="346">
        <f>'L) Plafonnement taux'!Q209</f>
        <v>0</v>
      </c>
      <c r="L209" s="344">
        <f t="shared" si="6"/>
        <v>1440108.9700293327</v>
      </c>
      <c r="M209" s="246">
        <f>'M) Police'!O209</f>
        <v>158403.48789238214</v>
      </c>
      <c r="N209" s="246">
        <f t="shared" si="9"/>
        <v>1598512.4579217148</v>
      </c>
      <c r="P209" s="307"/>
      <c r="R209" s="352"/>
    </row>
    <row r="210" spans="1:18" s="165" customFormat="1" x14ac:dyDescent="0.25">
      <c r="A210" s="162">
        <f>'B) D RI'!A211</f>
        <v>5732</v>
      </c>
      <c r="B210" s="163" t="str">
        <f>'B) D RI'!B211</f>
        <v>Vich</v>
      </c>
      <c r="C210" s="347">
        <f>'B) D RI'!S211</f>
        <v>68</v>
      </c>
      <c r="D210" s="164">
        <f>'B) D RI'!AR211</f>
        <v>1026</v>
      </c>
      <c r="E210" s="345">
        <f>'D) Ecrêtage'!M209</f>
        <v>61884.470809538463</v>
      </c>
      <c r="F210" s="349">
        <f>'E) Fact soc'!G215</f>
        <v>1386853.1800851633</v>
      </c>
      <c r="G210" s="346">
        <f>'H) Péréquation directe'!I220</f>
        <v>1036339.070589295</v>
      </c>
      <c r="H210" s="349">
        <f>+'I) Dépenses thématiques'!O209</f>
        <v>-739541.23915073834</v>
      </c>
      <c r="I210" s="346">
        <f>'K) Plafonnement aide'!J209</f>
        <v>0</v>
      </c>
      <c r="J210" s="349">
        <f>'J) Plafonnement effort'!I209</f>
        <v>0</v>
      </c>
      <c r="K210" s="346">
        <f>'L) Plafonnement taux'!Q210</f>
        <v>0</v>
      </c>
      <c r="L210" s="344">
        <f t="shared" si="6"/>
        <v>1683651.0115237199</v>
      </c>
      <c r="M210" s="246">
        <f>'M) Police'!O210</f>
        <v>165190.29211589048</v>
      </c>
      <c r="N210" s="246">
        <f t="shared" si="9"/>
        <v>1848841.3036396103</v>
      </c>
      <c r="P210" s="307"/>
      <c r="R210" s="352"/>
    </row>
    <row r="211" spans="1:18" s="165" customFormat="1" x14ac:dyDescent="0.25">
      <c r="A211" s="162">
        <f>'B) D RI'!A212</f>
        <v>5741</v>
      </c>
      <c r="B211" s="163" t="str">
        <f>'B) D RI'!B212</f>
        <v>L'Abergement</v>
      </c>
      <c r="C211" s="347">
        <f>'B) D RI'!S212</f>
        <v>81</v>
      </c>
      <c r="D211" s="164">
        <f>'B) D RI'!AR212</f>
        <v>237</v>
      </c>
      <c r="E211" s="345">
        <f>'D) Ecrêtage'!M210</f>
        <v>6650.8402880658423</v>
      </c>
      <c r="F211" s="349">
        <f>'E) Fact soc'!G216</f>
        <v>131701.5711203611</v>
      </c>
      <c r="G211" s="346">
        <f>'H) Péréquation directe'!I221</f>
        <v>-3746.4182189451967</v>
      </c>
      <c r="H211" s="349">
        <f>+'I) Dépenses thématiques'!O210</f>
        <v>-85283.617280632141</v>
      </c>
      <c r="I211" s="346">
        <f>'K) Plafonnement aide'!J210</f>
        <v>0</v>
      </c>
      <c r="J211" s="349">
        <f>'J) Plafonnement effort'!I210</f>
        <v>0</v>
      </c>
      <c r="K211" s="346">
        <f>'L) Plafonnement taux'!Q211</f>
        <v>0</v>
      </c>
      <c r="L211" s="344">
        <f t="shared" si="6"/>
        <v>42671.535620783761</v>
      </c>
      <c r="M211" s="246">
        <f>'M) Police'!O211</f>
        <v>20654.49610640181</v>
      </c>
      <c r="N211" s="246">
        <f t="shared" si="9"/>
        <v>63326.031727185575</v>
      </c>
      <c r="P211" s="307"/>
      <c r="R211" s="352"/>
    </row>
    <row r="212" spans="1:18" s="165" customFormat="1" x14ac:dyDescent="0.25">
      <c r="A212" s="162">
        <f>'B) D RI'!A213</f>
        <v>5742</v>
      </c>
      <c r="B212" s="163" t="str">
        <f>'B) D RI'!B213</f>
        <v>Agiez</v>
      </c>
      <c r="C212" s="347">
        <f>'B) D RI'!S213</f>
        <v>76</v>
      </c>
      <c r="D212" s="164">
        <f>'B) D RI'!AR213</f>
        <v>314</v>
      </c>
      <c r="E212" s="345">
        <f>'D) Ecrêtage'!M211</f>
        <v>9444.339473684211</v>
      </c>
      <c r="F212" s="349">
        <f>'E) Fact soc'!G217</f>
        <v>178587.69917752672</v>
      </c>
      <c r="G212" s="346">
        <f>'H) Péréquation directe'!I222</f>
        <v>37617.192377412284</v>
      </c>
      <c r="H212" s="349">
        <f>+'I) Dépenses thématiques'!O211</f>
        <v>-11031.959616434537</v>
      </c>
      <c r="I212" s="346">
        <f>'K) Plafonnement aide'!J211</f>
        <v>0</v>
      </c>
      <c r="J212" s="349">
        <f>'J) Plafonnement effort'!I211</f>
        <v>0</v>
      </c>
      <c r="K212" s="346">
        <f>'L) Plafonnement taux'!Q212</f>
        <v>0</v>
      </c>
      <c r="L212" s="344">
        <f t="shared" si="6"/>
        <v>205172.93193850448</v>
      </c>
      <c r="M212" s="246">
        <f>'M) Police'!O212</f>
        <v>29366.277755731244</v>
      </c>
      <c r="N212" s="246">
        <f t="shared" si="9"/>
        <v>234539.20969423573</v>
      </c>
      <c r="P212" s="307"/>
      <c r="R212" s="352"/>
    </row>
    <row r="213" spans="1:18" s="165" customFormat="1" x14ac:dyDescent="0.25">
      <c r="A213" s="162">
        <f>'B) D RI'!A214</f>
        <v>5743</v>
      </c>
      <c r="B213" s="163" t="str">
        <f>'B) D RI'!B214</f>
        <v>Arnex-sur-Orbe</v>
      </c>
      <c r="C213" s="347">
        <f>'B) D RI'!S214</f>
        <v>73</v>
      </c>
      <c r="D213" s="164">
        <f>'B) D RI'!AR214</f>
        <v>642</v>
      </c>
      <c r="E213" s="345">
        <f>'D) Ecrêtage'!M212</f>
        <v>17668.924178082194</v>
      </c>
      <c r="F213" s="349">
        <f>'E) Fact soc'!G218</f>
        <v>349654.81215632847</v>
      </c>
      <c r="G213" s="346">
        <f>'H) Péréquation directe'!I223</f>
        <v>28624.160169214883</v>
      </c>
      <c r="H213" s="349">
        <f>+'I) Dépenses thématiques'!O212</f>
        <v>-106829.46959621624</v>
      </c>
      <c r="I213" s="346">
        <f>'K) Plafonnement aide'!J212</f>
        <v>0</v>
      </c>
      <c r="J213" s="349">
        <f>'J) Plafonnement effort'!I212</f>
        <v>0</v>
      </c>
      <c r="K213" s="346">
        <f>'L) Plafonnement taux'!Q213</f>
        <v>0</v>
      </c>
      <c r="L213" s="344">
        <f t="shared" si="6"/>
        <v>271449.50272932713</v>
      </c>
      <c r="M213" s="246">
        <f>'M) Police'!O213</f>
        <v>55132.922846092115</v>
      </c>
      <c r="N213" s="246">
        <f t="shared" si="9"/>
        <v>326582.42557541921</v>
      </c>
      <c r="P213" s="307"/>
      <c r="R213" s="352"/>
    </row>
    <row r="214" spans="1:18" s="165" customFormat="1" x14ac:dyDescent="0.25">
      <c r="A214" s="162">
        <f>'B) D RI'!A215</f>
        <v>5744</v>
      </c>
      <c r="B214" s="163" t="str">
        <f>'B) D RI'!B215</f>
        <v>Ballaigues</v>
      </c>
      <c r="C214" s="347">
        <f>'B) D RI'!S215</f>
        <v>66</v>
      </c>
      <c r="D214" s="164">
        <f>'B) D RI'!AR215</f>
        <v>1095</v>
      </c>
      <c r="E214" s="345">
        <f>'D) Ecrêtage'!M213</f>
        <v>60772.767121212128</v>
      </c>
      <c r="F214" s="349">
        <f>'E) Fact soc'!G219</f>
        <v>1371784.3811454633</v>
      </c>
      <c r="G214" s="346">
        <f>'H) Péréquation directe'!I224</f>
        <v>991927.40847269387</v>
      </c>
      <c r="H214" s="349">
        <f>+'I) Dépenses thématiques'!O213</f>
        <v>-299420.83376222139</v>
      </c>
      <c r="I214" s="346">
        <f>'K) Plafonnement aide'!J213</f>
        <v>0</v>
      </c>
      <c r="J214" s="349">
        <f>'J) Plafonnement effort'!I213</f>
        <v>0</v>
      </c>
      <c r="K214" s="346">
        <f>'L) Plafonnement taux'!Q214</f>
        <v>0</v>
      </c>
      <c r="L214" s="344">
        <f t="shared" si="6"/>
        <v>2064290.9558559358</v>
      </c>
      <c r="M214" s="246">
        <f>'M) Police'!O214</f>
        <v>169752.20358903354</v>
      </c>
      <c r="N214" s="246">
        <f t="shared" si="9"/>
        <v>2234043.1594449691</v>
      </c>
      <c r="P214" s="307"/>
      <c r="R214" s="352"/>
    </row>
    <row r="215" spans="1:18" s="165" customFormat="1" x14ac:dyDescent="0.25">
      <c r="A215" s="162">
        <f>'B) D RI'!A216</f>
        <v>5745</v>
      </c>
      <c r="B215" s="163" t="str">
        <f>'B) D RI'!B216</f>
        <v>Baulmes</v>
      </c>
      <c r="C215" s="347">
        <f>'B) D RI'!S216</f>
        <v>78</v>
      </c>
      <c r="D215" s="164">
        <f>'B) D RI'!AR216</f>
        <v>1053</v>
      </c>
      <c r="E215" s="345">
        <f>'D) Ecrêtage'!M214</f>
        <v>25719.773333333334</v>
      </c>
      <c r="F215" s="349">
        <f>'E) Fact soc'!G220</f>
        <v>479833.56832664274</v>
      </c>
      <c r="G215" s="346">
        <f>'H) Péréquation directe'!I225</f>
        <v>-159707.18507703958</v>
      </c>
      <c r="H215" s="349">
        <f>+'I) Dépenses thématiques'!O214</f>
        <v>-186284.54693647879</v>
      </c>
      <c r="I215" s="346">
        <f>'K) Plafonnement aide'!J214</f>
        <v>0</v>
      </c>
      <c r="J215" s="349">
        <f>'J) Plafonnement effort'!I214</f>
        <v>0</v>
      </c>
      <c r="K215" s="346">
        <f>'L) Plafonnement taux'!Q215</f>
        <v>0</v>
      </c>
      <c r="L215" s="344">
        <f t="shared" si="6"/>
        <v>133841.83631312437</v>
      </c>
      <c r="M215" s="246">
        <f>'M) Police'!O215</f>
        <v>80188.094552091221</v>
      </c>
      <c r="N215" s="246">
        <f t="shared" si="9"/>
        <v>214029.9308652156</v>
      </c>
      <c r="P215" s="307"/>
      <c r="R215" s="352"/>
    </row>
    <row r="216" spans="1:18" s="165" customFormat="1" x14ac:dyDescent="0.25">
      <c r="A216" s="162">
        <f>'B) D RI'!A217</f>
        <v>5746</v>
      </c>
      <c r="B216" s="163" t="str">
        <f>'B) D RI'!B217</f>
        <v>Bavois</v>
      </c>
      <c r="C216" s="347">
        <f>'B) D RI'!S217</f>
        <v>73</v>
      </c>
      <c r="D216" s="164">
        <f>'B) D RI'!AR217</f>
        <v>928</v>
      </c>
      <c r="E216" s="345">
        <f>'D) Ecrêtage'!M215</f>
        <v>26078.686575342468</v>
      </c>
      <c r="F216" s="349">
        <f>'E) Fact soc'!G221</f>
        <v>473736.33254514833</v>
      </c>
      <c r="G216" s="346">
        <f>'H) Péréquation directe'!I226</f>
        <v>62728.134450516023</v>
      </c>
      <c r="H216" s="349">
        <f>+'I) Dépenses thématiques'!O215</f>
        <v>-189763.87807963978</v>
      </c>
      <c r="I216" s="346">
        <f>'K) Plafonnement aide'!J215</f>
        <v>0</v>
      </c>
      <c r="J216" s="349">
        <f>'J) Plafonnement effort'!I215</f>
        <v>0</v>
      </c>
      <c r="K216" s="346">
        <f>'L) Plafonnement taux'!Q216</f>
        <v>0</v>
      </c>
      <c r="L216" s="344">
        <f t="shared" si="6"/>
        <v>346700.58891602466</v>
      </c>
      <c r="M216" s="246">
        <f>'M) Police'!O216</f>
        <v>79986.718631639815</v>
      </c>
      <c r="N216" s="246">
        <f t="shared" si="9"/>
        <v>426687.3075476645</v>
      </c>
      <c r="P216" s="307"/>
      <c r="R216" s="352"/>
    </row>
    <row r="217" spans="1:18" s="165" customFormat="1" x14ac:dyDescent="0.25">
      <c r="A217" s="162">
        <f>'B) D RI'!A218</f>
        <v>5747</v>
      </c>
      <c r="B217" s="163" t="str">
        <f>'B) D RI'!B218</f>
        <v>Bofflens</v>
      </c>
      <c r="C217" s="347">
        <f>'B) D RI'!S218</f>
        <v>69</v>
      </c>
      <c r="D217" s="164">
        <f>'B) D RI'!AR218</f>
        <v>191</v>
      </c>
      <c r="E217" s="345">
        <f>'D) Ecrêtage'!M216</f>
        <v>5407.3595652173908</v>
      </c>
      <c r="F217" s="349">
        <f>'E) Fact soc'!G222</f>
        <v>81697.960968204206</v>
      </c>
      <c r="G217" s="346">
        <f>'H) Péréquation directe'!I227</f>
        <v>21591.221995657848</v>
      </c>
      <c r="H217" s="349">
        <f>+'I) Dépenses thématiques'!O216</f>
        <v>-5884.5382648905697</v>
      </c>
      <c r="I217" s="346">
        <f>'K) Plafonnement aide'!J216</f>
        <v>0</v>
      </c>
      <c r="J217" s="349">
        <f>'J) Plafonnement effort'!I216</f>
        <v>0</v>
      </c>
      <c r="K217" s="346">
        <f>'L) Plafonnement taux'!Q217</f>
        <v>0</v>
      </c>
      <c r="L217" s="344">
        <f t="shared" si="6"/>
        <v>97404.64469897149</v>
      </c>
      <c r="M217" s="246">
        <f>'M) Police'!O217</f>
        <v>16743.3842912814</v>
      </c>
      <c r="N217" s="246">
        <f t="shared" si="9"/>
        <v>114148.02899025289</v>
      </c>
      <c r="P217" s="307"/>
      <c r="R217" s="352"/>
    </row>
    <row r="218" spans="1:18" s="165" customFormat="1" x14ac:dyDescent="0.25">
      <c r="A218" s="162">
        <f>'B) D RI'!A219</f>
        <v>5748</v>
      </c>
      <c r="B218" s="163" t="str">
        <f>'B) D RI'!B219</f>
        <v>Bretonnières</v>
      </c>
      <c r="C218" s="347">
        <f>'B) D RI'!S219</f>
        <v>72</v>
      </c>
      <c r="D218" s="164">
        <f>'B) D RI'!AR219</f>
        <v>262</v>
      </c>
      <c r="E218" s="345">
        <f>'D) Ecrêtage'!M217</f>
        <v>7687.1286574074074</v>
      </c>
      <c r="F218" s="349">
        <f>'E) Fact soc'!G223</f>
        <v>224340.86024347559</v>
      </c>
      <c r="G218" s="346">
        <f>'H) Péréquation directe'!I228</f>
        <v>32902.201610944932</v>
      </c>
      <c r="H218" s="349">
        <f>+'I) Dépenses thématiques'!O217</f>
        <v>-41239.15483771525</v>
      </c>
      <c r="I218" s="346">
        <f>'K) Plafonnement aide'!J217</f>
        <v>0</v>
      </c>
      <c r="J218" s="349">
        <f>'J) Plafonnement effort'!I217</f>
        <v>0</v>
      </c>
      <c r="K218" s="346">
        <f>'L) Plafonnement taux'!Q218</f>
        <v>0</v>
      </c>
      <c r="L218" s="344">
        <f t="shared" si="6"/>
        <v>216003.90701670526</v>
      </c>
      <c r="M218" s="246">
        <f>'M) Police'!O218</f>
        <v>23875.249915586544</v>
      </c>
      <c r="N218" s="246">
        <f t="shared" si="9"/>
        <v>239879.15693229181</v>
      </c>
      <c r="P218" s="307"/>
      <c r="R218" s="352"/>
    </row>
    <row r="219" spans="1:18" s="165" customFormat="1" x14ac:dyDescent="0.25">
      <c r="A219" s="162">
        <f>'B) D RI'!A220</f>
        <v>5749</v>
      </c>
      <c r="B219" s="163" t="str">
        <f>'B) D RI'!B220</f>
        <v>Chavornay</v>
      </c>
      <c r="C219" s="347">
        <f>'B) D RI'!S220</f>
        <v>72</v>
      </c>
      <c r="D219" s="164">
        <f>'B) D RI'!AR220</f>
        <v>4908</v>
      </c>
      <c r="E219" s="345">
        <f>'D) Ecrêtage'!M218</f>
        <v>136661.8213888889</v>
      </c>
      <c r="F219" s="349">
        <f>'E) Fact soc'!G224</f>
        <v>2486586.8798103984</v>
      </c>
      <c r="G219" s="346">
        <f>'H) Péréquation directe'!I229</f>
        <v>-918376.46339213755</v>
      </c>
      <c r="H219" s="349">
        <f>+'I) Dépenses thématiques'!O218</f>
        <v>-541246.51806717692</v>
      </c>
      <c r="I219" s="346">
        <f>'K) Plafonnement aide'!J218</f>
        <v>0</v>
      </c>
      <c r="J219" s="349">
        <f>'J) Plafonnement effort'!I218</f>
        <v>0</v>
      </c>
      <c r="K219" s="346">
        <f>'L) Plafonnement taux'!Q219</f>
        <v>0</v>
      </c>
      <c r="L219" s="344">
        <f t="shared" ref="L219" si="10">F219+G219+H219+I219+J219+K219</f>
        <v>1026963.898351084</v>
      </c>
      <c r="M219" s="246">
        <f>'M) Police'!O219</f>
        <v>421189.62175265339</v>
      </c>
      <c r="N219" s="246">
        <f t="shared" ref="N219" si="11">L219+M219</f>
        <v>1448153.5201037372</v>
      </c>
      <c r="P219" s="307"/>
      <c r="R219" s="352"/>
    </row>
    <row r="220" spans="1:18" s="165" customFormat="1" x14ac:dyDescent="0.25">
      <c r="A220" s="162">
        <f>'B) D RI'!A221</f>
        <v>5750</v>
      </c>
      <c r="B220" s="163" t="str">
        <f>'B) D RI'!B221</f>
        <v>Les Clées</v>
      </c>
      <c r="C220" s="347">
        <f>'B) D RI'!S221</f>
        <v>80</v>
      </c>
      <c r="D220" s="164">
        <f>'B) D RI'!AR221</f>
        <v>181</v>
      </c>
      <c r="E220" s="345">
        <f>'D) Ecrêtage'!M219</f>
        <v>5052.5065833333338</v>
      </c>
      <c r="F220" s="349">
        <f>'E) Fact soc'!G225</f>
        <v>86234.962199050438</v>
      </c>
      <c r="G220" s="346">
        <f>'H) Péréquation directe'!I230</f>
        <v>-2103.1000275006518</v>
      </c>
      <c r="H220" s="349">
        <f>+'I) Dépenses thématiques'!O219</f>
        <v>-8029.8813751372445</v>
      </c>
      <c r="I220" s="346">
        <f>'K) Plafonnement aide'!J219</f>
        <v>0</v>
      </c>
      <c r="J220" s="349">
        <f>'J) Plafonnement effort'!I219</f>
        <v>0</v>
      </c>
      <c r="K220" s="346">
        <f>'L) Plafonnement taux'!Q220</f>
        <v>0</v>
      </c>
      <c r="L220" s="344">
        <f t="shared" si="6"/>
        <v>76101.980796412536</v>
      </c>
      <c r="M220" s="246">
        <f>'M) Police'!O220</f>
        <v>15864.638371180601</v>
      </c>
      <c r="N220" s="246">
        <f t="shared" si="9"/>
        <v>91966.619167593133</v>
      </c>
      <c r="P220" s="307"/>
      <c r="R220" s="352"/>
    </row>
    <row r="221" spans="1:18" s="165" customFormat="1" x14ac:dyDescent="0.25">
      <c r="A221" s="162">
        <f>'B) D RI'!A222</f>
        <v>5752</v>
      </c>
      <c r="B221" s="163" t="str">
        <f>'B) D RI'!B222</f>
        <v>Croy</v>
      </c>
      <c r="C221" s="347">
        <f>'B) D RI'!S222</f>
        <v>74</v>
      </c>
      <c r="D221" s="164">
        <f>'B) D RI'!AR222</f>
        <v>379</v>
      </c>
      <c r="E221" s="345">
        <f>'D) Ecrêtage'!M220</f>
        <v>11188.496891891893</v>
      </c>
      <c r="F221" s="349">
        <f>'E) Fact soc'!G226</f>
        <v>190603.58927053402</v>
      </c>
      <c r="G221" s="346">
        <f>'H) Péréquation directe'!I231</f>
        <v>43563.537984858471</v>
      </c>
      <c r="H221" s="349">
        <f>+'I) Dépenses thématiques'!O220</f>
        <v>-94763.385874305037</v>
      </c>
      <c r="I221" s="346">
        <f>'K) Plafonnement aide'!J220</f>
        <v>0</v>
      </c>
      <c r="J221" s="349">
        <f>'J) Plafonnement effort'!I220</f>
        <v>0</v>
      </c>
      <c r="K221" s="346">
        <f>'L) Plafonnement taux'!Q221</f>
        <v>0</v>
      </c>
      <c r="L221" s="344">
        <f t="shared" ref="L221:L265" si="12">F221+G221+H221+I221+J221+K221</f>
        <v>139403.74138108746</v>
      </c>
      <c r="M221" s="246">
        <f>'M) Police'!O221</f>
        <v>34980.389557213515</v>
      </c>
      <c r="N221" s="246">
        <f t="shared" si="9"/>
        <v>174384.13093830098</v>
      </c>
      <c r="P221" s="307"/>
      <c r="R221" s="352"/>
    </row>
    <row r="222" spans="1:18" s="165" customFormat="1" x14ac:dyDescent="0.25">
      <c r="A222" s="162">
        <f>'B) D RI'!A223</f>
        <v>5754</v>
      </c>
      <c r="B222" s="163" t="str">
        <f>'B) D RI'!B223</f>
        <v>Juriens</v>
      </c>
      <c r="C222" s="347">
        <f>'B) D RI'!S223</f>
        <v>79</v>
      </c>
      <c r="D222" s="164">
        <f>'B) D RI'!AR223</f>
        <v>309</v>
      </c>
      <c r="E222" s="345">
        <f>'D) Ecrêtage'!M221</f>
        <v>8136.8400000000011</v>
      </c>
      <c r="F222" s="349">
        <f>'E) Fact soc'!G227</f>
        <v>126729.78733424401</v>
      </c>
      <c r="G222" s="346">
        <f>'H) Péréquation directe'!I232</f>
        <v>-21443.469316758215</v>
      </c>
      <c r="H222" s="349">
        <f>+'I) Dépenses thématiques'!O221</f>
        <v>-55683.596771817203</v>
      </c>
      <c r="I222" s="346">
        <f>'K) Plafonnement aide'!J221</f>
        <v>0</v>
      </c>
      <c r="J222" s="349">
        <f>'J) Plafonnement effort'!I221</f>
        <v>0</v>
      </c>
      <c r="K222" s="346">
        <f>'L) Plafonnement taux'!Q222</f>
        <v>0</v>
      </c>
      <c r="L222" s="344">
        <f t="shared" si="12"/>
        <v>49602.721245668596</v>
      </c>
      <c r="M222" s="246">
        <f>'M) Police'!O222</f>
        <v>25444.049059583034</v>
      </c>
      <c r="N222" s="246">
        <f t="shared" si="9"/>
        <v>75046.77030525163</v>
      </c>
      <c r="P222" s="307"/>
      <c r="R222" s="352"/>
    </row>
    <row r="223" spans="1:18" s="165" customFormat="1" x14ac:dyDescent="0.25">
      <c r="A223" s="162">
        <f>'B) D RI'!A224</f>
        <v>5755</v>
      </c>
      <c r="B223" s="163" t="str">
        <f>'B) D RI'!B224</f>
        <v>Lignerolle</v>
      </c>
      <c r="C223" s="347">
        <f>'B) D RI'!S224</f>
        <v>80</v>
      </c>
      <c r="D223" s="164">
        <f>'B) D RI'!AR224</f>
        <v>417</v>
      </c>
      <c r="E223" s="345">
        <f>'D) Ecrêtage'!M222</f>
        <v>9412.5036607142865</v>
      </c>
      <c r="F223" s="349">
        <f>'E) Fact soc'!G228</f>
        <v>164714.17439963049</v>
      </c>
      <c r="G223" s="346">
        <f>'H) Péréquation directe'!I233</f>
        <v>-102645.18315033824</v>
      </c>
      <c r="H223" s="349">
        <f>+'I) Dépenses thématiques'!O222</f>
        <v>-170832.88584734977</v>
      </c>
      <c r="I223" s="346">
        <f>'K) Plafonnement aide'!J222</f>
        <v>0</v>
      </c>
      <c r="J223" s="349">
        <f>'J) Plafonnement effort'!I222</f>
        <v>0</v>
      </c>
      <c r="K223" s="346">
        <f>'L) Plafonnement taux'!Q223</f>
        <v>0</v>
      </c>
      <c r="L223" s="344">
        <f t="shared" si="12"/>
        <v>-108763.89459805752</v>
      </c>
      <c r="M223" s="246">
        <f>'M) Police'!O223</f>
        <v>29026.403056349904</v>
      </c>
      <c r="N223" s="246">
        <f t="shared" si="9"/>
        <v>-79737.491541707626</v>
      </c>
      <c r="P223" s="307"/>
      <c r="R223" s="352"/>
    </row>
    <row r="224" spans="1:18" s="165" customFormat="1" x14ac:dyDescent="0.25">
      <c r="A224" s="162">
        <f>'B) D RI'!A225</f>
        <v>5756</v>
      </c>
      <c r="B224" s="163" t="str">
        <f>'B) D RI'!B225</f>
        <v>Montcherand</v>
      </c>
      <c r="C224" s="347">
        <f>'B) D RI'!S225</f>
        <v>72</v>
      </c>
      <c r="D224" s="164">
        <f>'B) D RI'!AR225</f>
        <v>482</v>
      </c>
      <c r="E224" s="345">
        <f>'D) Ecrêtage'!M223</f>
        <v>18721.546388888888</v>
      </c>
      <c r="F224" s="349">
        <f>'E) Fact soc'!G229</f>
        <v>305093.69649804628</v>
      </c>
      <c r="G224" s="346">
        <f>'H) Péréquation directe'!I234</f>
        <v>239461.02871280513</v>
      </c>
      <c r="H224" s="349">
        <f>+'I) Dépenses thématiques'!O223</f>
        <v>-37806.73224994239</v>
      </c>
      <c r="I224" s="346">
        <f>'K) Plafonnement aide'!J223</f>
        <v>0</v>
      </c>
      <c r="J224" s="349">
        <f>'J) Plafonnement effort'!I223</f>
        <v>0</v>
      </c>
      <c r="K224" s="346">
        <f>'L) Plafonnement taux'!Q224</f>
        <v>0</v>
      </c>
      <c r="L224" s="344">
        <f t="shared" si="12"/>
        <v>506747.99296090903</v>
      </c>
      <c r="M224" s="246">
        <f>'M) Police'!O224</f>
        <v>23243.851055625997</v>
      </c>
      <c r="N224" s="246">
        <f t="shared" si="9"/>
        <v>529991.84401653497</v>
      </c>
      <c r="P224" s="307"/>
      <c r="R224" s="352"/>
    </row>
    <row r="225" spans="1:18" s="165" customFormat="1" x14ac:dyDescent="0.25">
      <c r="A225" s="162">
        <f>'B) D RI'!A226</f>
        <v>5757</v>
      </c>
      <c r="B225" s="163" t="str">
        <f>'B) D RI'!B226</f>
        <v>Orbe</v>
      </c>
      <c r="C225" s="347">
        <f>'B) D RI'!S226</f>
        <v>77</v>
      </c>
      <c r="D225" s="164">
        <f>'B) D RI'!AR226</f>
        <v>6985</v>
      </c>
      <c r="E225" s="345">
        <f>'D) Ecrêtage'!M224</f>
        <v>205952.941948052</v>
      </c>
      <c r="F225" s="349">
        <f>'E) Fact soc'!G230</f>
        <v>4321235.9480329342</v>
      </c>
      <c r="G225" s="346">
        <f>'H) Péréquation directe'!I235</f>
        <v>-1664402.9160787403</v>
      </c>
      <c r="H225" s="349">
        <f>+'I) Dépenses thématiques'!O224</f>
        <v>-1535494.0561067362</v>
      </c>
      <c r="I225" s="346">
        <f>'K) Plafonnement aide'!J224</f>
        <v>0</v>
      </c>
      <c r="J225" s="349">
        <f>'J) Plafonnement effort'!I224</f>
        <v>0</v>
      </c>
      <c r="K225" s="346">
        <f>'L) Plafonnement taux'!Q225</f>
        <v>0</v>
      </c>
      <c r="L225" s="344">
        <f t="shared" si="12"/>
        <v>1121338.9758474578</v>
      </c>
      <c r="M225" s="246">
        <f>'M) Police'!O225</f>
        <v>255702.14167509385</v>
      </c>
      <c r="N225" s="246">
        <f t="shared" si="9"/>
        <v>1377041.1175225517</v>
      </c>
      <c r="P225" s="307"/>
      <c r="R225" s="352"/>
    </row>
    <row r="226" spans="1:18" s="165" customFormat="1" x14ac:dyDescent="0.25">
      <c r="A226" s="162">
        <f>'B) D RI'!A227</f>
        <v>5758</v>
      </c>
      <c r="B226" s="163" t="str">
        <f>'B) D RI'!B227</f>
        <v>La Praz</v>
      </c>
      <c r="C226" s="347">
        <f>'B) D RI'!S227</f>
        <v>83</v>
      </c>
      <c r="D226" s="164">
        <f>'B) D RI'!AR227</f>
        <v>160</v>
      </c>
      <c r="E226" s="345">
        <f>'D) Ecrêtage'!M225</f>
        <v>3230.1663052208837</v>
      </c>
      <c r="F226" s="349">
        <f>'E) Fact soc'!G231</f>
        <v>74885.359072156352</v>
      </c>
      <c r="G226" s="346">
        <f>'H) Péréquation directe'!I236</f>
        <v>-63768.743404694702</v>
      </c>
      <c r="H226" s="349">
        <f>+'I) Dépenses thématiques'!O225</f>
        <v>-19215.082907347307</v>
      </c>
      <c r="I226" s="346">
        <f>'K) Plafonnement aide'!J225</f>
        <v>0</v>
      </c>
      <c r="J226" s="349">
        <f>'J) Plafonnement effort'!I225</f>
        <v>0</v>
      </c>
      <c r="K226" s="346">
        <f>'L) Plafonnement taux'!Q226</f>
        <v>0</v>
      </c>
      <c r="L226" s="344">
        <f t="shared" si="12"/>
        <v>-8098.4672398856565</v>
      </c>
      <c r="M226" s="246">
        <f>'M) Police'!O226</f>
        <v>9907.5646488245402</v>
      </c>
      <c r="N226" s="246">
        <f t="shared" si="9"/>
        <v>1809.0974089388837</v>
      </c>
      <c r="P226" s="307"/>
      <c r="R226" s="352"/>
    </row>
    <row r="227" spans="1:18" s="165" customFormat="1" x14ac:dyDescent="0.25">
      <c r="A227" s="162">
        <f>'B) D RI'!A228</f>
        <v>5759</v>
      </c>
      <c r="B227" s="163" t="str">
        <f>'B) D RI'!B228</f>
        <v>Premier</v>
      </c>
      <c r="C227" s="347">
        <f>'B) D RI'!S228</f>
        <v>81</v>
      </c>
      <c r="D227" s="164">
        <f>'B) D RI'!AR228</f>
        <v>210</v>
      </c>
      <c r="E227" s="345">
        <f>'D) Ecrêtage'!M226</f>
        <v>4732.7107407407411</v>
      </c>
      <c r="F227" s="349">
        <f>'E) Fact soc'!G232</f>
        <v>90572.846933108929</v>
      </c>
      <c r="G227" s="346">
        <f>'H) Péréquation directe'!I237</f>
        <v>-55004.407743023447</v>
      </c>
      <c r="H227" s="349">
        <f>+'I) Dépenses thématiques'!O226</f>
        <v>-29693.642631903684</v>
      </c>
      <c r="I227" s="346">
        <f>'K) Plafonnement aide'!J226</f>
        <v>0</v>
      </c>
      <c r="J227" s="349">
        <f>'J) Plafonnement effort'!I226</f>
        <v>0</v>
      </c>
      <c r="K227" s="346">
        <f>'L) Plafonnement taux'!Q227</f>
        <v>0</v>
      </c>
      <c r="L227" s="344">
        <f t="shared" si="12"/>
        <v>5874.7965581817989</v>
      </c>
      <c r="M227" s="246">
        <f>'M) Police'!O227</f>
        <v>14698.146372996158</v>
      </c>
      <c r="N227" s="246">
        <f t="shared" si="9"/>
        <v>20572.942931177957</v>
      </c>
      <c r="P227" s="307"/>
      <c r="R227" s="352"/>
    </row>
    <row r="228" spans="1:18" s="165" customFormat="1" x14ac:dyDescent="0.25">
      <c r="A228" s="162">
        <f>'B) D RI'!A229</f>
        <v>5760</v>
      </c>
      <c r="B228" s="163" t="str">
        <f>'B) D RI'!B229</f>
        <v>Rances</v>
      </c>
      <c r="C228" s="347">
        <f>'B) D RI'!S229</f>
        <v>78</v>
      </c>
      <c r="D228" s="164">
        <f>'B) D RI'!AR229</f>
        <v>485</v>
      </c>
      <c r="E228" s="345">
        <f>'D) Ecrêtage'!M227</f>
        <v>10468.899999999998</v>
      </c>
      <c r="F228" s="349">
        <f>'E) Fact soc'!G233</f>
        <v>180440.33287868102</v>
      </c>
      <c r="G228" s="346">
        <f>'H) Péréquation directe'!I238</f>
        <v>-126266.90848561874</v>
      </c>
      <c r="H228" s="349">
        <f>+'I) Dépenses thématiques'!O227</f>
        <v>-245047.94241749967</v>
      </c>
      <c r="I228" s="346">
        <f>'K) Plafonnement aide'!J227</f>
        <v>0</v>
      </c>
      <c r="J228" s="349">
        <f>'J) Plafonnement effort'!I227</f>
        <v>0</v>
      </c>
      <c r="K228" s="346">
        <f>'L) Plafonnement taux'!Q228</f>
        <v>0</v>
      </c>
      <c r="L228" s="344">
        <f t="shared" si="12"/>
        <v>-190874.51802443739</v>
      </c>
      <c r="M228" s="246">
        <f>'M) Police'!O228</f>
        <v>32232.011793555223</v>
      </c>
      <c r="N228" s="246">
        <f t="shared" si="9"/>
        <v>-158642.50623088217</v>
      </c>
      <c r="P228" s="307"/>
      <c r="R228" s="352"/>
    </row>
    <row r="229" spans="1:18" s="165" customFormat="1" x14ac:dyDescent="0.25">
      <c r="A229" s="162">
        <f>'B) D RI'!A230</f>
        <v>5761</v>
      </c>
      <c r="B229" s="163" t="str">
        <f>'B) D RI'!B230</f>
        <v>Romainmôtier-Envy</v>
      </c>
      <c r="C229" s="347">
        <f>'B) D RI'!S230</f>
        <v>81</v>
      </c>
      <c r="D229" s="164">
        <f>'B) D RI'!AR230</f>
        <v>551</v>
      </c>
      <c r="E229" s="345">
        <f>'D) Ecrêtage'!M228</f>
        <v>12891.998383838385</v>
      </c>
      <c r="F229" s="349">
        <f>'E) Fact soc'!G234</f>
        <v>251761.2741865399</v>
      </c>
      <c r="G229" s="346">
        <f>'H) Péréquation directe'!I239</f>
        <v>-123197.7130088376</v>
      </c>
      <c r="H229" s="349">
        <f>+'I) Dépenses thématiques'!O228</f>
        <v>-75826.188374654535</v>
      </c>
      <c r="I229" s="346">
        <f>'K) Plafonnement aide'!J228</f>
        <v>0</v>
      </c>
      <c r="J229" s="349">
        <f>'J) Plafonnement effort'!I228</f>
        <v>0</v>
      </c>
      <c r="K229" s="346">
        <f>'L) Plafonnement taux'!Q229</f>
        <v>0</v>
      </c>
      <c r="L229" s="344">
        <f t="shared" si="12"/>
        <v>52737.372803047765</v>
      </c>
      <c r="M229" s="246">
        <f>'M) Police'!O229</f>
        <v>39831.668520524901</v>
      </c>
      <c r="N229" s="246">
        <f t="shared" si="9"/>
        <v>92569.041323572659</v>
      </c>
      <c r="P229" s="307"/>
      <c r="R229" s="352"/>
    </row>
    <row r="230" spans="1:18" s="165" customFormat="1" x14ac:dyDescent="0.25">
      <c r="A230" s="162">
        <f>'B) D RI'!A231</f>
        <v>5762</v>
      </c>
      <c r="B230" s="163" t="str">
        <f>'B) D RI'!B231</f>
        <v>Sergey</v>
      </c>
      <c r="C230" s="347">
        <f>'B) D RI'!S231</f>
        <v>78</v>
      </c>
      <c r="D230" s="164">
        <f>'B) D RI'!AR231</f>
        <v>137</v>
      </c>
      <c r="E230" s="345">
        <f>'D) Ecrêtage'!M229</f>
        <v>4039.8601282051286</v>
      </c>
      <c r="F230" s="349">
        <f>'E) Fact soc'!G235</f>
        <v>63858.700165224014</v>
      </c>
      <c r="G230" s="346">
        <f>'H) Péréquation directe'!I240</f>
        <v>10503.175825143706</v>
      </c>
      <c r="H230" s="349">
        <f>+'I) Dépenses thématiques'!O229</f>
        <v>-1591.4607769737088</v>
      </c>
      <c r="I230" s="346">
        <f>'K) Plafonnement aide'!J229</f>
        <v>0</v>
      </c>
      <c r="J230" s="349">
        <f>'J) Plafonnement effort'!I229</f>
        <v>0</v>
      </c>
      <c r="K230" s="346">
        <f>'L) Plafonnement taux'!Q230</f>
        <v>0</v>
      </c>
      <c r="L230" s="344">
        <f t="shared" si="12"/>
        <v>72770.415213394022</v>
      </c>
      <c r="M230" s="246">
        <f>'M) Police'!O230</f>
        <v>12617.402674274561</v>
      </c>
      <c r="N230" s="246">
        <f t="shared" si="9"/>
        <v>85387.817887668585</v>
      </c>
      <c r="P230" s="307"/>
      <c r="R230" s="352"/>
    </row>
    <row r="231" spans="1:18" s="165" customFormat="1" x14ac:dyDescent="0.25">
      <c r="A231" s="162">
        <f>'B) D RI'!A232</f>
        <v>5763</v>
      </c>
      <c r="B231" s="163" t="str">
        <f>'B) D RI'!B232</f>
        <v>Valeyres-sous-Rances</v>
      </c>
      <c r="C231" s="347">
        <f>'B) D RI'!S232</f>
        <v>65</v>
      </c>
      <c r="D231" s="164">
        <f>'B) D RI'!AR232</f>
        <v>631</v>
      </c>
      <c r="E231" s="345">
        <f>'D) Ecrêtage'!M230</f>
        <v>20051.556615384616</v>
      </c>
      <c r="F231" s="349">
        <f>'E) Fact soc'!G236</f>
        <v>339463.93086287304</v>
      </c>
      <c r="G231" s="346">
        <f>'H) Péréquation directe'!I241</f>
        <v>170601.82063483991</v>
      </c>
      <c r="H231" s="349">
        <f>+'I) Dépenses thématiques'!O230</f>
        <v>-115924.8718880282</v>
      </c>
      <c r="I231" s="346">
        <f>'K) Plafonnement aide'!J230</f>
        <v>0</v>
      </c>
      <c r="J231" s="349">
        <f>'J) Plafonnement effort'!I230</f>
        <v>0</v>
      </c>
      <c r="K231" s="346">
        <f>'L) Plafonnement taux'!Q231</f>
        <v>0</v>
      </c>
      <c r="L231" s="344">
        <f t="shared" si="12"/>
        <v>394140.87960968469</v>
      </c>
      <c r="M231" s="246">
        <f>'M) Police'!O231</f>
        <v>62247.829739515262</v>
      </c>
      <c r="N231" s="246">
        <f t="shared" si="9"/>
        <v>456388.70934919995</v>
      </c>
      <c r="P231" s="307"/>
      <c r="R231" s="352"/>
    </row>
    <row r="232" spans="1:18" s="165" customFormat="1" x14ac:dyDescent="0.25">
      <c r="A232" s="162">
        <f>'B) D RI'!A233</f>
        <v>5764</v>
      </c>
      <c r="B232" s="163" t="str">
        <f>'B) D RI'!B233</f>
        <v>Vallorbe</v>
      </c>
      <c r="C232" s="347">
        <f>'B) D RI'!S233</f>
        <v>73</v>
      </c>
      <c r="D232" s="164">
        <f>'B) D RI'!AR233</f>
        <v>3851</v>
      </c>
      <c r="E232" s="345">
        <f>'D) Ecrêtage'!M231</f>
        <v>83366.268356164379</v>
      </c>
      <c r="F232" s="349">
        <f>'E) Fact soc'!G237</f>
        <v>2032940.1633834571</v>
      </c>
      <c r="G232" s="346">
        <f>'H) Péréquation directe'!I242</f>
        <v>-1555365.1014462058</v>
      </c>
      <c r="H232" s="349">
        <f>+'I) Dépenses thématiques'!O231</f>
        <v>-2002438.0256245127</v>
      </c>
      <c r="I232" s="346">
        <f>'K) Plafonnement aide'!J231</f>
        <v>0</v>
      </c>
      <c r="J232" s="349">
        <f>'J) Plafonnement effort'!I231</f>
        <v>0</v>
      </c>
      <c r="K232" s="346">
        <f>'L) Plafonnement taux'!Q232</f>
        <v>0</v>
      </c>
      <c r="L232" s="344">
        <f t="shared" si="12"/>
        <v>-1524862.9636872613</v>
      </c>
      <c r="M232" s="246">
        <f>'M) Police'!O232</f>
        <v>258484.37550441906</v>
      </c>
      <c r="N232" s="246">
        <f t="shared" si="9"/>
        <v>-1266378.5881828424</v>
      </c>
      <c r="P232" s="307"/>
      <c r="R232" s="352"/>
    </row>
    <row r="233" spans="1:18" s="165" customFormat="1" x14ac:dyDescent="0.25">
      <c r="A233" s="162">
        <f>'B) D RI'!A234</f>
        <v>5765</v>
      </c>
      <c r="B233" s="163" t="str">
        <f>'B) D RI'!B234</f>
        <v>Vaulion</v>
      </c>
      <c r="C233" s="347">
        <f>'B) D RI'!S234</f>
        <v>81</v>
      </c>
      <c r="D233" s="164">
        <f>'B) D RI'!AR234</f>
        <v>482</v>
      </c>
      <c r="E233" s="345">
        <f>'D) Ecrêtage'!M232</f>
        <v>9587.663333333332</v>
      </c>
      <c r="F233" s="349">
        <f>'E) Fact soc'!G238</f>
        <v>167988.21464778448</v>
      </c>
      <c r="G233" s="346">
        <f>'H) Péréquation directe'!I243</f>
        <v>-183036.99068351369</v>
      </c>
      <c r="H233" s="349">
        <f>+'I) Dépenses thématiques'!O232</f>
        <v>-166733.74399058265</v>
      </c>
      <c r="I233" s="346">
        <f>'K) Plafonnement aide'!J232</f>
        <v>0</v>
      </c>
      <c r="J233" s="349">
        <f>'J) Plafonnement effort'!I232</f>
        <v>0</v>
      </c>
      <c r="K233" s="346">
        <f>'L) Plafonnement taux'!Q233</f>
        <v>0</v>
      </c>
      <c r="L233" s="344">
        <f t="shared" si="12"/>
        <v>-181782.52002631186</v>
      </c>
      <c r="M233" s="246">
        <f>'M) Police'!O233</f>
        <v>29668.242868939778</v>
      </c>
      <c r="N233" s="246">
        <f t="shared" si="9"/>
        <v>-152114.2771573721</v>
      </c>
      <c r="P233" s="307"/>
      <c r="R233" s="352"/>
    </row>
    <row r="234" spans="1:18" s="165" customFormat="1" x14ac:dyDescent="0.25">
      <c r="A234" s="162">
        <f>'B) D RI'!A235</f>
        <v>5766</v>
      </c>
      <c r="B234" s="163" t="str">
        <f>'B) D RI'!B235</f>
        <v>Vuiteboeuf</v>
      </c>
      <c r="C234" s="347">
        <f>'B) D RI'!S235</f>
        <v>77</v>
      </c>
      <c r="D234" s="164">
        <f>'B) D RI'!AR235</f>
        <v>574</v>
      </c>
      <c r="E234" s="345">
        <f>'D) Ecrêtage'!M233</f>
        <v>13049.547402597404</v>
      </c>
      <c r="F234" s="349">
        <f>'E) Fact soc'!G239</f>
        <v>241647.72267559939</v>
      </c>
      <c r="G234" s="346">
        <f>'H) Péréquation directe'!I244</f>
        <v>-113518.58514657046</v>
      </c>
      <c r="H234" s="349">
        <f>+'I) Dépenses thématiques'!O233</f>
        <v>-85683.346948168561</v>
      </c>
      <c r="I234" s="346">
        <f>'K) Plafonnement aide'!J233</f>
        <v>0</v>
      </c>
      <c r="J234" s="349">
        <f>'J) Plafonnement effort'!I233</f>
        <v>0</v>
      </c>
      <c r="K234" s="346">
        <f>'L) Plafonnement taux'!Q234</f>
        <v>0</v>
      </c>
      <c r="L234" s="344">
        <f t="shared" si="12"/>
        <v>42445.790580860368</v>
      </c>
      <c r="M234" s="246">
        <f>'M) Police'!O234</f>
        <v>40361.46011742211</v>
      </c>
      <c r="N234" s="246">
        <f t="shared" si="9"/>
        <v>82807.250698282471</v>
      </c>
      <c r="P234" s="307"/>
      <c r="R234" s="352"/>
    </row>
    <row r="235" spans="1:18" s="165" customFormat="1" x14ac:dyDescent="0.25">
      <c r="A235" s="162">
        <f>'B) D RI'!A236</f>
        <v>5785</v>
      </c>
      <c r="B235" s="163" t="str">
        <f>'B) D RI'!B236</f>
        <v>Corcelles-le-Jorat</v>
      </c>
      <c r="C235" s="347">
        <f>'B) D RI'!S236</f>
        <v>77</v>
      </c>
      <c r="D235" s="164">
        <f>'B) D RI'!AR236</f>
        <v>460</v>
      </c>
      <c r="E235" s="345">
        <f>'D) Ecrêtage'!M234</f>
        <v>15263.245714285717</v>
      </c>
      <c r="F235" s="349">
        <f>'E) Fact soc'!G240</f>
        <v>264866.27870905271</v>
      </c>
      <c r="G235" s="346">
        <f>'H) Péréquation directe'!I245</f>
        <v>110996.81553390407</v>
      </c>
      <c r="H235" s="349">
        <f>+'I) Dépenses thématiques'!O234</f>
        <v>-5310.294252163224</v>
      </c>
      <c r="I235" s="346">
        <f>'K) Plafonnement aide'!J234</f>
        <v>0</v>
      </c>
      <c r="J235" s="349">
        <f>'J) Plafonnement effort'!I234</f>
        <v>0</v>
      </c>
      <c r="K235" s="346">
        <f>'L) Plafonnement taux'!Q235</f>
        <v>0</v>
      </c>
      <c r="L235" s="344">
        <f t="shared" si="12"/>
        <v>370552.79999079357</v>
      </c>
      <c r="M235" s="246">
        <f>'M) Police'!O235</f>
        <v>47730.314766527903</v>
      </c>
      <c r="N235" s="246">
        <f t="shared" si="9"/>
        <v>418283.11475732148</v>
      </c>
      <c r="P235" s="307"/>
      <c r="R235" s="352"/>
    </row>
    <row r="236" spans="1:18" s="165" customFormat="1" x14ac:dyDescent="0.25">
      <c r="A236" s="162">
        <f>'B) D RI'!A237</f>
        <v>5788</v>
      </c>
      <c r="B236" s="163" t="str">
        <f>'B) D RI'!B237</f>
        <v>Essertes</v>
      </c>
      <c r="C236" s="347">
        <f>'B) D RI'!S237</f>
        <v>72</v>
      </c>
      <c r="D236" s="164">
        <f>'B) D RI'!AR237</f>
        <v>346</v>
      </c>
      <c r="E236" s="345">
        <f>'D) Ecrêtage'!M235</f>
        <v>11561.131666666668</v>
      </c>
      <c r="F236" s="349">
        <f>'E) Fact soc'!G241</f>
        <v>235411.52447845467</v>
      </c>
      <c r="G236" s="346">
        <f>'H) Péréquation directe'!I246</f>
        <v>98519.46867784299</v>
      </c>
      <c r="H236" s="349">
        <f>+'I) Dépenses thématiques'!O235</f>
        <v>-15093.514452744535</v>
      </c>
      <c r="I236" s="346">
        <f>'K) Plafonnement aide'!J235</f>
        <v>0</v>
      </c>
      <c r="J236" s="349">
        <f>'J) Plafonnement effort'!I235</f>
        <v>0</v>
      </c>
      <c r="K236" s="346">
        <f>'L) Plafonnement taux'!Q236</f>
        <v>0</v>
      </c>
      <c r="L236" s="344">
        <f t="shared" si="12"/>
        <v>318837.47870355315</v>
      </c>
      <c r="M236" s="246">
        <f>'M) Police'!O236</f>
        <v>35893.823565530925</v>
      </c>
      <c r="N236" s="246">
        <f t="shared" si="9"/>
        <v>354731.30226908409</v>
      </c>
      <c r="P236" s="307"/>
      <c r="R236" s="352"/>
    </row>
    <row r="237" spans="1:18" s="165" customFormat="1" x14ac:dyDescent="0.25">
      <c r="A237" s="162">
        <f>'B) D RI'!A238</f>
        <v>5790</v>
      </c>
      <c r="B237" s="163" t="str">
        <f>'B) D RI'!B238</f>
        <v>Maracon</v>
      </c>
      <c r="C237" s="347">
        <f>'B) D RI'!S238</f>
        <v>76</v>
      </c>
      <c r="D237" s="164">
        <f>'B) D RI'!AR238</f>
        <v>477</v>
      </c>
      <c r="E237" s="345">
        <f>'D) Ecrêtage'!M236</f>
        <v>12108.806973684212</v>
      </c>
      <c r="F237" s="349">
        <f>'E) Fact soc'!G242</f>
        <v>237511.6860228951</v>
      </c>
      <c r="G237" s="346">
        <f>'H) Péréquation directe'!I247</f>
        <v>-35565.007682898897</v>
      </c>
      <c r="H237" s="349">
        <f>+'I) Dépenses thématiques'!O236</f>
        <v>-112197.75772031625</v>
      </c>
      <c r="I237" s="346">
        <f>'K) Plafonnement aide'!J236</f>
        <v>0</v>
      </c>
      <c r="J237" s="349">
        <f>'J) Plafonnement effort'!I236</f>
        <v>0</v>
      </c>
      <c r="K237" s="346">
        <f>'L) Plafonnement taux'!Q237</f>
        <v>0</v>
      </c>
      <c r="L237" s="344">
        <f t="shared" si="12"/>
        <v>89748.92061967995</v>
      </c>
      <c r="M237" s="246">
        <f>'M) Police'!O237</f>
        <v>37284.563240371936</v>
      </c>
      <c r="N237" s="246">
        <f t="shared" si="9"/>
        <v>127033.48386005189</v>
      </c>
      <c r="P237" s="307"/>
      <c r="R237" s="352"/>
    </row>
    <row r="238" spans="1:18" s="165" customFormat="1" x14ac:dyDescent="0.25">
      <c r="A238" s="162">
        <f>'B) D RI'!A239</f>
        <v>5792</v>
      </c>
      <c r="B238" s="163" t="str">
        <f>'B) D RI'!B239</f>
        <v>Montpreveyres</v>
      </c>
      <c r="C238" s="347">
        <f>'B) D RI'!S239</f>
        <v>77</v>
      </c>
      <c r="D238" s="164">
        <f>'B) D RI'!AR239</f>
        <v>648</v>
      </c>
      <c r="E238" s="345">
        <f>'D) Ecrêtage'!M237</f>
        <v>17523.35194805195</v>
      </c>
      <c r="F238" s="349">
        <f>'E) Fact soc'!G243</f>
        <v>324249.03204841894</v>
      </c>
      <c r="G238" s="346">
        <f>'H) Péréquation directe'!I248</f>
        <v>-10829.488745180424</v>
      </c>
      <c r="H238" s="349">
        <f>+'I) Dépenses thématiques'!O237</f>
        <v>-91083.29985176734</v>
      </c>
      <c r="I238" s="346">
        <f>'K) Plafonnement aide'!J237</f>
        <v>0</v>
      </c>
      <c r="J238" s="349">
        <f>'J) Plafonnement effort'!I237</f>
        <v>0</v>
      </c>
      <c r="K238" s="346">
        <f>'L) Plafonnement taux'!Q238</f>
        <v>0</v>
      </c>
      <c r="L238" s="344">
        <f t="shared" si="12"/>
        <v>222336.24345147118</v>
      </c>
      <c r="M238" s="246">
        <f>'M) Police'!O238</f>
        <v>54127.577326825631</v>
      </c>
      <c r="N238" s="246">
        <f t="shared" si="9"/>
        <v>276463.82077829679</v>
      </c>
      <c r="P238" s="307"/>
      <c r="R238" s="352"/>
    </row>
    <row r="239" spans="1:18" s="165" customFormat="1" x14ac:dyDescent="0.25">
      <c r="A239" s="162">
        <f>'B) D RI'!A240</f>
        <v>5798</v>
      </c>
      <c r="B239" s="163" t="str">
        <f>'B) D RI'!B240</f>
        <v>Ropraz</v>
      </c>
      <c r="C239" s="347">
        <f>'B) D RI'!S240</f>
        <v>77.5</v>
      </c>
      <c r="D239" s="164">
        <f>'B) D RI'!AR240</f>
        <v>450</v>
      </c>
      <c r="E239" s="345">
        <f>'D) Ecrêtage'!M238</f>
        <v>14095.640645161293</v>
      </c>
      <c r="F239" s="349">
        <f>'E) Fact soc'!G244</f>
        <v>264744.90352427377</v>
      </c>
      <c r="G239" s="346">
        <f>'H) Péréquation directe'!I249</f>
        <v>71596.584776756965</v>
      </c>
      <c r="H239" s="349">
        <f>+'I) Dépenses thématiques'!O238</f>
        <v>-79892.200252105744</v>
      </c>
      <c r="I239" s="346">
        <f>'K) Plafonnement aide'!J238</f>
        <v>0</v>
      </c>
      <c r="J239" s="349">
        <f>'J) Plafonnement effort'!I238</f>
        <v>0</v>
      </c>
      <c r="K239" s="346">
        <f>'L) Plafonnement taux'!Q239</f>
        <v>0</v>
      </c>
      <c r="L239" s="344">
        <f t="shared" si="12"/>
        <v>256449.28804892497</v>
      </c>
      <c r="M239" s="246">
        <f>'M) Police'!O239</f>
        <v>43916.435136881679</v>
      </c>
      <c r="N239" s="246">
        <f t="shared" si="9"/>
        <v>300365.72318580665</v>
      </c>
      <c r="P239" s="307"/>
      <c r="R239" s="352"/>
    </row>
    <row r="240" spans="1:18" s="165" customFormat="1" x14ac:dyDescent="0.25">
      <c r="A240" s="162">
        <f>'B) D RI'!A241</f>
        <v>5799</v>
      </c>
      <c r="B240" s="163" t="str">
        <f>'B) D RI'!B241</f>
        <v>Servion</v>
      </c>
      <c r="C240" s="347">
        <f>'B) D RI'!S241</f>
        <v>69</v>
      </c>
      <c r="D240" s="164">
        <f>'B) D RI'!AR241</f>
        <v>1904</v>
      </c>
      <c r="E240" s="345">
        <f>'D) Ecrêtage'!M239</f>
        <v>65741.847101449268</v>
      </c>
      <c r="F240" s="349">
        <f>'E) Fact soc'!G245</f>
        <v>1110739.9246754455</v>
      </c>
      <c r="G240" s="346">
        <f>'H) Péréquation directe'!I250</f>
        <v>434612.73723747162</v>
      </c>
      <c r="H240" s="349">
        <f>+'I) Dépenses thématiques'!O239</f>
        <v>-188485.34346490735</v>
      </c>
      <c r="I240" s="346">
        <f>'K) Plafonnement aide'!J239</f>
        <v>0</v>
      </c>
      <c r="J240" s="349">
        <f>'J) Plafonnement effort'!I239</f>
        <v>0</v>
      </c>
      <c r="K240" s="346">
        <f>'L) Plafonnement taux'!Q240</f>
        <v>0</v>
      </c>
      <c r="L240" s="344">
        <f t="shared" si="12"/>
        <v>1356867.3184480099</v>
      </c>
      <c r="M240" s="246">
        <f>'M) Police'!O240</f>
        <v>202949.88443269226</v>
      </c>
      <c r="N240" s="246">
        <f t="shared" si="9"/>
        <v>1559817.2028807022</v>
      </c>
      <c r="P240" s="307"/>
      <c r="R240" s="352"/>
    </row>
    <row r="241" spans="1:18" s="165" customFormat="1" x14ac:dyDescent="0.25">
      <c r="A241" s="162">
        <f>'B) D RI'!A242</f>
        <v>5803</v>
      </c>
      <c r="B241" s="163" t="str">
        <f>'B) D RI'!B242</f>
        <v>Vulliens</v>
      </c>
      <c r="C241" s="347">
        <f>'B) D RI'!S242</f>
        <v>78</v>
      </c>
      <c r="D241" s="164">
        <f>'B) D RI'!AR242</f>
        <v>515</v>
      </c>
      <c r="E241" s="345">
        <f>'D) Ecrêtage'!M240</f>
        <v>15644.362692307694</v>
      </c>
      <c r="F241" s="349">
        <f>'E) Fact soc'!G246</f>
        <v>279215.43554320635</v>
      </c>
      <c r="G241" s="346">
        <f>'H) Péréquation directe'!I251</f>
        <v>59015.328937742568</v>
      </c>
      <c r="H241" s="349">
        <f>+'I) Dépenses thématiques'!O240</f>
        <v>-16495.024075673238</v>
      </c>
      <c r="I241" s="346">
        <f>'K) Plafonnement aide'!J240</f>
        <v>0</v>
      </c>
      <c r="J241" s="349">
        <f>'J) Plafonnement effort'!I240</f>
        <v>0</v>
      </c>
      <c r="K241" s="346">
        <f>'L) Plafonnement taux'!Q241</f>
        <v>0</v>
      </c>
      <c r="L241" s="344">
        <f t="shared" si="12"/>
        <v>321735.74040527566</v>
      </c>
      <c r="M241" s="246">
        <f>'M) Police'!O241</f>
        <v>48629.653174160238</v>
      </c>
      <c r="N241" s="246">
        <f t="shared" si="9"/>
        <v>370365.39357943588</v>
      </c>
      <c r="P241" s="307"/>
      <c r="R241" s="352"/>
    </row>
    <row r="242" spans="1:18" s="165" customFormat="1" x14ac:dyDescent="0.25">
      <c r="A242" s="162">
        <f>'B) D RI'!A243</f>
        <v>5804</v>
      </c>
      <c r="B242" s="163" t="str">
        <f>'B) D RI'!B243</f>
        <v>Jorat-Menthue</v>
      </c>
      <c r="C242" s="347">
        <f>'B) D RI'!S243</f>
        <v>72</v>
      </c>
      <c r="D242" s="164">
        <f>'B) D RI'!AR243</f>
        <v>1532</v>
      </c>
      <c r="E242" s="345">
        <f>'D) Ecrêtage'!M241</f>
        <v>47020.955555555549</v>
      </c>
      <c r="F242" s="349">
        <f>'E) Fact soc'!G247</f>
        <v>827870.83574876795</v>
      </c>
      <c r="G242" s="346">
        <f>'H) Péréquation directe'!I252</f>
        <v>141943.62927042798</v>
      </c>
      <c r="H242" s="349">
        <f>+'I) Dépenses thématiques'!O241</f>
        <v>-574208.3199829763</v>
      </c>
      <c r="I242" s="346">
        <f>'K) Plafonnement aide'!J241</f>
        <v>0</v>
      </c>
      <c r="J242" s="349">
        <f>'J) Plafonnement effort'!I241</f>
        <v>0</v>
      </c>
      <c r="K242" s="346">
        <f>'L) Plafonnement taux'!Q242</f>
        <v>0</v>
      </c>
      <c r="L242" s="344">
        <f>F242+G242+H242+I242+J242+K242</f>
        <v>395606.14503621962</v>
      </c>
      <c r="M242" s="246">
        <f>'M) Police'!O242</f>
        <v>145336.07321300838</v>
      </c>
      <c r="N242" s="246">
        <f t="shared" si="9"/>
        <v>540942.21824922797</v>
      </c>
      <c r="P242" s="307"/>
      <c r="R242" s="352"/>
    </row>
    <row r="243" spans="1:18" s="165" customFormat="1" x14ac:dyDescent="0.25">
      <c r="A243" s="162">
        <f>'B) D RI'!A244</f>
        <v>5805</v>
      </c>
      <c r="B243" s="163" t="str">
        <f>'B) D RI'!B244</f>
        <v>Oron</v>
      </c>
      <c r="C243" s="347">
        <f>'B) D RI'!S244</f>
        <v>69</v>
      </c>
      <c r="D243" s="164">
        <f>'B) D RI'!AR244</f>
        <v>5463</v>
      </c>
      <c r="E243" s="345">
        <f>'D) Ecrêtage'!M242</f>
        <v>148409.14060606057</v>
      </c>
      <c r="F243" s="349">
        <f>'E) Fact soc'!G248</f>
        <v>2676047.4748714445</v>
      </c>
      <c r="G243" s="346">
        <f>'H) Péréquation directe'!I253</f>
        <v>-1129256.4057064056</v>
      </c>
      <c r="H243" s="349">
        <f>+'I) Dépenses thématiques'!O242</f>
        <v>-981870.06373564573</v>
      </c>
      <c r="I243" s="346">
        <f>'K) Plafonnement aide'!J242</f>
        <v>0</v>
      </c>
      <c r="J243" s="349">
        <f>'J) Plafonnement effort'!I242</f>
        <v>0</v>
      </c>
      <c r="K243" s="346">
        <f>'L) Plafonnement taux'!Q243</f>
        <v>0</v>
      </c>
      <c r="L243" s="344">
        <f>F243+G243+H243+I243+J243+K243</f>
        <v>564921.00542939315</v>
      </c>
      <c r="M243" s="246">
        <f>'M) Police'!O243</f>
        <v>454941.13398129155</v>
      </c>
      <c r="N243" s="246">
        <f t="shared" si="9"/>
        <v>1019862.1394106847</v>
      </c>
      <c r="P243" s="307"/>
      <c r="R243" s="352"/>
    </row>
    <row r="244" spans="1:18" s="165" customFormat="1" x14ac:dyDescent="0.25">
      <c r="A244" s="162">
        <f>'B) D RI'!A245</f>
        <v>5806</v>
      </c>
      <c r="B244" s="163" t="str">
        <f>'B) D RI'!B245</f>
        <v>Jorat-Mézières</v>
      </c>
      <c r="C244" s="347">
        <f>'B) D RI'!S245</f>
        <v>76</v>
      </c>
      <c r="D244" s="164">
        <f>'B) D RI'!AR245</f>
        <v>2850</v>
      </c>
      <c r="E244" s="345">
        <f>'D) Ecrêtage'!M243</f>
        <v>86246.382763157875</v>
      </c>
      <c r="F244" s="349">
        <f>'E) Fact soc'!G249</f>
        <v>1543554.7027185629</v>
      </c>
      <c r="G244" s="346">
        <f>'H) Péréquation directe'!I254</f>
        <v>-93720.613729736069</v>
      </c>
      <c r="H244" s="349">
        <f>+'I) Dépenses thématiques'!O243</f>
        <v>-338543.98385422904</v>
      </c>
      <c r="I244" s="346">
        <f>'K) Plafonnement aide'!J243</f>
        <v>0</v>
      </c>
      <c r="J244" s="349">
        <f>'J) Plafonnement effort'!I243</f>
        <v>0</v>
      </c>
      <c r="K244" s="346">
        <f>'L) Plafonnement taux'!Q244</f>
        <v>0</v>
      </c>
      <c r="L244" s="344">
        <f>F244+G244+H244+I244+J244+K244</f>
        <v>1111290.1051345977</v>
      </c>
      <c r="M244" s="246">
        <f>'M) Police'!O244</f>
        <v>266149.15956178197</v>
      </c>
      <c r="N244" s="246">
        <f t="shared" ref="N244" si="13">L244+M244</f>
        <v>1377439.2646963797</v>
      </c>
      <c r="P244" s="307"/>
      <c r="R244" s="352"/>
    </row>
    <row r="245" spans="1:18" s="165" customFormat="1" x14ac:dyDescent="0.25">
      <c r="A245" s="162">
        <f>'B) D RI'!A246</f>
        <v>5812</v>
      </c>
      <c r="B245" s="163" t="str">
        <f>'B) D RI'!B246</f>
        <v>Champtauroz</v>
      </c>
      <c r="C245" s="347">
        <f>'B) D RI'!S246</f>
        <v>77</v>
      </c>
      <c r="D245" s="164">
        <f>'B) D RI'!AR246</f>
        <v>128</v>
      </c>
      <c r="E245" s="345">
        <f>'D) Ecrêtage'!M244</f>
        <v>2413.8557792207789</v>
      </c>
      <c r="F245" s="349">
        <f>'E) Fact soc'!G250</f>
        <v>49924.327134521453</v>
      </c>
      <c r="G245" s="346">
        <f>'H) Péréquation directe'!I255</f>
        <v>-46167.14409697181</v>
      </c>
      <c r="H245" s="349">
        <f>+'I) Dépenses thématiques'!O244</f>
        <v>-37017.266254996946</v>
      </c>
      <c r="I245" s="346">
        <f>'K) Plafonnement aide'!J244</f>
        <v>0</v>
      </c>
      <c r="J245" s="349">
        <f>'J) Plafonnement effort'!I244</f>
        <v>0</v>
      </c>
      <c r="K245" s="346">
        <f>'L) Plafonnement taux'!Q245</f>
        <v>0</v>
      </c>
      <c r="L245" s="344">
        <f t="shared" si="12"/>
        <v>-33260.083217447303</v>
      </c>
      <c r="M245" s="246">
        <f>'M) Police'!O245</f>
        <v>7399.191254008234</v>
      </c>
      <c r="N245" s="246">
        <f t="shared" si="9"/>
        <v>-25860.89196343907</v>
      </c>
      <c r="P245" s="307"/>
      <c r="R245" s="352"/>
    </row>
    <row r="246" spans="1:18" s="165" customFormat="1" x14ac:dyDescent="0.25">
      <c r="A246" s="162">
        <f>'B) D RI'!A247</f>
        <v>5813</v>
      </c>
      <c r="B246" s="163" t="str">
        <f>'B) D RI'!B247</f>
        <v>Chevroux</v>
      </c>
      <c r="C246" s="347">
        <f>'B) D RI'!S247</f>
        <v>70</v>
      </c>
      <c r="D246" s="164">
        <f>'B) D RI'!AR247</f>
        <v>470</v>
      </c>
      <c r="E246" s="345">
        <f>'D) Ecrêtage'!M245</f>
        <v>13303.445833333333</v>
      </c>
      <c r="F246" s="349">
        <f>'E) Fact soc'!G251</f>
        <v>277670.89785740804</v>
      </c>
      <c r="G246" s="346">
        <f>'H) Péréquation directe'!I256</f>
        <v>48755.334838630544</v>
      </c>
      <c r="H246" s="349">
        <f>+'I) Dépenses thématiques'!O245</f>
        <v>-16245.090779628987</v>
      </c>
      <c r="I246" s="346">
        <f>'K) Plafonnement aide'!J245</f>
        <v>0</v>
      </c>
      <c r="J246" s="349">
        <f>'J) Plafonnement effort'!I245</f>
        <v>0</v>
      </c>
      <c r="K246" s="346">
        <f>'L) Plafonnement taux'!Q246</f>
        <v>0</v>
      </c>
      <c r="L246" s="344">
        <f t="shared" si="12"/>
        <v>310181.14191640954</v>
      </c>
      <c r="M246" s="246">
        <f>'M) Police'!O246</f>
        <v>40905.896418421107</v>
      </c>
      <c r="N246" s="246">
        <f t="shared" si="9"/>
        <v>351087.03833483066</v>
      </c>
      <c r="P246" s="307"/>
      <c r="R246" s="352"/>
    </row>
    <row r="247" spans="1:18" s="165" customFormat="1" x14ac:dyDescent="0.25">
      <c r="A247" s="162">
        <f>'B) D RI'!A248</f>
        <v>5816</v>
      </c>
      <c r="B247" s="163" t="str">
        <f>'B) D RI'!B248</f>
        <v>Corcelles-près-Payerne</v>
      </c>
      <c r="C247" s="347">
        <f>'B) D RI'!S248</f>
        <v>72</v>
      </c>
      <c r="D247" s="164">
        <f>'B) D RI'!AR248</f>
        <v>2448</v>
      </c>
      <c r="E247" s="345">
        <f>'D) Ecrêtage'!M246</f>
        <v>57954.816904761909</v>
      </c>
      <c r="F247" s="349">
        <f>'E) Fact soc'!G252</f>
        <v>1028848.2769847336</v>
      </c>
      <c r="G247" s="346">
        <f>'H) Péréquation directe'!I257</f>
        <v>-592127.99611136038</v>
      </c>
      <c r="H247" s="349">
        <f>+'I) Dépenses thématiques'!O246</f>
        <v>-287405.77640017087</v>
      </c>
      <c r="I247" s="346">
        <f>'K) Plafonnement aide'!J246</f>
        <v>0</v>
      </c>
      <c r="J247" s="349">
        <f>'J) Plafonnement effort'!I246</f>
        <v>0</v>
      </c>
      <c r="K247" s="346">
        <f>'L) Plafonnement taux'!Q247</f>
        <v>0</v>
      </c>
      <c r="L247" s="344">
        <f t="shared" si="12"/>
        <v>149314.5044732024</v>
      </c>
      <c r="M247" s="246">
        <f>'M) Police'!O247</f>
        <v>178104.08879155116</v>
      </c>
      <c r="N247" s="246">
        <f t="shared" si="9"/>
        <v>327418.59326475358</v>
      </c>
      <c r="P247" s="307"/>
      <c r="R247" s="352"/>
    </row>
    <row r="248" spans="1:18" s="165" customFormat="1" x14ac:dyDescent="0.25">
      <c r="A248" s="162">
        <f>'B) D RI'!A249</f>
        <v>5817</v>
      </c>
      <c r="B248" s="163" t="str">
        <f>'B) D RI'!B249</f>
        <v>Grandcour</v>
      </c>
      <c r="C248" s="347">
        <f>'B) D RI'!S249</f>
        <v>79.5</v>
      </c>
      <c r="D248" s="164">
        <f>'B) D RI'!AR249</f>
        <v>890</v>
      </c>
      <c r="E248" s="345">
        <f>'D) Ecrêtage'!M247</f>
        <v>22248.358742138364</v>
      </c>
      <c r="F248" s="349">
        <f>'E) Fact soc'!G253</f>
        <v>397309.38300139492</v>
      </c>
      <c r="G248" s="346">
        <f>'H) Péréquation directe'!I258</f>
        <v>-118702.59881457337</v>
      </c>
      <c r="H248" s="349">
        <f>+'I) Dépenses thématiques'!O247</f>
        <v>-109899.04972467622</v>
      </c>
      <c r="I248" s="346">
        <f>'K) Plafonnement aide'!J247</f>
        <v>0</v>
      </c>
      <c r="J248" s="349">
        <f>'J) Plafonnement effort'!I247</f>
        <v>0</v>
      </c>
      <c r="K248" s="346">
        <f>'L) Plafonnement taux'!Q248</f>
        <v>0</v>
      </c>
      <c r="L248" s="344">
        <f t="shared" si="12"/>
        <v>168707.73446214531</v>
      </c>
      <c r="M248" s="246">
        <f>'M) Police'!O248</f>
        <v>69279.436182257137</v>
      </c>
      <c r="N248" s="246">
        <f t="shared" si="9"/>
        <v>237987.17064440245</v>
      </c>
      <c r="P248" s="307"/>
      <c r="R248" s="352"/>
    </row>
    <row r="249" spans="1:18" s="165" customFormat="1" x14ac:dyDescent="0.25">
      <c r="A249" s="162">
        <f>'B) D RI'!A250</f>
        <v>5819</v>
      </c>
      <c r="B249" s="163" t="str">
        <f>'B) D RI'!B250</f>
        <v>Henniez</v>
      </c>
      <c r="C249" s="347">
        <f>'B) D RI'!S250</f>
        <v>69</v>
      </c>
      <c r="D249" s="164">
        <f>'B) D RI'!AR250</f>
        <v>359</v>
      </c>
      <c r="E249" s="345">
        <f>'D) Ecrêtage'!M248</f>
        <v>14874.063333333332</v>
      </c>
      <c r="F249" s="349">
        <f>'E) Fact soc'!G254</f>
        <v>258546.23857148798</v>
      </c>
      <c r="G249" s="346">
        <f>'H) Péréquation directe'!I259</f>
        <v>216717.00619673473</v>
      </c>
      <c r="H249" s="349">
        <f>+'I) Dépenses thématiques'!O248</f>
        <v>-46063.072190819337</v>
      </c>
      <c r="I249" s="346">
        <f>'K) Plafonnement aide'!J248</f>
        <v>0</v>
      </c>
      <c r="J249" s="349">
        <f>'J) Plafonnement effort'!I248</f>
        <v>0</v>
      </c>
      <c r="K249" s="346">
        <f>'L) Plafonnement taux'!Q249</f>
        <v>0</v>
      </c>
      <c r="L249" s="344">
        <f t="shared" si="12"/>
        <v>429200.17257740337</v>
      </c>
      <c r="M249" s="246">
        <f>'M) Police'!O249</f>
        <v>45818.163646767338</v>
      </c>
      <c r="N249" s="246">
        <f t="shared" si="9"/>
        <v>475018.33622417069</v>
      </c>
      <c r="P249" s="307"/>
      <c r="R249" s="352"/>
    </row>
    <row r="250" spans="1:18" s="165" customFormat="1" x14ac:dyDescent="0.25">
      <c r="A250" s="162">
        <f>'B) D RI'!A251</f>
        <v>5821</v>
      </c>
      <c r="B250" s="163" t="str">
        <f>'B) D RI'!B251</f>
        <v>Missy</v>
      </c>
      <c r="C250" s="347">
        <f>'B) D RI'!S251</f>
        <v>72</v>
      </c>
      <c r="D250" s="164">
        <f>'B) D RI'!AR251</f>
        <v>352</v>
      </c>
      <c r="E250" s="345">
        <f>'D) Ecrêtage'!M249</f>
        <v>7639.0673611111124</v>
      </c>
      <c r="F250" s="349">
        <f>'E) Fact soc'!G255</f>
        <v>121378.18226160484</v>
      </c>
      <c r="G250" s="346">
        <f>'H) Péréquation directe'!I260</f>
        <v>-60846.249003961129</v>
      </c>
      <c r="H250" s="349">
        <f>+'I) Dépenses thématiques'!O249</f>
        <v>-16994.197059062077</v>
      </c>
      <c r="I250" s="346">
        <f>'K) Plafonnement aide'!J249</f>
        <v>0</v>
      </c>
      <c r="J250" s="349">
        <f>'J) Plafonnement effort'!I249</f>
        <v>0</v>
      </c>
      <c r="K250" s="346">
        <f>'L) Plafonnement taux'!Q250</f>
        <v>0</v>
      </c>
      <c r="L250" s="344">
        <f t="shared" si="12"/>
        <v>43537.736198581639</v>
      </c>
      <c r="M250" s="246">
        <f>'M) Police'!O250</f>
        <v>23352.578284262167</v>
      </c>
      <c r="N250" s="246">
        <f t="shared" si="9"/>
        <v>66890.314482843809</v>
      </c>
      <c r="P250" s="307"/>
      <c r="R250" s="352"/>
    </row>
    <row r="251" spans="1:18" s="165" customFormat="1" x14ac:dyDescent="0.25">
      <c r="A251" s="162">
        <f>'B) D RI'!A252</f>
        <v>5822</v>
      </c>
      <c r="B251" s="163" t="str">
        <f>'B) D RI'!B252</f>
        <v>Payerne</v>
      </c>
      <c r="C251" s="347">
        <f>'B) D RI'!S252</f>
        <v>75</v>
      </c>
      <c r="D251" s="164">
        <f>'B) D RI'!AR252</f>
        <v>9716</v>
      </c>
      <c r="E251" s="345">
        <f>'D) Ecrêtage'!M250</f>
        <v>246397.68826666669</v>
      </c>
      <c r="F251" s="349">
        <f>'E) Fact soc'!G256</f>
        <v>4411743.234723418</v>
      </c>
      <c r="G251" s="346">
        <f>'H) Péréquation directe'!I261</f>
        <v>-4412099.8725093966</v>
      </c>
      <c r="H251" s="349">
        <f>+'I) Dépenses thématiques'!O250</f>
        <v>-1241838.6014002019</v>
      </c>
      <c r="I251" s="346">
        <f>'K) Plafonnement aide'!J250</f>
        <v>0</v>
      </c>
      <c r="J251" s="349">
        <f>'J) Plafonnement effort'!I250</f>
        <v>0</v>
      </c>
      <c r="K251" s="346">
        <f>'L) Plafonnement taux'!Q251</f>
        <v>0</v>
      </c>
      <c r="L251" s="344">
        <f t="shared" si="12"/>
        <v>-1242195.2391861805</v>
      </c>
      <c r="M251" s="246">
        <f>'M) Police'!O251</f>
        <v>760173.83106664615</v>
      </c>
      <c r="N251" s="246">
        <f t="shared" si="9"/>
        <v>-482021.40811953438</v>
      </c>
      <c r="P251" s="307"/>
      <c r="R251" s="352"/>
    </row>
    <row r="252" spans="1:18" s="165" customFormat="1" x14ac:dyDescent="0.25">
      <c r="A252" s="162">
        <f>'B) D RI'!A253</f>
        <v>5827</v>
      </c>
      <c r="B252" s="163" t="str">
        <f>'B) D RI'!B253</f>
        <v>Trey</v>
      </c>
      <c r="C252" s="347">
        <f>'B) D RI'!S253</f>
        <v>80</v>
      </c>
      <c r="D252" s="164">
        <f>'B) D RI'!AR253</f>
        <v>268</v>
      </c>
      <c r="E252" s="345">
        <f>'D) Ecrêtage'!M251</f>
        <v>6752.2672499999999</v>
      </c>
      <c r="F252" s="349">
        <f>'E) Fact soc'!G257</f>
        <v>116664.19303053818</v>
      </c>
      <c r="G252" s="346">
        <f>'H) Péréquation directe'!I262</f>
        <v>-35107.774741204878</v>
      </c>
      <c r="H252" s="349">
        <f>+'I) Dépenses thématiques'!O251</f>
        <v>-51792.75956439635</v>
      </c>
      <c r="I252" s="346">
        <f>'K) Plafonnement aide'!J251</f>
        <v>0</v>
      </c>
      <c r="J252" s="349">
        <f>'J) Plafonnement effort'!I251</f>
        <v>0</v>
      </c>
      <c r="K252" s="346">
        <f>'L) Plafonnement taux'!Q252</f>
        <v>0</v>
      </c>
      <c r="L252" s="344">
        <f t="shared" si="12"/>
        <v>29763.658724936955</v>
      </c>
      <c r="M252" s="246">
        <f>'M) Police'!O252</f>
        <v>20996.878430317069</v>
      </c>
      <c r="N252" s="246">
        <f t="shared" si="9"/>
        <v>50760.537155254024</v>
      </c>
      <c r="P252" s="307"/>
      <c r="R252" s="352"/>
    </row>
    <row r="253" spans="1:18" s="165" customFormat="1" x14ac:dyDescent="0.25">
      <c r="A253" s="162">
        <f>'B) D RI'!A254</f>
        <v>5828</v>
      </c>
      <c r="B253" s="163" t="str">
        <f>'B) D RI'!B254</f>
        <v>Treytorrens (Payerne)</v>
      </c>
      <c r="C253" s="347">
        <f>'B) D RI'!S254</f>
        <v>84</v>
      </c>
      <c r="D253" s="164">
        <f>'B) D RI'!AR254</f>
        <v>122</v>
      </c>
      <c r="E253" s="345">
        <f>'D) Ecrêtage'!M252</f>
        <v>2280.7091269841271</v>
      </c>
      <c r="F253" s="349">
        <f>'E) Fact soc'!G258</f>
        <v>52259.784046705681</v>
      </c>
      <c r="G253" s="346">
        <f>'H) Péréquation directe'!I263</f>
        <v>-59091.487401289145</v>
      </c>
      <c r="H253" s="349">
        <f>+'I) Dépenses thématiques'!O252</f>
        <v>-52903.861170993092</v>
      </c>
      <c r="I253" s="346">
        <f>'K) Plafonnement aide'!J252</f>
        <v>0</v>
      </c>
      <c r="J253" s="349">
        <f>'J) Plafonnement effort'!I252</f>
        <v>0</v>
      </c>
      <c r="K253" s="346">
        <f>'L) Plafonnement taux'!Q253</f>
        <v>0</v>
      </c>
      <c r="L253" s="344">
        <f t="shared" si="12"/>
        <v>-59735.564525576556</v>
      </c>
      <c r="M253" s="246">
        <f>'M) Police'!O253</f>
        <v>7047.3117761786525</v>
      </c>
      <c r="N253" s="246">
        <f t="shared" si="9"/>
        <v>-52688.2527493979</v>
      </c>
      <c r="P253" s="307"/>
      <c r="R253" s="352"/>
    </row>
    <row r="254" spans="1:18" s="165" customFormat="1" x14ac:dyDescent="0.25">
      <c r="A254" s="162">
        <f>'B) D RI'!A255</f>
        <v>5830</v>
      </c>
      <c r="B254" s="163" t="str">
        <f>'B) D RI'!B255</f>
        <v>Villarzel</v>
      </c>
      <c r="C254" s="347">
        <f>'B) D RI'!S255</f>
        <v>79</v>
      </c>
      <c r="D254" s="164">
        <f>'B) D RI'!AR255</f>
        <v>417</v>
      </c>
      <c r="E254" s="345">
        <f>'D) Ecrêtage'!M253</f>
        <v>10522.833037974684</v>
      </c>
      <c r="F254" s="349">
        <f>'E) Fact soc'!G259</f>
        <v>189395.0059925564</v>
      </c>
      <c r="G254" s="346">
        <f>'H) Péréquation directe'!I264</f>
        <v>-48753.093109508394</v>
      </c>
      <c r="H254" s="349">
        <f>+'I) Dépenses thématiques'!O253</f>
        <v>-112380.39966144437</v>
      </c>
      <c r="I254" s="346">
        <f>'K) Plafonnement aide'!J253</f>
        <v>0</v>
      </c>
      <c r="J254" s="349">
        <f>'J) Plafonnement effort'!I253</f>
        <v>0</v>
      </c>
      <c r="K254" s="346">
        <f>'L) Plafonnement taux'!Q254</f>
        <v>0</v>
      </c>
      <c r="L254" s="344">
        <f t="shared" si="12"/>
        <v>28261.513221603629</v>
      </c>
      <c r="M254" s="246">
        <f>'M) Police'!O254</f>
        <v>32707.681997203996</v>
      </c>
      <c r="N254" s="246">
        <f t="shared" si="9"/>
        <v>60969.195218807625</v>
      </c>
      <c r="P254" s="307"/>
      <c r="R254" s="352"/>
    </row>
    <row r="255" spans="1:18" s="165" customFormat="1" x14ac:dyDescent="0.25">
      <c r="A255" s="162">
        <f>'B) D RI'!A256</f>
        <v>5831</v>
      </c>
      <c r="B255" s="163" t="str">
        <f>'B) D RI'!B256</f>
        <v>Valbroye</v>
      </c>
      <c r="C255" s="347">
        <f>'B) D RI'!S256</f>
        <v>73</v>
      </c>
      <c r="D255" s="164">
        <f>'B) D RI'!AR256</f>
        <v>3035</v>
      </c>
      <c r="E255" s="345">
        <f>'D) Ecrêtage'!M254</f>
        <v>82821.588904109609</v>
      </c>
      <c r="F255" s="349">
        <f>'E) Fact soc'!G260</f>
        <v>1577211.5950761423</v>
      </c>
      <c r="G255" s="346">
        <f>'H) Péréquation directe'!I265</f>
        <v>-400496.66268023802</v>
      </c>
      <c r="H255" s="349">
        <f>+'I) Dépenses thématiques'!O254</f>
        <v>-669281.57313778903</v>
      </c>
      <c r="I255" s="346">
        <f>'K) Plafonnement aide'!J254</f>
        <v>0</v>
      </c>
      <c r="J255" s="349">
        <f>'J) Plafonnement effort'!I254</f>
        <v>0</v>
      </c>
      <c r="K255" s="346">
        <f>'L) Plafonnement taux'!Q255</f>
        <v>0</v>
      </c>
      <c r="L255" s="344">
        <f>F255+G255+H255+I255+J255+K255</f>
        <v>507433.35925811529</v>
      </c>
      <c r="M255" s="246">
        <f>'M) Police'!O255</f>
        <v>257536.84592891642</v>
      </c>
      <c r="N255" s="246">
        <f t="shared" ref="N255:N314" si="14">L255+M255</f>
        <v>764970.20518703177</v>
      </c>
      <c r="P255" s="307"/>
      <c r="R255" s="352"/>
    </row>
    <row r="256" spans="1:18" s="165" customFormat="1" x14ac:dyDescent="0.25">
      <c r="A256" s="162">
        <f>'B) D RI'!A257</f>
        <v>5841</v>
      </c>
      <c r="B256" s="163" t="str">
        <f>'B) D RI'!B257</f>
        <v>Château-d'Oex</v>
      </c>
      <c r="C256" s="347">
        <f>'B) D RI'!S257</f>
        <v>83</v>
      </c>
      <c r="D256" s="164">
        <f>'B) D RI'!AR257</f>
        <v>3433</v>
      </c>
      <c r="E256" s="345">
        <f>'D) Ecrêtage'!M255</f>
        <v>112619.72</v>
      </c>
      <c r="F256" s="349">
        <f>'E) Fact soc'!G261</f>
        <v>2258793.9366498915</v>
      </c>
      <c r="G256" s="346">
        <f>'H) Péréquation directe'!I266</f>
        <v>-47808.743026686599</v>
      </c>
      <c r="H256" s="349">
        <f>+'I) Dépenses thématiques'!O255</f>
        <v>-2157082.8956866409</v>
      </c>
      <c r="I256" s="346">
        <f>'K) Plafonnement aide'!J255</f>
        <v>0</v>
      </c>
      <c r="J256" s="349">
        <f>'J) Plafonnement effort'!I255</f>
        <v>0</v>
      </c>
      <c r="K256" s="346">
        <f>'L) Plafonnement taux'!Q256</f>
        <v>0</v>
      </c>
      <c r="L256" s="344">
        <f t="shared" si="12"/>
        <v>53902.297936563846</v>
      </c>
      <c r="M256" s="246">
        <f>'M) Police'!O256</f>
        <v>341828.85560976085</v>
      </c>
      <c r="N256" s="246">
        <f t="shared" si="14"/>
        <v>395731.1535463247</v>
      </c>
      <c r="P256" s="307"/>
      <c r="R256" s="352"/>
    </row>
    <row r="257" spans="1:18" s="165" customFormat="1" x14ac:dyDescent="0.25">
      <c r="A257" s="162">
        <f>'B) D RI'!A258</f>
        <v>5842</v>
      </c>
      <c r="B257" s="163" t="str">
        <f>'B) D RI'!B258</f>
        <v>Rossinière</v>
      </c>
      <c r="C257" s="347">
        <f>'B) D RI'!S258</f>
        <v>81</v>
      </c>
      <c r="D257" s="164">
        <f>'B) D RI'!AR258</f>
        <v>545</v>
      </c>
      <c r="E257" s="345">
        <f>'D) Ecrêtage'!M256</f>
        <v>12532.166460905351</v>
      </c>
      <c r="F257" s="349">
        <f>'E) Fact soc'!G262</f>
        <v>231191.31582834601</v>
      </c>
      <c r="G257" s="346">
        <f>'H) Péréquation directe'!I267</f>
        <v>-131630.13707244745</v>
      </c>
      <c r="H257" s="349">
        <f>+'I) Dépenses thématiques'!O256</f>
        <v>-302798.39271291083</v>
      </c>
      <c r="I257" s="346">
        <f>'K) Plafonnement aide'!J256</f>
        <v>0</v>
      </c>
      <c r="J257" s="349">
        <f>'J) Plafonnement effort'!I256</f>
        <v>0</v>
      </c>
      <c r="K257" s="346">
        <f>'L) Plafonnement taux'!Q257</f>
        <v>0</v>
      </c>
      <c r="L257" s="344">
        <f t="shared" si="12"/>
        <v>-203237.21395701228</v>
      </c>
      <c r="M257" s="246">
        <f>'M) Police'!O257</f>
        <v>38494.287107117256</v>
      </c>
      <c r="N257" s="246">
        <f t="shared" si="14"/>
        <v>-164742.92684989504</v>
      </c>
      <c r="P257" s="307"/>
      <c r="R257" s="352"/>
    </row>
    <row r="258" spans="1:18" s="165" customFormat="1" x14ac:dyDescent="0.25">
      <c r="A258" s="162">
        <f>'B) D RI'!A259</f>
        <v>5843</v>
      </c>
      <c r="B258" s="163" t="str">
        <f>'B) D RI'!B259</f>
        <v>Rougemont</v>
      </c>
      <c r="C258" s="347">
        <f>'B) D RI'!S259</f>
        <v>74</v>
      </c>
      <c r="D258" s="164">
        <f>'B) D RI'!AR259</f>
        <v>882</v>
      </c>
      <c r="E258" s="345">
        <f>'D) Ecrêtage'!M257</f>
        <v>76653.566465504657</v>
      </c>
      <c r="F258" s="349">
        <f>'E) Fact soc'!G263</f>
        <v>2909434.7932680594</v>
      </c>
      <c r="G258" s="346">
        <f>'H) Péréquation directe'!I268</f>
        <v>1330038.24387311</v>
      </c>
      <c r="H258" s="349">
        <f>+'I) Dépenses thématiques'!O257</f>
        <v>-888001.72352069721</v>
      </c>
      <c r="I258" s="346">
        <f>'K) Plafonnement aide'!J257</f>
        <v>0</v>
      </c>
      <c r="J258" s="349">
        <f>'J) Plafonnement effort'!I257</f>
        <v>0</v>
      </c>
      <c r="K258" s="346">
        <f>'L) Plafonnement taux'!Q258</f>
        <v>0</v>
      </c>
      <c r="L258" s="344">
        <f t="shared" si="12"/>
        <v>3351471.3136204723</v>
      </c>
      <c r="M258" s="246">
        <f>'M) Police'!O258</f>
        <v>171125.93656250104</v>
      </c>
      <c r="N258" s="246">
        <f t="shared" si="14"/>
        <v>3522597.2501829732</v>
      </c>
      <c r="P258" s="307"/>
      <c r="R258" s="352"/>
    </row>
    <row r="259" spans="1:18" s="165" customFormat="1" x14ac:dyDescent="0.25">
      <c r="A259" s="162">
        <f>'B) D RI'!A260</f>
        <v>5851</v>
      </c>
      <c r="B259" s="163" t="str">
        <f>'B) D RI'!B260</f>
        <v>Allaman</v>
      </c>
      <c r="C259" s="347">
        <f>'B) D RI'!S260</f>
        <v>62</v>
      </c>
      <c r="D259" s="164">
        <f>'B) D RI'!AR260</f>
        <v>442</v>
      </c>
      <c r="E259" s="345">
        <f>'D) Ecrêtage'!M258</f>
        <v>27674.221391195879</v>
      </c>
      <c r="F259" s="349">
        <f>'E) Fact soc'!G264</f>
        <v>549256.64069992374</v>
      </c>
      <c r="G259" s="346">
        <f>'H) Péréquation directe'!I269</f>
        <v>467975.44367501611</v>
      </c>
      <c r="H259" s="349">
        <f>+'I) Dépenses thématiques'!O258</f>
        <v>0</v>
      </c>
      <c r="I259" s="346">
        <f>'K) Plafonnement aide'!J258</f>
        <v>0</v>
      </c>
      <c r="J259" s="349">
        <f>'J) Plafonnement effort'!I258</f>
        <v>0</v>
      </c>
      <c r="K259" s="346">
        <f>'L) Plafonnement taux'!Q259</f>
        <v>0</v>
      </c>
      <c r="L259" s="344">
        <f t="shared" si="12"/>
        <v>1017232.0843749398</v>
      </c>
      <c r="M259" s="246">
        <f>'M) Police'!O259</f>
        <v>72423.332788450323</v>
      </c>
      <c r="N259" s="246">
        <f t="shared" si="14"/>
        <v>1089655.4171633902</v>
      </c>
      <c r="P259" s="307"/>
      <c r="R259" s="352"/>
    </row>
    <row r="260" spans="1:18" s="165" customFormat="1" x14ac:dyDescent="0.25">
      <c r="A260" s="162">
        <f>'B) D RI'!A261</f>
        <v>5852</v>
      </c>
      <c r="B260" s="163" t="str">
        <f>'B) D RI'!B261</f>
        <v>Bursinel</v>
      </c>
      <c r="C260" s="347">
        <f>'B) D RI'!S261</f>
        <v>65.5</v>
      </c>
      <c r="D260" s="164">
        <f>'B) D RI'!AR261</f>
        <v>488</v>
      </c>
      <c r="E260" s="345">
        <f>'D) Ecrêtage'!M259</f>
        <v>35727.740437901746</v>
      </c>
      <c r="F260" s="349">
        <f>'E) Fact soc'!G265</f>
        <v>2344579.778131438</v>
      </c>
      <c r="G260" s="346">
        <f>'H) Péréquation directe'!I270</f>
        <v>612324.68058202066</v>
      </c>
      <c r="H260" s="349">
        <f>+'I) Dépenses thématiques'!O259</f>
        <v>0</v>
      </c>
      <c r="I260" s="346">
        <f>'K) Plafonnement aide'!J259</f>
        <v>0</v>
      </c>
      <c r="J260" s="349">
        <f>'J) Plafonnement effort'!I259</f>
        <v>-746473.90988343093</v>
      </c>
      <c r="K260" s="346">
        <f>'L) Plafonnement taux'!Q260</f>
        <v>0</v>
      </c>
      <c r="L260" s="344">
        <f t="shared" si="12"/>
        <v>2210430.5488300277</v>
      </c>
      <c r="M260" s="246">
        <f>'M) Police'!O260</f>
        <v>86383.664905797559</v>
      </c>
      <c r="N260" s="246">
        <f t="shared" si="14"/>
        <v>2296814.2137358254</v>
      </c>
      <c r="P260" s="307"/>
      <c r="R260" s="352"/>
    </row>
    <row r="261" spans="1:18" s="165" customFormat="1" x14ac:dyDescent="0.25">
      <c r="A261" s="162">
        <f>'B) D RI'!A262</f>
        <v>5853</v>
      </c>
      <c r="B261" s="163" t="str">
        <f>'B) D RI'!B262</f>
        <v>Bursins</v>
      </c>
      <c r="C261" s="347">
        <f>'B) D RI'!S262</f>
        <v>71</v>
      </c>
      <c r="D261" s="164">
        <f>'B) D RI'!AR262</f>
        <v>745</v>
      </c>
      <c r="E261" s="345">
        <f>'D) Ecrêtage'!M260</f>
        <v>36130.042112676056</v>
      </c>
      <c r="F261" s="349">
        <f>'E) Fact soc'!G266</f>
        <v>694536.66913378134</v>
      </c>
      <c r="G261" s="346">
        <f>'H) Péréquation directe'!I271</f>
        <v>594372.70768196043</v>
      </c>
      <c r="H261" s="349">
        <f>+'I) Dépenses thématiques'!O260</f>
        <v>-7039.0198667394934</v>
      </c>
      <c r="I261" s="346">
        <f>'K) Plafonnement aide'!J260</f>
        <v>0</v>
      </c>
      <c r="J261" s="349">
        <f>'J) Plafonnement effort'!I260</f>
        <v>0</v>
      </c>
      <c r="K261" s="346">
        <f>'L) Plafonnement taux'!Q261</f>
        <v>0</v>
      </c>
      <c r="L261" s="344">
        <f t="shared" si="12"/>
        <v>1281870.3569490025</v>
      </c>
      <c r="M261" s="246">
        <f>'M) Police'!O261</f>
        <v>109015.51581041703</v>
      </c>
      <c r="N261" s="246">
        <f t="shared" si="14"/>
        <v>1390885.8727594195</v>
      </c>
      <c r="P261" s="307"/>
      <c r="R261" s="352"/>
    </row>
    <row r="262" spans="1:18" s="165" customFormat="1" x14ac:dyDescent="0.25">
      <c r="A262" s="162">
        <f>'B) D RI'!A263</f>
        <v>5854</v>
      </c>
      <c r="B262" s="163" t="str">
        <f>'B) D RI'!B263</f>
        <v>Burtigny</v>
      </c>
      <c r="C262" s="347">
        <f>'B) D RI'!S263</f>
        <v>80</v>
      </c>
      <c r="D262" s="164">
        <f>'B) D RI'!AR263</f>
        <v>361</v>
      </c>
      <c r="E262" s="345">
        <f>'D) Ecrêtage'!M261</f>
        <v>10180.844041666667</v>
      </c>
      <c r="F262" s="349">
        <f>'E) Fact soc'!G267</f>
        <v>222075.7620058399</v>
      </c>
      <c r="G262" s="346">
        <f>'H) Péréquation directe'!I272</f>
        <v>359.81040140919504</v>
      </c>
      <c r="H262" s="349">
        <f>+'I) Dépenses thématiques'!O261</f>
        <v>-45178.329029992361</v>
      </c>
      <c r="I262" s="346">
        <f>'K) Plafonnement aide'!J261</f>
        <v>0</v>
      </c>
      <c r="J262" s="349">
        <f>'J) Plafonnement effort'!I261</f>
        <v>0</v>
      </c>
      <c r="K262" s="346">
        <f>'L) Plafonnement taux'!Q262</f>
        <v>0</v>
      </c>
      <c r="L262" s="344">
        <f t="shared" si="12"/>
        <v>177257.24337725673</v>
      </c>
      <c r="M262" s="246">
        <f>'M) Police'!O262</f>
        <v>31581.631781573251</v>
      </c>
      <c r="N262" s="246">
        <f t="shared" si="14"/>
        <v>208838.87515882999</v>
      </c>
      <c r="P262" s="307"/>
      <c r="R262" s="352"/>
    </row>
    <row r="263" spans="1:18" s="165" customFormat="1" x14ac:dyDescent="0.25">
      <c r="A263" s="162">
        <f>'B) D RI'!A264</f>
        <v>5855</v>
      </c>
      <c r="B263" s="163" t="str">
        <f>'B) D RI'!B264</f>
        <v>Dully</v>
      </c>
      <c r="C263" s="347">
        <f>'B) D RI'!S264</f>
        <v>49</v>
      </c>
      <c r="D263" s="164">
        <f>'B) D RI'!AR264</f>
        <v>640</v>
      </c>
      <c r="E263" s="345">
        <f>'D) Ecrêtage'!M262</f>
        <v>64936.025638405044</v>
      </c>
      <c r="F263" s="349">
        <f>'E) Fact soc'!G268</f>
        <v>2084153.716862442</v>
      </c>
      <c r="G263" s="346">
        <f>'H) Péréquation directe'!I273</f>
        <v>1137311.8417564367</v>
      </c>
      <c r="H263" s="349">
        <f>+'I) Dépenses thématiques'!O262</f>
        <v>0</v>
      </c>
      <c r="I263" s="346">
        <f>'K) Plafonnement aide'!J262</f>
        <v>0</v>
      </c>
      <c r="J263" s="349">
        <f>'J) Plafonnement effort'!I262</f>
        <v>0</v>
      </c>
      <c r="K263" s="346">
        <f>'L) Plafonnement taux'!Q263</f>
        <v>0</v>
      </c>
      <c r="L263" s="344">
        <f t="shared" si="12"/>
        <v>3221465.5586188789</v>
      </c>
      <c r="M263" s="246">
        <f>'M) Police'!O263</f>
        <v>135737.35351418011</v>
      </c>
      <c r="N263" s="246">
        <f t="shared" si="14"/>
        <v>3357202.912133059</v>
      </c>
      <c r="P263" s="307"/>
      <c r="R263" s="352"/>
    </row>
    <row r="264" spans="1:18" s="165" customFormat="1" x14ac:dyDescent="0.25">
      <c r="A264" s="162">
        <f>'B) D RI'!A265</f>
        <v>5856</v>
      </c>
      <c r="B264" s="163" t="str">
        <f>'B) D RI'!B265</f>
        <v>Essertines-sur-Rolle</v>
      </c>
      <c r="C264" s="347">
        <f>'B) D RI'!S265</f>
        <v>68</v>
      </c>
      <c r="D264" s="164">
        <f>'B) D RI'!AR265</f>
        <v>696</v>
      </c>
      <c r="E264" s="345">
        <f>'D) Ecrêtage'!M263</f>
        <v>34355.55787330318</v>
      </c>
      <c r="F264" s="349">
        <f>'E) Fact soc'!G269</f>
        <v>675911.81201400934</v>
      </c>
      <c r="G264" s="346">
        <f>'H) Péréquation directe'!I274</f>
        <v>566406.83446698543</v>
      </c>
      <c r="H264" s="349">
        <f>+'I) Dépenses thématiques'!O263</f>
        <v>-9711.9850494143229</v>
      </c>
      <c r="I264" s="346">
        <f>'K) Plafonnement aide'!J263</f>
        <v>0</v>
      </c>
      <c r="J264" s="349">
        <f>'J) Plafonnement effort'!I263</f>
        <v>0</v>
      </c>
      <c r="K264" s="346">
        <f>'L) Plafonnement taux'!Q264</f>
        <v>0</v>
      </c>
      <c r="L264" s="344">
        <f t="shared" si="12"/>
        <v>1232606.6614315805</v>
      </c>
      <c r="M264" s="246">
        <f>'M) Police'!O264</f>
        <v>102592.60345104386</v>
      </c>
      <c r="N264" s="246">
        <f t="shared" si="14"/>
        <v>1335199.2648826244</v>
      </c>
      <c r="P264" s="307"/>
      <c r="R264" s="352"/>
    </row>
    <row r="265" spans="1:18" s="165" customFormat="1" x14ac:dyDescent="0.25">
      <c r="A265" s="162">
        <f>'B) D RI'!A266</f>
        <v>5857</v>
      </c>
      <c r="B265" s="163" t="str">
        <f>'B) D RI'!B266</f>
        <v>Gilly</v>
      </c>
      <c r="C265" s="347">
        <f>'B) D RI'!S266</f>
        <v>66</v>
      </c>
      <c r="D265" s="164">
        <f>'B) D RI'!AR266</f>
        <v>1294</v>
      </c>
      <c r="E265" s="345">
        <f>'D) Ecrêtage'!M264</f>
        <v>75717.72720559244</v>
      </c>
      <c r="F265" s="349">
        <f>'E) Fact soc'!G270</f>
        <v>1524335.2528728312</v>
      </c>
      <c r="G265" s="346">
        <f>'H) Péréquation directe'!I275</f>
        <v>1199421.1275816322</v>
      </c>
      <c r="H265" s="349">
        <f>+'I) Dépenses thématiques'!O264</f>
        <v>0</v>
      </c>
      <c r="I265" s="346">
        <f>'K) Plafonnement aide'!J264</f>
        <v>0</v>
      </c>
      <c r="J265" s="349">
        <f>'J) Plafonnement effort'!I264</f>
        <v>0</v>
      </c>
      <c r="K265" s="346">
        <f>'L) Plafonnement taux'!Q265</f>
        <v>0</v>
      </c>
      <c r="L265" s="344">
        <f t="shared" si="12"/>
        <v>2723756.3804544634</v>
      </c>
      <c r="M265" s="246">
        <f>'M) Police'!O265</f>
        <v>205444.72737127994</v>
      </c>
      <c r="N265" s="246">
        <f t="shared" si="14"/>
        <v>2929201.1078257435</v>
      </c>
      <c r="P265" s="307"/>
      <c r="R265" s="352"/>
    </row>
    <row r="266" spans="1:18" s="165" customFormat="1" x14ac:dyDescent="0.25">
      <c r="A266" s="162">
        <f>'B) D RI'!A267</f>
        <v>5858</v>
      </c>
      <c r="B266" s="163" t="str">
        <f>'B) D RI'!B267</f>
        <v>Luins</v>
      </c>
      <c r="C266" s="347">
        <f>'B) D RI'!S267</f>
        <v>60</v>
      </c>
      <c r="D266" s="164">
        <f>'B) D RI'!AR267</f>
        <v>608</v>
      </c>
      <c r="E266" s="345">
        <f>'D) Ecrêtage'!M265</f>
        <v>34125.208220571811</v>
      </c>
      <c r="F266" s="349">
        <f>'E) Fact soc'!G271</f>
        <v>577926.26690094743</v>
      </c>
      <c r="G266" s="346">
        <f>'H) Péréquation directe'!I276</f>
        <v>570841.88569599763</v>
      </c>
      <c r="H266" s="349">
        <f>+'I) Dépenses thématiques'!O265</f>
        <v>0</v>
      </c>
      <c r="I266" s="346">
        <f>'K) Plafonnement aide'!J265</f>
        <v>0</v>
      </c>
      <c r="J266" s="349">
        <f>'J) Plafonnement effort'!I265</f>
        <v>0</v>
      </c>
      <c r="K266" s="346">
        <f>'L) Plafonnement taux'!Q266</f>
        <v>0</v>
      </c>
      <c r="L266" s="344">
        <f t="shared" ref="L266:L315" si="15">F266+G266+H266+I266+J266+K266</f>
        <v>1148768.1525969449</v>
      </c>
      <c r="M266" s="246">
        <f>'M) Police'!O266</f>
        <v>94728.212087715103</v>
      </c>
      <c r="N266" s="246">
        <f t="shared" si="14"/>
        <v>1243496.36468466</v>
      </c>
      <c r="P266" s="307"/>
      <c r="R266" s="352"/>
    </row>
    <row r="267" spans="1:18" s="165" customFormat="1" x14ac:dyDescent="0.25">
      <c r="A267" s="162">
        <f>'B) D RI'!A268</f>
        <v>5859</v>
      </c>
      <c r="B267" s="163" t="str">
        <f>'B) D RI'!B268</f>
        <v>Mont-sur-Rolle</v>
      </c>
      <c r="C267" s="347">
        <f>'B) D RI'!S268</f>
        <v>64</v>
      </c>
      <c r="D267" s="164">
        <f>'B) D RI'!AR268</f>
        <v>2701</v>
      </c>
      <c r="E267" s="345">
        <f>'D) Ecrêtage'!M266</f>
        <v>136889.24374999999</v>
      </c>
      <c r="F267" s="349">
        <f>'E) Fact soc'!G272</f>
        <v>2656389.0476101865</v>
      </c>
      <c r="G267" s="346">
        <f>'H) Péréquation directe'!I277</f>
        <v>1843857.0459612901</v>
      </c>
      <c r="H267" s="349">
        <f>+'I) Dépenses thématiques'!O266</f>
        <v>0</v>
      </c>
      <c r="I267" s="346">
        <f>'K) Plafonnement aide'!J266</f>
        <v>0</v>
      </c>
      <c r="J267" s="349">
        <f>'J) Plafonnement effort'!I266</f>
        <v>0</v>
      </c>
      <c r="K267" s="346">
        <f>'L) Plafonnement taux'!Q267</f>
        <v>0</v>
      </c>
      <c r="L267" s="344">
        <f t="shared" si="15"/>
        <v>4500246.0935714766</v>
      </c>
      <c r="M267" s="246">
        <f>'M) Police'!O267</f>
        <v>402560.87112972792</v>
      </c>
      <c r="N267" s="246">
        <f t="shared" si="14"/>
        <v>4902806.9647012046</v>
      </c>
      <c r="P267" s="307"/>
      <c r="R267" s="352"/>
    </row>
    <row r="268" spans="1:18" s="165" customFormat="1" x14ac:dyDescent="0.25">
      <c r="A268" s="162">
        <f>'B) D RI'!A269</f>
        <v>5860</v>
      </c>
      <c r="B268" s="163" t="str">
        <f>'B) D RI'!B269</f>
        <v>Perroy</v>
      </c>
      <c r="C268" s="347">
        <f>'B) D RI'!S269</f>
        <v>60</v>
      </c>
      <c r="D268" s="164">
        <f>'B) D RI'!AR269</f>
        <v>1514</v>
      </c>
      <c r="E268" s="345">
        <f>'D) Ecrêtage'!M267</f>
        <v>86978.06496820855</v>
      </c>
      <c r="F268" s="349">
        <f>'E) Fact soc'!G273</f>
        <v>1690277.1915649003</v>
      </c>
      <c r="G268" s="346">
        <f>'H) Péréquation directe'!I278</f>
        <v>1331532.1701616733</v>
      </c>
      <c r="H268" s="349">
        <f>+'I) Dépenses thématiques'!O267</f>
        <v>0</v>
      </c>
      <c r="I268" s="346">
        <f>'K) Plafonnement aide'!J267</f>
        <v>0</v>
      </c>
      <c r="J268" s="349">
        <f>'J) Plafonnement effort'!I267</f>
        <v>0</v>
      </c>
      <c r="K268" s="346">
        <f>'L) Plafonnement taux'!Q268</f>
        <v>0</v>
      </c>
      <c r="L268" s="344">
        <f t="shared" si="15"/>
        <v>3021809.3617265737</v>
      </c>
      <c r="M268" s="246">
        <f>'M) Police'!O268</f>
        <v>238371.06730928161</v>
      </c>
      <c r="N268" s="246">
        <f t="shared" si="14"/>
        <v>3260180.4290358555</v>
      </c>
      <c r="P268" s="307"/>
      <c r="R268" s="352"/>
    </row>
    <row r="269" spans="1:18" s="165" customFormat="1" x14ac:dyDescent="0.25">
      <c r="A269" s="162">
        <f>'B) D RI'!A270</f>
        <v>5861</v>
      </c>
      <c r="B269" s="163" t="str">
        <f>'B) D RI'!B270</f>
        <v>Rolle</v>
      </c>
      <c r="C269" s="347">
        <f>'B) D RI'!S270</f>
        <v>59.5</v>
      </c>
      <c r="D269" s="164">
        <f>'B) D RI'!AR270</f>
        <v>6225</v>
      </c>
      <c r="E269" s="345">
        <f>'D) Ecrêtage'!M268</f>
        <v>670582.11002585792</v>
      </c>
      <c r="F269" s="349">
        <f>'E) Fact soc'!G274</f>
        <v>24962418.042191312</v>
      </c>
      <c r="G269" s="346">
        <f>'H) Péréquation directe'!I279</f>
        <v>9893345.9531137645</v>
      </c>
      <c r="H269" s="349">
        <f>+'I) Dépenses thématiques'!O268</f>
        <v>0</v>
      </c>
      <c r="I269" s="346">
        <f>'K) Plafonnement aide'!J268</f>
        <v>0</v>
      </c>
      <c r="J269" s="349">
        <f>'J) Plafonnement effort'!I268</f>
        <v>0</v>
      </c>
      <c r="K269" s="346">
        <f>'L) Plafonnement taux'!Q269</f>
        <v>0</v>
      </c>
      <c r="L269" s="344">
        <f t="shared" si="15"/>
        <v>34855763.995305076</v>
      </c>
      <c r="M269" s="246">
        <f>'M) Police'!O269</f>
        <v>1368650.9775476237</v>
      </c>
      <c r="N269" s="246">
        <f t="shared" si="14"/>
        <v>36224414.972852699</v>
      </c>
      <c r="P269" s="307"/>
      <c r="R269" s="352"/>
    </row>
    <row r="270" spans="1:18" s="165" customFormat="1" x14ac:dyDescent="0.25">
      <c r="A270" s="162">
        <f>'B) D RI'!A271</f>
        <v>5862</v>
      </c>
      <c r="B270" s="163" t="str">
        <f>'B) D RI'!B271</f>
        <v>Tartegnin</v>
      </c>
      <c r="C270" s="347">
        <f>'B) D RI'!S271</f>
        <v>81</v>
      </c>
      <c r="D270" s="164">
        <f>'B) D RI'!AR271</f>
        <v>235</v>
      </c>
      <c r="E270" s="345">
        <f>'D) Ecrêtage'!M269</f>
        <v>10629.942633744855</v>
      </c>
      <c r="F270" s="349">
        <f>'E) Fact soc'!G275</f>
        <v>232523.04855051017</v>
      </c>
      <c r="G270" s="346">
        <f>'H) Péréquation directe'!I280</f>
        <v>173310.40312015859</v>
      </c>
      <c r="H270" s="349">
        <f>+'I) Dépenses thématiques'!O269</f>
        <v>0</v>
      </c>
      <c r="I270" s="346">
        <f>'K) Plafonnement aide'!J269</f>
        <v>0</v>
      </c>
      <c r="J270" s="349">
        <f>'J) Plafonnement effort'!I269</f>
        <v>0</v>
      </c>
      <c r="K270" s="346">
        <f>'L) Plafonnement taux'!Q270</f>
        <v>-6324.0122778541308</v>
      </c>
      <c r="L270" s="344">
        <f t="shared" si="15"/>
        <v>399509.43939281465</v>
      </c>
      <c r="M270" s="246">
        <f>'M) Police'!O270</f>
        <v>33325.189662845733</v>
      </c>
      <c r="N270" s="246">
        <f t="shared" si="14"/>
        <v>432834.62905566039</v>
      </c>
      <c r="P270" s="307"/>
      <c r="R270" s="352"/>
    </row>
    <row r="271" spans="1:18" s="165" customFormat="1" x14ac:dyDescent="0.25">
      <c r="A271" s="162">
        <f>'B) D RI'!A272</f>
        <v>5863</v>
      </c>
      <c r="B271" s="163" t="str">
        <f>'B) D RI'!B272</f>
        <v>Vinzel</v>
      </c>
      <c r="C271" s="347">
        <f>'B) D RI'!S272</f>
        <v>67</v>
      </c>
      <c r="D271" s="164">
        <f>'B) D RI'!AR272</f>
        <v>371</v>
      </c>
      <c r="E271" s="345">
        <f>'D) Ecrêtage'!M270</f>
        <v>22339.690641687634</v>
      </c>
      <c r="F271" s="349">
        <f>'E) Fact soc'!G276</f>
        <v>397973.77172962966</v>
      </c>
      <c r="G271" s="346">
        <f>'H) Péréquation directe'!I281</f>
        <v>376364.76355373184</v>
      </c>
      <c r="H271" s="349">
        <f>+'I) Dépenses thématiques'!O270</f>
        <v>-275788.13507089042</v>
      </c>
      <c r="I271" s="346">
        <f>'K) Plafonnement aide'!J270</f>
        <v>0</v>
      </c>
      <c r="J271" s="349">
        <f>'J) Plafonnement effort'!I270</f>
        <v>0</v>
      </c>
      <c r="K271" s="346">
        <f>'L) Plafonnement taux'!Q271</f>
        <v>0</v>
      </c>
      <c r="L271" s="344">
        <f t="shared" si="15"/>
        <v>498550.40021247114</v>
      </c>
      <c r="M271" s="246">
        <f>'M) Police'!O271</f>
        <v>59685.822956488933</v>
      </c>
      <c r="N271" s="246">
        <f t="shared" si="14"/>
        <v>558236.22316896007</v>
      </c>
      <c r="P271" s="307"/>
      <c r="R271" s="352"/>
    </row>
    <row r="272" spans="1:18" s="165" customFormat="1" x14ac:dyDescent="0.25">
      <c r="A272" s="162">
        <f>'B) D RI'!A273</f>
        <v>5871</v>
      </c>
      <c r="B272" s="163" t="str">
        <f>'B) D RI'!B273</f>
        <v>L'Abbaye</v>
      </c>
      <c r="C272" s="347">
        <f>'B) D RI'!S273</f>
        <v>77.3</v>
      </c>
      <c r="D272" s="164">
        <f>'B) D RI'!AR273</f>
        <v>1492</v>
      </c>
      <c r="E272" s="345">
        <f>'D) Ecrêtage'!M271</f>
        <v>47794.781759379046</v>
      </c>
      <c r="F272" s="349">
        <f>'E) Fact soc'!G277</f>
        <v>1057505.6338549205</v>
      </c>
      <c r="G272" s="346">
        <f>'H) Péréquation directe'!I282</f>
        <v>163079.81546664203</v>
      </c>
      <c r="H272" s="349">
        <f>+'I) Dépenses thématiques'!O271</f>
        <v>-360941.17021888145</v>
      </c>
      <c r="I272" s="346">
        <f>'K) Plafonnement aide'!J271</f>
        <v>0</v>
      </c>
      <c r="J272" s="349">
        <f>'J) Plafonnement effort'!I271</f>
        <v>0</v>
      </c>
      <c r="K272" s="346">
        <f>'L) Plafonnement taux'!Q272</f>
        <v>0</v>
      </c>
      <c r="L272" s="344">
        <f t="shared" si="15"/>
        <v>859644.27910268097</v>
      </c>
      <c r="M272" s="246">
        <f>'M) Police'!O272</f>
        <v>148612.20872157309</v>
      </c>
      <c r="N272" s="246">
        <f t="shared" si="14"/>
        <v>1008256.4878242541</v>
      </c>
      <c r="P272" s="307"/>
      <c r="R272" s="352"/>
    </row>
    <row r="273" spans="1:18" s="165" customFormat="1" x14ac:dyDescent="0.25">
      <c r="A273" s="162">
        <f>'B) D RI'!A274</f>
        <v>5872</v>
      </c>
      <c r="B273" s="163" t="str">
        <f>'B) D RI'!B274</f>
        <v>Le Chenit</v>
      </c>
      <c r="C273" s="347">
        <f>'B) D RI'!S274</f>
        <v>69.56</v>
      </c>
      <c r="D273" s="164">
        <f>'B) D RI'!AR274</f>
        <v>4612</v>
      </c>
      <c r="E273" s="345">
        <f>'D) Ecrêtage'!M272</f>
        <v>222566.8809866097</v>
      </c>
      <c r="F273" s="349">
        <f>'E) Fact soc'!G278</f>
        <v>5186913.4260983104</v>
      </c>
      <c r="G273" s="346">
        <f>'H) Péréquation directe'!I283</f>
        <v>2528211.5570195289</v>
      </c>
      <c r="H273" s="349">
        <f>+'I) Dépenses thématiques'!O272</f>
        <v>-1778598.4647006262</v>
      </c>
      <c r="I273" s="346">
        <f>'K) Plafonnement aide'!J272</f>
        <v>0</v>
      </c>
      <c r="J273" s="349">
        <f>'J) Plafonnement effort'!I272</f>
        <v>0</v>
      </c>
      <c r="K273" s="346">
        <f>'L) Plafonnement taux'!Q273</f>
        <v>0</v>
      </c>
      <c r="L273" s="344">
        <f t="shared" si="15"/>
        <v>5936526.5184172131</v>
      </c>
      <c r="M273" s="246">
        <f>'M) Police'!O273</f>
        <v>673506.29957458761</v>
      </c>
      <c r="N273" s="246">
        <f t="shared" si="14"/>
        <v>6610032.8179918006</v>
      </c>
      <c r="P273" s="307"/>
      <c r="R273" s="352"/>
    </row>
    <row r="274" spans="1:18" s="165" customFormat="1" x14ac:dyDescent="0.25">
      <c r="A274" s="162">
        <f>'B) D RI'!A275</f>
        <v>5873</v>
      </c>
      <c r="B274" s="163" t="str">
        <f>'B) D RI'!B275</f>
        <v>Le Lieu</v>
      </c>
      <c r="C274" s="347">
        <f>'B) D RI'!S275</f>
        <v>65</v>
      </c>
      <c r="D274" s="164">
        <f>'B) D RI'!AR275</f>
        <v>869</v>
      </c>
      <c r="E274" s="345">
        <f>'D) Ecrêtage'!M273</f>
        <v>33457.98871794872</v>
      </c>
      <c r="F274" s="349">
        <f>'E) Fact soc'!G279</f>
        <v>783809.7338766756</v>
      </c>
      <c r="G274" s="346">
        <f>'H) Péréquation directe'!I284</f>
        <v>441009.50729093241</v>
      </c>
      <c r="H274" s="349">
        <f>+'I) Dépenses thématiques'!O273</f>
        <v>-732512.63560832734</v>
      </c>
      <c r="I274" s="346">
        <f>'K) Plafonnement aide'!J273</f>
        <v>0</v>
      </c>
      <c r="J274" s="349">
        <f>'J) Plafonnement effort'!I273</f>
        <v>0</v>
      </c>
      <c r="K274" s="346">
        <f>'L) Plafonnement taux'!Q274</f>
        <v>0</v>
      </c>
      <c r="L274" s="344">
        <f t="shared" si="15"/>
        <v>492306.60555928061</v>
      </c>
      <c r="M274" s="246">
        <f>'M) Police'!O274</f>
        <v>104192.43627298072</v>
      </c>
      <c r="N274" s="246">
        <f t="shared" si="14"/>
        <v>596499.04183226137</v>
      </c>
      <c r="P274" s="307"/>
      <c r="R274" s="352"/>
    </row>
    <row r="275" spans="1:18" s="165" customFormat="1" x14ac:dyDescent="0.25">
      <c r="A275" s="162">
        <f>'B) D RI'!A276</f>
        <v>5881</v>
      </c>
      <c r="B275" s="163" t="str">
        <f>'B) D RI'!B276</f>
        <v>Blonay</v>
      </c>
      <c r="C275" s="347">
        <f>'B) D RI'!S276</f>
        <v>70</v>
      </c>
      <c r="D275" s="164">
        <f>'B) D RI'!AR276</f>
        <v>6183</v>
      </c>
      <c r="E275" s="345">
        <f>'D) Ecrêtage'!M274</f>
        <v>339692.04942857131</v>
      </c>
      <c r="F275" s="349">
        <f>'E) Fact soc'!G280</f>
        <v>5748071.2252428075</v>
      </c>
      <c r="G275" s="346">
        <f>'H) Péréquation directe'!I285</f>
        <v>3800736.2799309506</v>
      </c>
      <c r="H275" s="349">
        <f>+'I) Dépenses thématiques'!O274</f>
        <v>-877977.64821685082</v>
      </c>
      <c r="I275" s="346">
        <f>'K) Plafonnement aide'!J274</f>
        <v>0</v>
      </c>
      <c r="J275" s="349">
        <f>'J) Plafonnement effort'!I274</f>
        <v>0</v>
      </c>
      <c r="K275" s="346">
        <f>'L) Plafonnement taux'!Q275</f>
        <v>0</v>
      </c>
      <c r="L275" s="344">
        <f t="shared" si="15"/>
        <v>8670829.8569569066</v>
      </c>
      <c r="M275" s="246">
        <f>'M) Police'!O275</f>
        <v>421746.75305583363</v>
      </c>
      <c r="N275" s="246">
        <f t="shared" si="14"/>
        <v>9092576.6100127399</v>
      </c>
      <c r="P275" s="307"/>
      <c r="R275" s="352"/>
    </row>
    <row r="276" spans="1:18" s="165" customFormat="1" x14ac:dyDescent="0.25">
      <c r="A276" s="162">
        <f>'B) D RI'!A277</f>
        <v>5882</v>
      </c>
      <c r="B276" s="163" t="str">
        <f>'B) D RI'!B277</f>
        <v>Chardonne</v>
      </c>
      <c r="C276" s="347">
        <f>'B) D RI'!S277</f>
        <v>68</v>
      </c>
      <c r="D276" s="164">
        <f>'B) D RI'!AR277</f>
        <v>2921</v>
      </c>
      <c r="E276" s="345">
        <f>'D) Ecrêtage'!M275</f>
        <v>157386.77911764712</v>
      </c>
      <c r="F276" s="349">
        <f>'E) Fact soc'!G281</f>
        <v>3645811.0051283855</v>
      </c>
      <c r="G276" s="346">
        <f>'H) Péréquation directe'!I286</f>
        <v>2146745.6772348778</v>
      </c>
      <c r="H276" s="349">
        <f>+'I) Dépenses thématiques'!O275</f>
        <v>-271916.0339416769</v>
      </c>
      <c r="I276" s="346">
        <f>'K) Plafonnement aide'!J275</f>
        <v>0</v>
      </c>
      <c r="J276" s="349">
        <f>'J) Plafonnement effort'!I275</f>
        <v>0</v>
      </c>
      <c r="K276" s="346">
        <f>'L) Plafonnement taux'!Q276</f>
        <v>0</v>
      </c>
      <c r="L276" s="344">
        <f t="shared" si="15"/>
        <v>5520640.6484215865</v>
      </c>
      <c r="M276" s="246">
        <f>'M) Police'!O276</f>
        <v>195404.52353372151</v>
      </c>
      <c r="N276" s="246">
        <f t="shared" si="14"/>
        <v>5716045.1719553079</v>
      </c>
      <c r="P276" s="307"/>
      <c r="R276" s="352"/>
    </row>
    <row r="277" spans="1:18" s="165" customFormat="1" x14ac:dyDescent="0.25">
      <c r="A277" s="162">
        <f>'B) D RI'!A278</f>
        <v>5883</v>
      </c>
      <c r="B277" s="163" t="str">
        <f>'B) D RI'!B278</f>
        <v>Corseaux</v>
      </c>
      <c r="C277" s="347">
        <f>'B) D RI'!S278</f>
        <v>69</v>
      </c>
      <c r="D277" s="164">
        <f>'B) D RI'!AR278</f>
        <v>2289</v>
      </c>
      <c r="E277" s="345">
        <f>'D) Ecrêtage'!M276</f>
        <v>145458.17277547249</v>
      </c>
      <c r="F277" s="349">
        <f>'E) Fact soc'!G282</f>
        <v>3209910.8178310189</v>
      </c>
      <c r="G277" s="346">
        <f>'H) Péréquation directe'!I287</f>
        <v>2144738.8198742815</v>
      </c>
      <c r="H277" s="349">
        <f>+'I) Dépenses thématiques'!O276</f>
        <v>0</v>
      </c>
      <c r="I277" s="346">
        <f>'K) Plafonnement aide'!J276</f>
        <v>0</v>
      </c>
      <c r="J277" s="349">
        <f>'J) Plafonnement effort'!I276</f>
        <v>0</v>
      </c>
      <c r="K277" s="346">
        <f>'L) Plafonnement taux'!Q277</f>
        <v>0</v>
      </c>
      <c r="L277" s="344">
        <f t="shared" si="15"/>
        <v>5354649.6377053</v>
      </c>
      <c r="M277" s="246">
        <f>'M) Police'!O277</f>
        <v>180594.48896930867</v>
      </c>
      <c r="N277" s="246">
        <f t="shared" si="14"/>
        <v>5535244.1266746083</v>
      </c>
      <c r="P277" s="307"/>
      <c r="R277" s="352"/>
    </row>
    <row r="278" spans="1:18" s="165" customFormat="1" x14ac:dyDescent="0.25">
      <c r="A278" s="162">
        <f>'B) D RI'!A279</f>
        <v>5884</v>
      </c>
      <c r="B278" s="163" t="str">
        <f>'B) D RI'!B279</f>
        <v>Corsier-sur-Vevey</v>
      </c>
      <c r="C278" s="347">
        <f>'B) D RI'!S279</f>
        <v>66</v>
      </c>
      <c r="D278" s="164">
        <f>'B) D RI'!AR279</f>
        <v>3396</v>
      </c>
      <c r="E278" s="345">
        <f>'D) Ecrêtage'!M277</f>
        <v>131937.87883838385</v>
      </c>
      <c r="F278" s="349">
        <f>'E) Fact soc'!G283</f>
        <v>2403202.4686434856</v>
      </c>
      <c r="G278" s="346">
        <f>'H) Péréquation directe'!I288</f>
        <v>1104316.4558363918</v>
      </c>
      <c r="H278" s="349">
        <f>+'I) Dépenses thématiques'!O277</f>
        <v>-1023211.813586104</v>
      </c>
      <c r="I278" s="346">
        <f>'K) Plafonnement aide'!J277</f>
        <v>0</v>
      </c>
      <c r="J278" s="349">
        <f>'J) Plafonnement effort'!I277</f>
        <v>0</v>
      </c>
      <c r="K278" s="346">
        <f>'L) Plafonnement taux'!Q278</f>
        <v>0</v>
      </c>
      <c r="L278" s="344">
        <f t="shared" si="15"/>
        <v>2484307.1108937738</v>
      </c>
      <c r="M278" s="246">
        <f>'M) Police'!O278</f>
        <v>163808.28488263747</v>
      </c>
      <c r="N278" s="246">
        <f t="shared" si="14"/>
        <v>2648115.3957764115</v>
      </c>
      <c r="P278" s="307"/>
      <c r="R278" s="352"/>
    </row>
    <row r="279" spans="1:18" s="165" customFormat="1" x14ac:dyDescent="0.25">
      <c r="A279" s="162">
        <f>'B) D RI'!A280</f>
        <v>5885</v>
      </c>
      <c r="B279" s="163" t="str">
        <f>'B) D RI'!B280</f>
        <v>Jongny</v>
      </c>
      <c r="C279" s="347">
        <f>'B) D RI'!S280</f>
        <v>71</v>
      </c>
      <c r="D279" s="164">
        <f>'B) D RI'!AR280</f>
        <v>1549</v>
      </c>
      <c r="E279" s="345">
        <f>'D) Ecrêtage'!M278</f>
        <v>92192.244285459863</v>
      </c>
      <c r="F279" s="349">
        <f>'E) Fact soc'!G284</f>
        <v>1920754.1638495026</v>
      </c>
      <c r="G279" s="346">
        <f>'H) Péréquation directe'!I289</f>
        <v>1415829.9624016869</v>
      </c>
      <c r="H279" s="349">
        <f>+'I) Dépenses thématiques'!O278</f>
        <v>-19309.973984292592</v>
      </c>
      <c r="I279" s="346">
        <f>'K) Plafonnement aide'!J278</f>
        <v>0</v>
      </c>
      <c r="J279" s="349">
        <f>'J) Plafonnement effort'!I278</f>
        <v>0</v>
      </c>
      <c r="K279" s="346">
        <f>'L) Plafonnement taux'!Q279</f>
        <v>0</v>
      </c>
      <c r="L279" s="344">
        <f t="shared" si="15"/>
        <v>3317274.1522668968</v>
      </c>
      <c r="M279" s="246">
        <f>'M) Police'!O279</f>
        <v>114461.84786994489</v>
      </c>
      <c r="N279" s="246">
        <f t="shared" si="14"/>
        <v>3431736.0001368416</v>
      </c>
      <c r="P279" s="307"/>
      <c r="R279" s="352"/>
    </row>
    <row r="280" spans="1:18" s="165" customFormat="1" x14ac:dyDescent="0.25">
      <c r="A280" s="162">
        <f>'B) D RI'!A281</f>
        <v>5886</v>
      </c>
      <c r="B280" s="163" t="str">
        <f>'B) D RI'!B281</f>
        <v>Montreux</v>
      </c>
      <c r="C280" s="347">
        <f>'B) D RI'!S281</f>
        <v>65</v>
      </c>
      <c r="D280" s="164">
        <f>'B) D RI'!AR281</f>
        <v>26653</v>
      </c>
      <c r="E280" s="345">
        <f>'D) Ecrêtage'!M279</f>
        <v>1128562.492051282</v>
      </c>
      <c r="F280" s="349">
        <f>'E) Fact soc'!G285</f>
        <v>25078674.876560818</v>
      </c>
      <c r="G280" s="346">
        <f>'H) Péréquation directe'!I290</f>
        <v>-1950782.4255455062</v>
      </c>
      <c r="H280" s="349">
        <f>+'I) Dépenses thématiques'!O279</f>
        <v>-5666698.9982779417</v>
      </c>
      <c r="I280" s="346">
        <f>'K) Plafonnement aide'!J279</f>
        <v>0</v>
      </c>
      <c r="J280" s="349">
        <f>'J) Plafonnement effort'!I279</f>
        <v>0</v>
      </c>
      <c r="K280" s="346">
        <f>'L) Plafonnement taux'!Q280</f>
        <v>0</v>
      </c>
      <c r="L280" s="344">
        <f t="shared" si="15"/>
        <v>17461193.452737369</v>
      </c>
      <c r="M280" s="246">
        <f>'M) Police'!O280</f>
        <v>1401173.7026047534</v>
      </c>
      <c r="N280" s="246">
        <f t="shared" si="14"/>
        <v>18862367.155342121</v>
      </c>
      <c r="P280" s="307"/>
      <c r="R280" s="352"/>
    </row>
    <row r="281" spans="1:18" s="165" customFormat="1" x14ac:dyDescent="0.25">
      <c r="A281" s="162">
        <f>'B) D RI'!A282</f>
        <v>5888</v>
      </c>
      <c r="B281" s="163" t="str">
        <f>'B) D RI'!B282</f>
        <v>Saint-Légier-La Chiésaz</v>
      </c>
      <c r="C281" s="347">
        <f>'B) D RI'!S282</f>
        <v>67</v>
      </c>
      <c r="D281" s="164">
        <f>'B) D RI'!AR282</f>
        <v>5167</v>
      </c>
      <c r="E281" s="345">
        <f>'D) Ecrêtage'!M280</f>
        <v>292588.10855887394</v>
      </c>
      <c r="F281" s="349">
        <f>'E) Fact soc'!G286</f>
        <v>5574925.4082159344</v>
      </c>
      <c r="G281" s="346">
        <f>'H) Péréquation directe'!I291</f>
        <v>3532117.8403737438</v>
      </c>
      <c r="H281" s="349">
        <f>+'I) Dépenses thématiques'!O280</f>
        <v>-297884.68945272482</v>
      </c>
      <c r="I281" s="346">
        <f>'K) Plafonnement aide'!J280</f>
        <v>0</v>
      </c>
      <c r="J281" s="349">
        <f>'J) Plafonnement effort'!I280</f>
        <v>0</v>
      </c>
      <c r="K281" s="346">
        <f>'L) Plafonnement taux'!Q281</f>
        <v>0</v>
      </c>
      <c r="L281" s="344">
        <f t="shared" si="15"/>
        <v>8809158.5591369532</v>
      </c>
      <c r="M281" s="246">
        <f>'M) Police'!O281</f>
        <v>363264.56558236392</v>
      </c>
      <c r="N281" s="246">
        <f t="shared" si="14"/>
        <v>9172423.124719318</v>
      </c>
      <c r="P281" s="307"/>
      <c r="R281" s="352"/>
    </row>
    <row r="282" spans="1:18" s="165" customFormat="1" x14ac:dyDescent="0.25">
      <c r="A282" s="162">
        <f>'B) D RI'!A283</f>
        <v>5889</v>
      </c>
      <c r="B282" s="163" t="str">
        <f>'B) D RI'!B283</f>
        <v>La Tour-de-Peilz</v>
      </c>
      <c r="C282" s="347">
        <f>'B) D RI'!S283</f>
        <v>64</v>
      </c>
      <c r="D282" s="164">
        <f>'B) D RI'!AR283</f>
        <v>11779</v>
      </c>
      <c r="E282" s="345">
        <f>'D) Ecrêtage'!M281</f>
        <v>663369.11548643862</v>
      </c>
      <c r="F282" s="349">
        <f>'E) Fact soc'!G287</f>
        <v>12032528.117789729</v>
      </c>
      <c r="G282" s="346">
        <f>'H) Péréquation directe'!I292</f>
        <v>5781459.3969478477</v>
      </c>
      <c r="H282" s="349">
        <f>+'I) Dépenses thématiques'!O281</f>
        <v>0</v>
      </c>
      <c r="I282" s="346">
        <f>'K) Plafonnement aide'!J281</f>
        <v>0</v>
      </c>
      <c r="J282" s="349">
        <f>'J) Plafonnement effort'!I281</f>
        <v>0</v>
      </c>
      <c r="K282" s="346">
        <f>'L) Plafonnement taux'!Q282</f>
        <v>0</v>
      </c>
      <c r="L282" s="344">
        <f t="shared" si="15"/>
        <v>17813987.514737576</v>
      </c>
      <c r="M282" s="246">
        <f>'M) Police'!O282</f>
        <v>823610.00501648535</v>
      </c>
      <c r="N282" s="246">
        <f t="shared" si="14"/>
        <v>18637597.519754063</v>
      </c>
      <c r="P282" s="307"/>
      <c r="R282" s="352"/>
    </row>
    <row r="283" spans="1:18" s="165" customFormat="1" x14ac:dyDescent="0.25">
      <c r="A283" s="162">
        <f>'B) D RI'!A284</f>
        <v>5890</v>
      </c>
      <c r="B283" s="163" t="str">
        <f>'B) D RI'!B284</f>
        <v>Vevey</v>
      </c>
      <c r="C283" s="347">
        <f>'B) D RI'!S284</f>
        <v>73</v>
      </c>
      <c r="D283" s="164">
        <f>'B) D RI'!AR284</f>
        <v>19829</v>
      </c>
      <c r="E283" s="345">
        <f>'D) Ecrêtage'!M282</f>
        <v>976058.24146118714</v>
      </c>
      <c r="F283" s="349">
        <f>'E) Fact soc'!G288</f>
        <v>17723171.761181466</v>
      </c>
      <c r="G283" s="346">
        <f>'H) Péréquation directe'!I293</f>
        <v>3403863.2017245237</v>
      </c>
      <c r="H283" s="349">
        <f>+'I) Dépenses thématiques'!O282</f>
        <v>-1767413.0620368556</v>
      </c>
      <c r="I283" s="346">
        <f>'K) Plafonnement aide'!J282</f>
        <v>0</v>
      </c>
      <c r="J283" s="349">
        <f>'J) Plafonnement effort'!I282</f>
        <v>0</v>
      </c>
      <c r="K283" s="346">
        <f>'L) Plafonnement taux'!Q283</f>
        <v>0</v>
      </c>
      <c r="L283" s="344">
        <f t="shared" si="15"/>
        <v>19359621.900869131</v>
      </c>
      <c r="M283" s="246">
        <f>'M) Police'!O283</f>
        <v>1211831.1123917019</v>
      </c>
      <c r="N283" s="246">
        <f t="shared" si="14"/>
        <v>20571453.013260834</v>
      </c>
      <c r="P283" s="307"/>
      <c r="R283" s="352"/>
    </row>
    <row r="284" spans="1:18" s="165" customFormat="1" x14ac:dyDescent="0.25">
      <c r="A284" s="162">
        <f>'B) D RI'!A285</f>
        <v>5891</v>
      </c>
      <c r="B284" s="163" t="str">
        <f>'B) D RI'!B285</f>
        <v>Veytaux</v>
      </c>
      <c r="C284" s="347">
        <f>'B) D RI'!S285</f>
        <v>69</v>
      </c>
      <c r="D284" s="164">
        <f>'B) D RI'!AR285</f>
        <v>870</v>
      </c>
      <c r="E284" s="345">
        <f>'D) Ecrêtage'!M283</f>
        <v>35228.276473429949</v>
      </c>
      <c r="F284" s="349">
        <f>'E) Fact soc'!G289</f>
        <v>650631.80512564851</v>
      </c>
      <c r="G284" s="346">
        <f>'H) Péréquation directe'!I294</f>
        <v>494623.56036466331</v>
      </c>
      <c r="H284" s="349">
        <f>+'I) Dépenses thématiques'!O283</f>
        <v>-303750.94629688968</v>
      </c>
      <c r="I284" s="346">
        <f>'K) Plafonnement aide'!J283</f>
        <v>0</v>
      </c>
      <c r="J284" s="349">
        <f>'J) Plafonnement effort'!I283</f>
        <v>0</v>
      </c>
      <c r="K284" s="346">
        <f>'L) Plafonnement taux'!Q284</f>
        <v>0</v>
      </c>
      <c r="L284" s="344">
        <f t="shared" si="15"/>
        <v>841504.41919342207</v>
      </c>
      <c r="M284" s="246">
        <f>'M) Police'!O284</f>
        <v>43737.883307588083</v>
      </c>
      <c r="N284" s="246">
        <f t="shared" si="14"/>
        <v>885242.30250101013</v>
      </c>
      <c r="P284" s="307"/>
      <c r="R284" s="352"/>
    </row>
    <row r="285" spans="1:18" s="165" customFormat="1" x14ac:dyDescent="0.25">
      <c r="A285" s="162">
        <f>'B) D RI'!A286</f>
        <v>5902</v>
      </c>
      <c r="B285" s="163" t="str">
        <f>'B) D RI'!B286</f>
        <v>Belmont-sur-Yverdon</v>
      </c>
      <c r="C285" s="347">
        <f>'B) D RI'!S286</f>
        <v>76</v>
      </c>
      <c r="D285" s="164">
        <f>'B) D RI'!AR286</f>
        <v>378</v>
      </c>
      <c r="E285" s="345">
        <f>'D) Ecrêtage'!M284</f>
        <v>9905.4513157894726</v>
      </c>
      <c r="F285" s="349">
        <f>'E) Fact soc'!G290</f>
        <v>180448.27157552022</v>
      </c>
      <c r="G285" s="346">
        <f>'H) Péréquation directe'!I295</f>
        <v>-15351.315299288282</v>
      </c>
      <c r="H285" s="349">
        <f>+'I) Dépenses thématiques'!O284</f>
        <v>-344680.04079495091</v>
      </c>
      <c r="I285" s="346">
        <f>'K) Plafonnement aide'!J284</f>
        <v>0</v>
      </c>
      <c r="J285" s="349">
        <f>'J) Plafonnement effort'!I284</f>
        <v>0</v>
      </c>
      <c r="K285" s="346">
        <f>'L) Plafonnement taux'!Q285</f>
        <v>0</v>
      </c>
      <c r="L285" s="344">
        <f t="shared" si="15"/>
        <v>-179583.08451871897</v>
      </c>
      <c r="M285" s="246">
        <f>'M) Police'!O285</f>
        <v>30739.51347279421</v>
      </c>
      <c r="N285" s="246">
        <f t="shared" si="14"/>
        <v>-148843.57104592476</v>
      </c>
      <c r="P285" s="307"/>
      <c r="R285" s="352"/>
    </row>
    <row r="286" spans="1:18" s="165" customFormat="1" x14ac:dyDescent="0.25">
      <c r="A286" s="162">
        <f>'B) D RI'!A287</f>
        <v>5903</v>
      </c>
      <c r="B286" s="163" t="str">
        <f>'B) D RI'!B287</f>
        <v>Bioley-Magnoux</v>
      </c>
      <c r="C286" s="347">
        <f>'B) D RI'!S287</f>
        <v>74</v>
      </c>
      <c r="D286" s="164">
        <f>'B) D RI'!AR287</f>
        <v>225</v>
      </c>
      <c r="E286" s="345">
        <f>'D) Ecrêtage'!M285</f>
        <v>5979.8765830115835</v>
      </c>
      <c r="F286" s="349">
        <f>'E) Fact soc'!G291</f>
        <v>105284.85473750488</v>
      </c>
      <c r="G286" s="346">
        <f>'H) Péréquation directe'!I296</f>
        <v>-785.53799754756619</v>
      </c>
      <c r="H286" s="349">
        <f>+'I) Dépenses thématiques'!O285</f>
        <v>-280665.89581577235</v>
      </c>
      <c r="I286" s="346">
        <f>'K) Plafonnement aide'!J285</f>
        <v>0</v>
      </c>
      <c r="J286" s="349">
        <f>'J) Plafonnement effort'!I285</f>
        <v>0</v>
      </c>
      <c r="K286" s="346">
        <f>'L) Plafonnement taux'!Q286</f>
        <v>0</v>
      </c>
      <c r="L286" s="344">
        <f t="shared" si="15"/>
        <v>-176166.57907581504</v>
      </c>
      <c r="M286" s="246">
        <f>'M) Police'!O286</f>
        <v>18477.623088097178</v>
      </c>
      <c r="N286" s="246">
        <f t="shared" si="14"/>
        <v>-157688.95598771787</v>
      </c>
      <c r="P286" s="307"/>
      <c r="R286" s="352"/>
    </row>
    <row r="287" spans="1:18" s="165" customFormat="1" x14ac:dyDescent="0.25">
      <c r="A287" s="162">
        <f>'B) D RI'!A288</f>
        <v>5904</v>
      </c>
      <c r="B287" s="163" t="str">
        <f>'B) D RI'!B288</f>
        <v>Chamblon</v>
      </c>
      <c r="C287" s="347">
        <f>'B) D RI'!S288</f>
        <v>66</v>
      </c>
      <c r="D287" s="164">
        <f>'B) D RI'!AR288</f>
        <v>534</v>
      </c>
      <c r="E287" s="345">
        <f>'D) Ecrêtage'!M286</f>
        <v>21723.445757575762</v>
      </c>
      <c r="F287" s="349">
        <f>'E) Fact soc'!G292</f>
        <v>377471.1613365697</v>
      </c>
      <c r="G287" s="346">
        <f>'H) Péréquation directe'!I297</f>
        <v>310888.34053482197</v>
      </c>
      <c r="H287" s="349">
        <f>+'I) Dépenses thématiques'!O286</f>
        <v>0</v>
      </c>
      <c r="I287" s="346">
        <f>'K) Plafonnement aide'!J286</f>
        <v>0</v>
      </c>
      <c r="J287" s="349">
        <f>'J) Plafonnement effort'!I286</f>
        <v>0</v>
      </c>
      <c r="K287" s="346">
        <f>'L) Plafonnement taux'!Q287</f>
        <v>0</v>
      </c>
      <c r="L287" s="344">
        <f t="shared" si="15"/>
        <v>688359.50187139167</v>
      </c>
      <c r="M287" s="246">
        <f>'M) Police'!O287</f>
        <v>26970.877678338467</v>
      </c>
      <c r="N287" s="246">
        <f t="shared" si="14"/>
        <v>715330.3795497301</v>
      </c>
      <c r="P287" s="307"/>
      <c r="R287" s="352"/>
    </row>
    <row r="288" spans="1:18" s="165" customFormat="1" x14ac:dyDescent="0.25">
      <c r="A288" s="162">
        <f>'B) D RI'!A289</f>
        <v>5905</v>
      </c>
      <c r="B288" s="163" t="str">
        <f>'B) D RI'!B289</f>
        <v>Champvent</v>
      </c>
      <c r="C288" s="347">
        <f>'B) D RI'!S289</f>
        <v>71</v>
      </c>
      <c r="D288" s="164">
        <f>'B) D RI'!AR289</f>
        <v>669</v>
      </c>
      <c r="E288" s="345">
        <f>'D) Ecrêtage'!M287</f>
        <v>23277.051267605631</v>
      </c>
      <c r="F288" s="349">
        <f>'E) Fact soc'!G293</f>
        <v>407523.94432475348</v>
      </c>
      <c r="G288" s="346">
        <f>'H) Péréquation directe'!I298</f>
        <v>230362.93815238905</v>
      </c>
      <c r="H288" s="349">
        <f>+'I) Dépenses thématiques'!O287</f>
        <v>-66969.424162954121</v>
      </c>
      <c r="I288" s="346">
        <f>'K) Plafonnement aide'!J287</f>
        <v>0</v>
      </c>
      <c r="J288" s="349">
        <f>'J) Plafonnement effort'!I287</f>
        <v>0</v>
      </c>
      <c r="K288" s="346">
        <f>'L) Plafonnement taux'!Q288</f>
        <v>0</v>
      </c>
      <c r="L288" s="344">
        <f t="shared" si="15"/>
        <v>570917.45831418841</v>
      </c>
      <c r="M288" s="246">
        <f>'M) Police'!O288</f>
        <v>72744.827844047031</v>
      </c>
      <c r="N288" s="246">
        <f t="shared" si="14"/>
        <v>643662.28615823539</v>
      </c>
      <c r="P288" s="307"/>
      <c r="R288" s="352"/>
    </row>
    <row r="289" spans="1:18" s="165" customFormat="1" x14ac:dyDescent="0.25">
      <c r="A289" s="162">
        <f>'B) D RI'!A290</f>
        <v>5907</v>
      </c>
      <c r="B289" s="163" t="str">
        <f>'B) D RI'!B290</f>
        <v>Chavannes-le-Chêne</v>
      </c>
      <c r="C289" s="347">
        <f>'B) D RI'!S290</f>
        <v>78</v>
      </c>
      <c r="D289" s="164">
        <f>'B) D RI'!AR290</f>
        <v>298</v>
      </c>
      <c r="E289" s="345">
        <f>'D) Ecrêtage'!M288</f>
        <v>8647.1699999999983</v>
      </c>
      <c r="F289" s="349">
        <f>'E) Fact soc'!G294</f>
        <v>136408.32817437782</v>
      </c>
      <c r="G289" s="346">
        <f>'H) Péréquation directe'!I299</f>
        <v>16864.803514757863</v>
      </c>
      <c r="H289" s="349">
        <f>+'I) Dépenses thématiques'!O288</f>
        <v>-78002.091054270189</v>
      </c>
      <c r="I289" s="346">
        <f>'K) Plafonnement aide'!J288</f>
        <v>0</v>
      </c>
      <c r="J289" s="349">
        <f>'J) Plafonnement effort'!I288</f>
        <v>0</v>
      </c>
      <c r="K289" s="346">
        <f>'L) Plafonnement taux'!Q289</f>
        <v>0</v>
      </c>
      <c r="L289" s="344">
        <f t="shared" si="15"/>
        <v>75271.040634865494</v>
      </c>
      <c r="M289" s="246">
        <f>'M) Police'!O289</f>
        <v>26993.653759795987</v>
      </c>
      <c r="N289" s="246">
        <f t="shared" si="14"/>
        <v>102264.69439466148</v>
      </c>
      <c r="P289" s="307"/>
      <c r="R289" s="352"/>
    </row>
    <row r="290" spans="1:18" s="165" customFormat="1" x14ac:dyDescent="0.25">
      <c r="A290" s="162">
        <f>'B) D RI'!A291</f>
        <v>5908</v>
      </c>
      <c r="B290" s="163" t="str">
        <f>'B) D RI'!B291</f>
        <v>Chêne-Pâquier</v>
      </c>
      <c r="C290" s="347">
        <f>'B) D RI'!S291</f>
        <v>79</v>
      </c>
      <c r="D290" s="164">
        <f>'B) D RI'!AR291</f>
        <v>139</v>
      </c>
      <c r="E290" s="345">
        <f>'D) Ecrêtage'!M289</f>
        <v>2751.637341772152</v>
      </c>
      <c r="F290" s="349">
        <f>'E) Fact soc'!G295</f>
        <v>42736.095836480359</v>
      </c>
      <c r="G290" s="346">
        <f>'H) Péréquation directe'!I300</f>
        <v>-48960.819083928196</v>
      </c>
      <c r="H290" s="349">
        <f>+'I) Dépenses thématiques'!O289</f>
        <v>-33698.323290696353</v>
      </c>
      <c r="I290" s="346">
        <f>'K) Plafonnement aide'!J289</f>
        <v>0</v>
      </c>
      <c r="J290" s="349">
        <f>'J) Plafonnement effort'!I289</f>
        <v>0</v>
      </c>
      <c r="K290" s="346">
        <f>'L) Plafonnement taux'!Q290</f>
        <v>0</v>
      </c>
      <c r="L290" s="344">
        <f t="shared" si="15"/>
        <v>-39923.04653814419</v>
      </c>
      <c r="M290" s="246">
        <f>'M) Police'!O290</f>
        <v>8506.5869476428288</v>
      </c>
      <c r="N290" s="246">
        <f t="shared" si="14"/>
        <v>-31416.459590501363</v>
      </c>
      <c r="P290" s="307"/>
      <c r="R290" s="352"/>
    </row>
    <row r="291" spans="1:18" s="165" customFormat="1" x14ac:dyDescent="0.25">
      <c r="A291" s="162">
        <f>'B) D RI'!A292</f>
        <v>5909</v>
      </c>
      <c r="B291" s="163" t="str">
        <f>'B) D RI'!B292</f>
        <v>Cheseaux-Noréaz</v>
      </c>
      <c r="C291" s="347">
        <f>'B) D RI'!S292</f>
        <v>70</v>
      </c>
      <c r="D291" s="164">
        <f>'B) D RI'!AR292</f>
        <v>705</v>
      </c>
      <c r="E291" s="345">
        <f>'D) Ecrêtage'!M290</f>
        <v>27973.27357142857</v>
      </c>
      <c r="F291" s="349">
        <f>'E) Fact soc'!G296</f>
        <v>557264.46159392199</v>
      </c>
      <c r="G291" s="346">
        <f>'H) Péréquation directe'!I301</f>
        <v>377370.96163493372</v>
      </c>
      <c r="H291" s="349">
        <f>+'I) Dépenses thématiques'!O290</f>
        <v>-114663.12440670673</v>
      </c>
      <c r="I291" s="346">
        <f>'K) Plafonnement aide'!J290</f>
        <v>0</v>
      </c>
      <c r="J291" s="349">
        <f>'J) Plafonnement effort'!I290</f>
        <v>0</v>
      </c>
      <c r="K291" s="346">
        <f>'L) Plafonnement taux'!Q291</f>
        <v>0</v>
      </c>
      <c r="L291" s="344">
        <f t="shared" si="15"/>
        <v>819972.29882214894</v>
      </c>
      <c r="M291" s="246">
        <f>'M) Police'!O291</f>
        <v>34730.389836731541</v>
      </c>
      <c r="N291" s="246">
        <f t="shared" si="14"/>
        <v>854702.68865888054</v>
      </c>
      <c r="P291" s="307"/>
      <c r="R291" s="352"/>
    </row>
    <row r="292" spans="1:18" s="165" customFormat="1" x14ac:dyDescent="0.25">
      <c r="A292" s="162">
        <f>'B) D RI'!A293</f>
        <v>5910</v>
      </c>
      <c r="B292" s="163" t="str">
        <f>'B) D RI'!B293</f>
        <v>Cronay</v>
      </c>
      <c r="C292" s="347">
        <f>'B) D RI'!S293</f>
        <v>79</v>
      </c>
      <c r="D292" s="164">
        <f>'B) D RI'!AR293</f>
        <v>380</v>
      </c>
      <c r="E292" s="345">
        <f>'D) Ecrêtage'!M291</f>
        <v>10127.988607594936</v>
      </c>
      <c r="F292" s="349">
        <f>'E) Fact soc'!G297</f>
        <v>156298.52928537357</v>
      </c>
      <c r="G292" s="346">
        <f>'H) Péréquation directe'!I302</f>
        <v>-21112.686882950016</v>
      </c>
      <c r="H292" s="349">
        <f>+'I) Dépenses thématiques'!O291</f>
        <v>-89721.982770377072</v>
      </c>
      <c r="I292" s="346">
        <f>'K) Plafonnement aide'!J291</f>
        <v>0</v>
      </c>
      <c r="J292" s="349">
        <f>'J) Plafonnement effort'!I291</f>
        <v>0</v>
      </c>
      <c r="K292" s="346">
        <f>'L) Plafonnement taux'!Q292</f>
        <v>0</v>
      </c>
      <c r="L292" s="344">
        <f t="shared" si="15"/>
        <v>45463.859632046486</v>
      </c>
      <c r="M292" s="246">
        <f>'M) Police'!O292</f>
        <v>31522.957681583932</v>
      </c>
      <c r="N292" s="246">
        <f t="shared" si="14"/>
        <v>76986.817313630425</v>
      </c>
      <c r="P292" s="307"/>
      <c r="R292" s="352"/>
    </row>
    <row r="293" spans="1:18" s="165" customFormat="1" x14ac:dyDescent="0.25">
      <c r="A293" s="162">
        <f>'B) D RI'!A294</f>
        <v>5911</v>
      </c>
      <c r="B293" s="163" t="str">
        <f>'B) D RI'!B294</f>
        <v>Cuarny</v>
      </c>
      <c r="C293" s="347">
        <f>'B) D RI'!S294</f>
        <v>79</v>
      </c>
      <c r="D293" s="164">
        <f>'B) D RI'!AR294</f>
        <v>241</v>
      </c>
      <c r="E293" s="345">
        <f>'D) Ecrêtage'!M292</f>
        <v>7075.4874683544303</v>
      </c>
      <c r="F293" s="349">
        <f>'E) Fact soc'!G298</f>
        <v>111533.89084132623</v>
      </c>
      <c r="G293" s="346">
        <f>'H) Péréquation directe'!I303</f>
        <v>14830.230354213461</v>
      </c>
      <c r="H293" s="349">
        <f>+'I) Dépenses thématiques'!O292</f>
        <v>-20076.670740414957</v>
      </c>
      <c r="I293" s="346">
        <f>'K) Plafonnement aide'!J292</f>
        <v>0</v>
      </c>
      <c r="J293" s="349">
        <f>'J) Plafonnement effort'!I292</f>
        <v>0</v>
      </c>
      <c r="K293" s="346">
        <f>'L) Plafonnement taux'!Q293</f>
        <v>0</v>
      </c>
      <c r="L293" s="344">
        <f t="shared" si="15"/>
        <v>106287.45045512472</v>
      </c>
      <c r="M293" s="246">
        <f>'M) Police'!O293</f>
        <v>22135.513967543702</v>
      </c>
      <c r="N293" s="246">
        <f t="shared" si="14"/>
        <v>128422.96442266842</v>
      </c>
      <c r="P293" s="307"/>
      <c r="R293" s="352"/>
    </row>
    <row r="294" spans="1:18" s="165" customFormat="1" x14ac:dyDescent="0.25">
      <c r="A294" s="162">
        <f>'B) D RI'!A295</f>
        <v>5912</v>
      </c>
      <c r="B294" s="163" t="str">
        <f>'B) D RI'!B295</f>
        <v>Démoret</v>
      </c>
      <c r="C294" s="347">
        <f>'B) D RI'!S295</f>
        <v>81</v>
      </c>
      <c r="D294" s="164">
        <f>'B) D RI'!AR295</f>
        <v>146</v>
      </c>
      <c r="E294" s="345">
        <f>'D) Ecrêtage'!M293</f>
        <v>3190.0809876543208</v>
      </c>
      <c r="F294" s="349">
        <f>'E) Fact soc'!G299</f>
        <v>55029.746675149378</v>
      </c>
      <c r="G294" s="346">
        <f>'H) Péréquation directe'!I304</f>
        <v>-42707.523067450275</v>
      </c>
      <c r="H294" s="349">
        <f>+'I) Dépenses thématiques'!O293</f>
        <v>-14612.502330182568</v>
      </c>
      <c r="I294" s="346">
        <f>'K) Plafonnement aide'!J293</f>
        <v>0</v>
      </c>
      <c r="J294" s="349">
        <f>'J) Plafonnement effort'!I293</f>
        <v>0</v>
      </c>
      <c r="K294" s="346">
        <f>'L) Plafonnement taux'!Q294</f>
        <v>0</v>
      </c>
      <c r="L294" s="344">
        <f t="shared" si="15"/>
        <v>-2290.2787224834647</v>
      </c>
      <c r="M294" s="246">
        <f>'M) Police'!O294</f>
        <v>9868.2414591717716</v>
      </c>
      <c r="N294" s="246">
        <f t="shared" si="14"/>
        <v>7577.9627366883069</v>
      </c>
      <c r="P294" s="307"/>
      <c r="R294" s="352"/>
    </row>
    <row r="295" spans="1:18" s="165" customFormat="1" x14ac:dyDescent="0.25">
      <c r="A295" s="162">
        <f>'B) D RI'!A296</f>
        <v>5913</v>
      </c>
      <c r="B295" s="163" t="str">
        <f>'B) D RI'!B296</f>
        <v>Donneloye</v>
      </c>
      <c r="C295" s="347">
        <f>'B) D RI'!S296</f>
        <v>73</v>
      </c>
      <c r="D295" s="164">
        <f>'B) D RI'!AR296</f>
        <v>813</v>
      </c>
      <c r="E295" s="345">
        <f>'D) Ecrêtage'!M294</f>
        <v>20217.518082191778</v>
      </c>
      <c r="F295" s="349">
        <f>'E) Fact soc'!G300</f>
        <v>348454.26859279501</v>
      </c>
      <c r="G295" s="346">
        <f>'H) Péréquation directe'!I305</f>
        <v>-49295.150389810093</v>
      </c>
      <c r="H295" s="349">
        <f>+'I) Dépenses thématiques'!O294</f>
        <v>-121788.06536372998</v>
      </c>
      <c r="I295" s="346">
        <f>'K) Plafonnement aide'!J294</f>
        <v>0</v>
      </c>
      <c r="J295" s="349">
        <f>'J) Plafonnement effort'!I294</f>
        <v>0</v>
      </c>
      <c r="K295" s="346">
        <f>'L) Plafonnement taux'!Q295</f>
        <v>0</v>
      </c>
      <c r="L295" s="344">
        <f t="shared" si="15"/>
        <v>177371.05283925493</v>
      </c>
      <c r="M295" s="246">
        <f>'M) Police'!O295</f>
        <v>62616.084459536665</v>
      </c>
      <c r="N295" s="246">
        <f t="shared" si="14"/>
        <v>239987.13729879161</v>
      </c>
      <c r="P295" s="307"/>
      <c r="R295" s="352"/>
    </row>
    <row r="296" spans="1:18" s="165" customFormat="1" x14ac:dyDescent="0.25">
      <c r="A296" s="162">
        <f>'B) D RI'!A297</f>
        <v>5914</v>
      </c>
      <c r="B296" s="163" t="str">
        <f>'B) D RI'!B297</f>
        <v>Ependes</v>
      </c>
      <c r="C296" s="347">
        <f>'B) D RI'!S297</f>
        <v>75</v>
      </c>
      <c r="D296" s="164">
        <f>'B) D RI'!AR297</f>
        <v>361</v>
      </c>
      <c r="E296" s="345">
        <f>'D) Ecrêtage'!M295</f>
        <v>9998.8652000000002</v>
      </c>
      <c r="F296" s="349">
        <f>'E) Fact soc'!G301</f>
        <v>168994.49585355975</v>
      </c>
      <c r="G296" s="346">
        <f>'H) Péréquation directe'!I306</f>
        <v>11361.410313243599</v>
      </c>
      <c r="H296" s="349">
        <f>+'I) Dépenses thématiques'!O295</f>
        <v>-66573.501271813584</v>
      </c>
      <c r="I296" s="346">
        <f>'K) Plafonnement aide'!J295</f>
        <v>0</v>
      </c>
      <c r="J296" s="349">
        <f>'J) Plafonnement effort'!I295</f>
        <v>0</v>
      </c>
      <c r="K296" s="346">
        <f>'L) Plafonnement taux'!Q296</f>
        <v>0</v>
      </c>
      <c r="L296" s="344">
        <f t="shared" si="15"/>
        <v>113782.40489498977</v>
      </c>
      <c r="M296" s="246">
        <f>'M) Police'!O296</f>
        <v>12414.152581541934</v>
      </c>
      <c r="N296" s="246">
        <f t="shared" si="14"/>
        <v>126196.5574765317</v>
      </c>
      <c r="P296" s="307"/>
      <c r="R296" s="352"/>
    </row>
    <row r="297" spans="1:18" s="165" customFormat="1" x14ac:dyDescent="0.25">
      <c r="A297" s="162">
        <f>'B) D RI'!A298</f>
        <v>5919</v>
      </c>
      <c r="B297" s="163" t="str">
        <f>'B) D RI'!B298</f>
        <v>Mathod</v>
      </c>
      <c r="C297" s="347">
        <f>'B) D RI'!S298</f>
        <v>72</v>
      </c>
      <c r="D297" s="164">
        <f>'B) D RI'!AR298</f>
        <v>617</v>
      </c>
      <c r="E297" s="345">
        <f>'D) Ecrêtage'!M296</f>
        <v>15974.205138888889</v>
      </c>
      <c r="F297" s="349">
        <f>'E) Fact soc'!G302</f>
        <v>252298.00716047914</v>
      </c>
      <c r="G297" s="346">
        <f>'H) Péréquation directe'!I307</f>
        <v>-5687.7009152862593</v>
      </c>
      <c r="H297" s="349">
        <f>+'I) Dépenses thématiques'!O296</f>
        <v>-244912.79067008392</v>
      </c>
      <c r="I297" s="346">
        <f>'K) Plafonnement aide'!J296</f>
        <v>0</v>
      </c>
      <c r="J297" s="349">
        <f>'J) Plafonnement effort'!I296</f>
        <v>0</v>
      </c>
      <c r="K297" s="346">
        <f>'L) Plafonnement taux'!Q297</f>
        <v>0</v>
      </c>
      <c r="L297" s="344">
        <f t="shared" si="15"/>
        <v>1697.5155751089624</v>
      </c>
      <c r="M297" s="246">
        <f>'M) Police'!O297</f>
        <v>19832.872630687922</v>
      </c>
      <c r="N297" s="246">
        <f t="shared" si="14"/>
        <v>21530.388205796884</v>
      </c>
      <c r="P297" s="307"/>
      <c r="R297" s="352"/>
    </row>
    <row r="298" spans="1:18" s="165" customFormat="1" x14ac:dyDescent="0.25">
      <c r="A298" s="162">
        <f>'B) D RI'!A299</f>
        <v>5921</v>
      </c>
      <c r="B298" s="163" t="str">
        <f>'B) D RI'!B299</f>
        <v>Molondin</v>
      </c>
      <c r="C298" s="347">
        <f>'B) D RI'!S299</f>
        <v>81</v>
      </c>
      <c r="D298" s="164">
        <f>'B) D RI'!AR299</f>
        <v>232</v>
      </c>
      <c r="E298" s="345">
        <f>'D) Ecrêtage'!M297</f>
        <v>5428.3767901234569</v>
      </c>
      <c r="F298" s="349">
        <f>'E) Fact soc'!G303</f>
        <v>93480.087931515431</v>
      </c>
      <c r="G298" s="346">
        <f>'H) Péréquation directe'!I308</f>
        <v>-51865.285733505065</v>
      </c>
      <c r="H298" s="349">
        <f>+'I) Dépenses thématiques'!O297</f>
        <v>-36547.966084312451</v>
      </c>
      <c r="I298" s="346">
        <f>'K) Plafonnement aide'!J297</f>
        <v>0</v>
      </c>
      <c r="J298" s="349">
        <f>'J) Plafonnement effort'!I297</f>
        <v>0</v>
      </c>
      <c r="K298" s="346">
        <f>'L) Plafonnement taux'!Q298</f>
        <v>0</v>
      </c>
      <c r="L298" s="344">
        <f t="shared" si="15"/>
        <v>5066.8361136979147</v>
      </c>
      <c r="M298" s="246">
        <f>'M) Police'!O298</f>
        <v>16888.215328743128</v>
      </c>
      <c r="N298" s="246">
        <f t="shared" si="14"/>
        <v>21955.051442441043</v>
      </c>
      <c r="P298" s="307"/>
      <c r="R298" s="352"/>
    </row>
    <row r="299" spans="1:18" s="165" customFormat="1" x14ac:dyDescent="0.25">
      <c r="A299" s="162">
        <f>'B) D RI'!A300</f>
        <v>5922</v>
      </c>
      <c r="B299" s="163" t="str">
        <f>'B) D RI'!B300</f>
        <v>Montagny-près-Yverdon</v>
      </c>
      <c r="C299" s="347">
        <f>'B) D RI'!S300</f>
        <v>61</v>
      </c>
      <c r="D299" s="164">
        <f>'B) D RI'!AR300</f>
        <v>717</v>
      </c>
      <c r="E299" s="345">
        <f>'D) Ecrêtage'!M298</f>
        <v>46148.683999846275</v>
      </c>
      <c r="F299" s="349">
        <f>'E) Fact soc'!G304</f>
        <v>1000181.9108635731</v>
      </c>
      <c r="G299" s="346">
        <f>'H) Péréquation directe'!I309</f>
        <v>782363.85908095865</v>
      </c>
      <c r="H299" s="349">
        <f>+'I) Dépenses thématiques'!O298</f>
        <v>-169060.21127146078</v>
      </c>
      <c r="I299" s="346">
        <f>'K) Plafonnement aide'!J298</f>
        <v>0</v>
      </c>
      <c r="J299" s="349">
        <f>'J) Plafonnement effort'!I298</f>
        <v>0</v>
      </c>
      <c r="K299" s="346">
        <f>'L) Plafonnement taux'!Q299</f>
        <v>0</v>
      </c>
      <c r="L299" s="344">
        <f t="shared" si="15"/>
        <v>1613485.558673071</v>
      </c>
      <c r="M299" s="246">
        <f>'M) Police'!O299</f>
        <v>119042.91338011363</v>
      </c>
      <c r="N299" s="246">
        <f t="shared" si="14"/>
        <v>1732528.4720531846</v>
      </c>
      <c r="P299" s="307"/>
      <c r="R299" s="352"/>
    </row>
    <row r="300" spans="1:18" s="165" customFormat="1" x14ac:dyDescent="0.25">
      <c r="A300" s="162">
        <f>'B) D RI'!A301</f>
        <v>5923</v>
      </c>
      <c r="B300" s="163" t="str">
        <f>'B) D RI'!B301</f>
        <v>Oppens</v>
      </c>
      <c r="C300" s="347">
        <f>'B) D RI'!S301</f>
        <v>81</v>
      </c>
      <c r="D300" s="164">
        <f>'B) D RI'!AR301</f>
        <v>187</v>
      </c>
      <c r="E300" s="345">
        <f>'D) Ecrêtage'!M299</f>
        <v>4655.3639506172849</v>
      </c>
      <c r="F300" s="349">
        <f>'E) Fact soc'!G305</f>
        <v>79893.877619510255</v>
      </c>
      <c r="G300" s="346">
        <f>'H) Péréquation directe'!I310</f>
        <v>-29338.514494026356</v>
      </c>
      <c r="H300" s="349">
        <f>+'I) Dépenses thématiques'!O299</f>
        <v>-42627.476174249394</v>
      </c>
      <c r="I300" s="346">
        <f>'K) Plafonnement aide'!J299</f>
        <v>0</v>
      </c>
      <c r="J300" s="349">
        <f>'J) Plafonnement effort'!I299</f>
        <v>0</v>
      </c>
      <c r="K300" s="346">
        <f>'L) Plafonnement taux'!Q300</f>
        <v>0</v>
      </c>
      <c r="L300" s="344">
        <f t="shared" si="15"/>
        <v>7927.8869512345045</v>
      </c>
      <c r="M300" s="246">
        <f>'M) Police'!O300</f>
        <v>14502.811298681769</v>
      </c>
      <c r="N300" s="246">
        <f t="shared" si="14"/>
        <v>22430.698249916273</v>
      </c>
      <c r="P300" s="307"/>
      <c r="R300" s="352"/>
    </row>
    <row r="301" spans="1:18" s="165" customFormat="1" x14ac:dyDescent="0.25">
      <c r="A301" s="162">
        <f>'B) D RI'!A302</f>
        <v>5924</v>
      </c>
      <c r="B301" s="163" t="str">
        <f>'B) D RI'!B302</f>
        <v>Orges</v>
      </c>
      <c r="C301" s="347">
        <f>'B) D RI'!S302</f>
        <v>74</v>
      </c>
      <c r="D301" s="164">
        <f>'B) D RI'!AR302</f>
        <v>336</v>
      </c>
      <c r="E301" s="345">
        <f>'D) Ecrêtage'!M300</f>
        <v>10584.548243243244</v>
      </c>
      <c r="F301" s="349">
        <f>'E) Fact soc'!G306</f>
        <v>169493.41458186595</v>
      </c>
      <c r="G301" s="346">
        <f>'H) Péréquation directe'!I311</f>
        <v>65392.992261398467</v>
      </c>
      <c r="H301" s="349">
        <f>+'I) Dépenses thématiques'!O300</f>
        <v>0</v>
      </c>
      <c r="I301" s="346">
        <f>'K) Plafonnement aide'!J300</f>
        <v>0</v>
      </c>
      <c r="J301" s="349">
        <f>'J) Plafonnement effort'!I300</f>
        <v>0</v>
      </c>
      <c r="K301" s="346">
        <f>'L) Plafonnement taux'!Q301</f>
        <v>0</v>
      </c>
      <c r="L301" s="344">
        <f t="shared" si="15"/>
        <v>234886.40684326441</v>
      </c>
      <c r="M301" s="246">
        <f>'M) Police'!O301</f>
        <v>33239.865560394319</v>
      </c>
      <c r="N301" s="246">
        <f t="shared" si="14"/>
        <v>268126.27240365872</v>
      </c>
      <c r="P301" s="307"/>
      <c r="R301" s="352"/>
    </row>
    <row r="302" spans="1:18" s="165" customFormat="1" x14ac:dyDescent="0.25">
      <c r="A302" s="162">
        <f>'B) D RI'!A303</f>
        <v>5925</v>
      </c>
      <c r="B302" s="163" t="str">
        <f>'B) D RI'!B303</f>
        <v>Orzens</v>
      </c>
      <c r="C302" s="347">
        <f>'B) D RI'!S303</f>
        <v>79</v>
      </c>
      <c r="D302" s="164">
        <f>'B) D RI'!AR303</f>
        <v>195</v>
      </c>
      <c r="E302" s="345">
        <f>'D) Ecrêtage'!M301</f>
        <v>4781.2708860759494</v>
      </c>
      <c r="F302" s="349">
        <f>'E) Fact soc'!G307</f>
        <v>75861.540212369291</v>
      </c>
      <c r="G302" s="346">
        <f>'H) Péréquation directe'!I312</f>
        <v>-28833.218296365478</v>
      </c>
      <c r="H302" s="349">
        <f>+'I) Dépenses thématiques'!O301</f>
        <v>-10386.539123850955</v>
      </c>
      <c r="I302" s="346">
        <f>'K) Plafonnement aide'!J301</f>
        <v>0</v>
      </c>
      <c r="J302" s="349">
        <f>'J) Plafonnement effort'!I301</f>
        <v>0</v>
      </c>
      <c r="K302" s="346">
        <f>'L) Plafonnement taux'!Q302</f>
        <v>0</v>
      </c>
      <c r="L302" s="344">
        <f t="shared" si="15"/>
        <v>36641.782792152859</v>
      </c>
      <c r="M302" s="246">
        <f>'M) Police'!O302</f>
        <v>14715.96817189996</v>
      </c>
      <c r="N302" s="246">
        <f t="shared" si="14"/>
        <v>51357.750964052815</v>
      </c>
      <c r="P302" s="307"/>
      <c r="R302" s="352"/>
    </row>
    <row r="303" spans="1:18" s="165" customFormat="1" x14ac:dyDescent="0.25">
      <c r="A303" s="162">
        <f>'B) D RI'!A304</f>
        <v>5926</v>
      </c>
      <c r="B303" s="163" t="str">
        <f>'B) D RI'!B304</f>
        <v>Pomy</v>
      </c>
      <c r="C303" s="347">
        <f>'B) D RI'!S304</f>
        <v>71</v>
      </c>
      <c r="D303" s="164">
        <f>'B) D RI'!AR304</f>
        <v>785</v>
      </c>
      <c r="E303" s="345">
        <f>'D) Ecrêtage'!M302</f>
        <v>23350.72985915493</v>
      </c>
      <c r="F303" s="349">
        <f>'E) Fact soc'!G308</f>
        <v>395702.99005533132</v>
      </c>
      <c r="G303" s="346">
        <f>'H) Péréquation directe'!I313</f>
        <v>117739.04546848848</v>
      </c>
      <c r="H303" s="349">
        <f>+'I) Dépenses thématiques'!O302</f>
        <v>-34394.484264507439</v>
      </c>
      <c r="I303" s="346">
        <f>'K) Plafonnement aide'!J302</f>
        <v>0</v>
      </c>
      <c r="J303" s="349">
        <f>'J) Plafonnement effort'!I302</f>
        <v>0</v>
      </c>
      <c r="K303" s="346">
        <f>'L) Plafonnement taux'!Q303</f>
        <v>0</v>
      </c>
      <c r="L303" s="344">
        <f t="shared" si="15"/>
        <v>479047.55125931237</v>
      </c>
      <c r="M303" s="246">
        <f>'M) Police'!O303</f>
        <v>28991.242262363579</v>
      </c>
      <c r="N303" s="246">
        <f t="shared" si="14"/>
        <v>508038.79352167598</v>
      </c>
      <c r="P303" s="307"/>
      <c r="R303" s="352"/>
    </row>
    <row r="304" spans="1:18" s="165" customFormat="1" x14ac:dyDescent="0.25">
      <c r="A304" s="162">
        <f>'B) D RI'!A305</f>
        <v>5928</v>
      </c>
      <c r="B304" s="163" t="str">
        <f>'B) D RI'!B305</f>
        <v>Rovray</v>
      </c>
      <c r="C304" s="347">
        <f>'B) D RI'!S305</f>
        <v>73</v>
      </c>
      <c r="D304" s="164">
        <f>'B) D RI'!AR305</f>
        <v>187</v>
      </c>
      <c r="E304" s="345">
        <f>'D) Ecrêtage'!M303</f>
        <v>4495.7758904109587</v>
      </c>
      <c r="F304" s="349">
        <f>'E) Fact soc'!G309</f>
        <v>72691.142599920087</v>
      </c>
      <c r="G304" s="346">
        <f>'H) Péréquation directe'!I314</f>
        <v>-17464.068688576124</v>
      </c>
      <c r="H304" s="349">
        <f>+'I) Dépenses thématiques'!O303</f>
        <v>-12876.968758664236</v>
      </c>
      <c r="I304" s="346">
        <f>'K) Plafonnement aide'!J303</f>
        <v>0</v>
      </c>
      <c r="J304" s="349">
        <f>'J) Plafonnement effort'!I303</f>
        <v>0</v>
      </c>
      <c r="K304" s="346">
        <f>'L) Plafonnement taux'!Q304</f>
        <v>0</v>
      </c>
      <c r="L304" s="344">
        <f t="shared" si="15"/>
        <v>42350.105152679724</v>
      </c>
      <c r="M304" s="246">
        <f>'M) Police'!O304</f>
        <v>14015.151082231409</v>
      </c>
      <c r="N304" s="246">
        <f t="shared" si="14"/>
        <v>56365.256234911132</v>
      </c>
      <c r="P304" s="307"/>
      <c r="R304" s="352"/>
    </row>
    <row r="305" spans="1:18" s="165" customFormat="1" x14ac:dyDescent="0.25">
      <c r="A305" s="162">
        <f>'B) D RI'!A306</f>
        <v>5929</v>
      </c>
      <c r="B305" s="163" t="str">
        <f>'B) D RI'!B306</f>
        <v>Suchy</v>
      </c>
      <c r="C305" s="347">
        <f>'B) D RI'!S306</f>
        <v>70</v>
      </c>
      <c r="D305" s="164">
        <f>'B) D RI'!AR306</f>
        <v>605</v>
      </c>
      <c r="E305" s="345">
        <f>'D) Ecrêtage'!M304</f>
        <v>17118.434321428569</v>
      </c>
      <c r="F305" s="349">
        <f>'E) Fact soc'!G310</f>
        <v>301410.41470298055</v>
      </c>
      <c r="G305" s="346">
        <f>'H) Péréquation directe'!I315</f>
        <v>62523.742066227103</v>
      </c>
      <c r="H305" s="349">
        <f>+'I) Dépenses thématiques'!O304</f>
        <v>-18524.361872186968</v>
      </c>
      <c r="I305" s="346">
        <f>'K) Plafonnement aide'!J304</f>
        <v>0</v>
      </c>
      <c r="J305" s="349">
        <f>'J) Plafonnement effort'!I304</f>
        <v>0</v>
      </c>
      <c r="K305" s="346">
        <f>'L) Plafonnement taux'!Q305</f>
        <v>0</v>
      </c>
      <c r="L305" s="344">
        <f t="shared" si="15"/>
        <v>345409.79489702074</v>
      </c>
      <c r="M305" s="246">
        <f>'M) Police'!O305</f>
        <v>21253.497409217849</v>
      </c>
      <c r="N305" s="246">
        <f t="shared" si="14"/>
        <v>366663.29230623861</v>
      </c>
      <c r="P305" s="307"/>
      <c r="R305" s="352"/>
    </row>
    <row r="306" spans="1:18" s="165" customFormat="1" x14ac:dyDescent="0.25">
      <c r="A306" s="162">
        <f>'B) D RI'!A307</f>
        <v>5930</v>
      </c>
      <c r="B306" s="163" t="str">
        <f>'B) D RI'!B307</f>
        <v>Suscévaz</v>
      </c>
      <c r="C306" s="347">
        <f>'B) D RI'!S307</f>
        <v>72</v>
      </c>
      <c r="D306" s="164">
        <f>'B) D RI'!AR307</f>
        <v>200</v>
      </c>
      <c r="E306" s="345">
        <f>'D) Ecrêtage'!M305</f>
        <v>5362.7113888888889</v>
      </c>
      <c r="F306" s="349">
        <f>'E) Fact soc'!G311</f>
        <v>101282.7865236483</v>
      </c>
      <c r="G306" s="346">
        <f>'H) Péréquation directe'!I316</f>
        <v>5372.3396997224045</v>
      </c>
      <c r="H306" s="349">
        <f>+'I) Dépenses thématiques'!O305</f>
        <v>-32965.756223660239</v>
      </c>
      <c r="I306" s="346">
        <f>'K) Plafonnement aide'!J305</f>
        <v>0</v>
      </c>
      <c r="J306" s="349">
        <f>'J) Plafonnement effort'!I305</f>
        <v>0</v>
      </c>
      <c r="K306" s="346">
        <f>'L) Plafonnement taux'!Q306</f>
        <v>0</v>
      </c>
      <c r="L306" s="344">
        <f t="shared" si="15"/>
        <v>73689.36999971047</v>
      </c>
      <c r="M306" s="246">
        <f>'M) Police'!O306</f>
        <v>6658.1073052609336</v>
      </c>
      <c r="N306" s="246">
        <f t="shared" si="14"/>
        <v>80347.477304971399</v>
      </c>
      <c r="P306" s="307"/>
      <c r="R306" s="352"/>
    </row>
    <row r="307" spans="1:18" s="165" customFormat="1" x14ac:dyDescent="0.25">
      <c r="A307" s="162">
        <f>'B) D RI'!A308</f>
        <v>5931</v>
      </c>
      <c r="B307" s="163" t="str">
        <f>'B) D RI'!B308</f>
        <v>Treycovagnes</v>
      </c>
      <c r="C307" s="347">
        <f>'B) D RI'!S308</f>
        <v>75</v>
      </c>
      <c r="D307" s="164">
        <f>'B) D RI'!AR308</f>
        <v>456</v>
      </c>
      <c r="E307" s="345">
        <f>'D) Ecrêtage'!M306</f>
        <v>13288.6564</v>
      </c>
      <c r="F307" s="349">
        <f>'E) Fact soc'!G312</f>
        <v>255589.04217170086</v>
      </c>
      <c r="G307" s="346">
        <f>'H) Péréquation directe'!I317</f>
        <v>41233.345207603561</v>
      </c>
      <c r="H307" s="349">
        <f>+'I) Dépenses thématiques'!O306</f>
        <v>-14863.987317024628</v>
      </c>
      <c r="I307" s="346">
        <f>'K) Plafonnement aide'!J306</f>
        <v>0</v>
      </c>
      <c r="J307" s="349">
        <f>'J) Plafonnement effort'!I306</f>
        <v>0</v>
      </c>
      <c r="K307" s="346">
        <f>'L) Plafonnement taux'!Q307</f>
        <v>0</v>
      </c>
      <c r="L307" s="344">
        <f t="shared" si="15"/>
        <v>281958.40006227978</v>
      </c>
      <c r="M307" s="246">
        <f>'M) Police'!O307</f>
        <v>16498.613077940459</v>
      </c>
      <c r="N307" s="246">
        <f t="shared" si="14"/>
        <v>298457.01314022025</v>
      </c>
      <c r="P307" s="307"/>
      <c r="R307" s="352"/>
    </row>
    <row r="308" spans="1:18" s="165" customFormat="1" x14ac:dyDescent="0.25">
      <c r="A308" s="162">
        <f>'B) D RI'!A309</f>
        <v>5932</v>
      </c>
      <c r="B308" s="163" t="str">
        <f>'B) D RI'!B309</f>
        <v>Ursins</v>
      </c>
      <c r="C308" s="347">
        <f>'B) D RI'!S309</f>
        <v>78</v>
      </c>
      <c r="D308" s="164">
        <f>'B) D RI'!AR309</f>
        <v>218</v>
      </c>
      <c r="E308" s="345">
        <f>'D) Ecrêtage'!M307</f>
        <v>6858.6807692307693</v>
      </c>
      <c r="F308" s="349">
        <f>'E) Fact soc'!G313</f>
        <v>116184.17888892085</v>
      </c>
      <c r="G308" s="346">
        <f>'H) Péréquation directe'!I318</f>
        <v>35062.826014924547</v>
      </c>
      <c r="H308" s="349">
        <f>+'I) Dépenses thématiques'!O307</f>
        <v>-5951.3436885406081</v>
      </c>
      <c r="I308" s="346">
        <f>'K) Plafonnement aide'!J307</f>
        <v>0</v>
      </c>
      <c r="J308" s="349">
        <f>'J) Plafonnement effort'!I307</f>
        <v>0</v>
      </c>
      <c r="K308" s="346">
        <f>'L) Plafonnement taux'!Q308</f>
        <v>0</v>
      </c>
      <c r="L308" s="344">
        <f t="shared" si="15"/>
        <v>145295.6612153048</v>
      </c>
      <c r="M308" s="246">
        <f>'M) Police'!O308</f>
        <v>21449.96036647851</v>
      </c>
      <c r="N308" s="246">
        <f t="shared" si="14"/>
        <v>166745.62158178331</v>
      </c>
      <c r="P308" s="307"/>
      <c r="R308" s="352"/>
    </row>
    <row r="309" spans="1:18" s="165" customFormat="1" x14ac:dyDescent="0.25">
      <c r="A309" s="162">
        <f>'B) D RI'!A310</f>
        <v>5933</v>
      </c>
      <c r="B309" s="163" t="str">
        <f>'B) D RI'!B310</f>
        <v>Valeyres-sous-Montagny</v>
      </c>
      <c r="C309" s="347">
        <f>'B) D RI'!S310</f>
        <v>72</v>
      </c>
      <c r="D309" s="164">
        <f>'B) D RI'!AR310</f>
        <v>705</v>
      </c>
      <c r="E309" s="345">
        <f>'D) Ecrêtage'!M308</f>
        <v>20763.196805555559</v>
      </c>
      <c r="F309" s="349">
        <f>'E) Fact soc'!G314</f>
        <v>378323.51111720462</v>
      </c>
      <c r="G309" s="346">
        <f>'H) Péréquation directe'!I319</f>
        <v>91596.423949323129</v>
      </c>
      <c r="H309" s="349">
        <f>+'I) Dépenses thématiques'!O308</f>
        <v>-270893.59090290347</v>
      </c>
      <c r="I309" s="346">
        <f>'K) Plafonnement aide'!J308</f>
        <v>0</v>
      </c>
      <c r="J309" s="349">
        <f>'J) Plafonnement effort'!I308</f>
        <v>0</v>
      </c>
      <c r="K309" s="346">
        <f>'L) Plafonnement taux'!Q309</f>
        <v>0</v>
      </c>
      <c r="L309" s="344">
        <f t="shared" si="15"/>
        <v>199026.34416362428</v>
      </c>
      <c r="M309" s="246">
        <f>'M) Police'!O309</f>
        <v>64376.951630922951</v>
      </c>
      <c r="N309" s="246">
        <f t="shared" si="14"/>
        <v>263403.29579454724</v>
      </c>
      <c r="P309" s="307"/>
      <c r="R309" s="352"/>
    </row>
    <row r="310" spans="1:18" s="165" customFormat="1" x14ac:dyDescent="0.25">
      <c r="A310" s="162">
        <f>'B) D RI'!A311</f>
        <v>5934</v>
      </c>
      <c r="B310" s="163" t="str">
        <f>'B) D RI'!B311</f>
        <v>Valeyres-sous-Ursins</v>
      </c>
      <c r="C310" s="347">
        <f>'B) D RI'!S311</f>
        <v>79</v>
      </c>
      <c r="D310" s="164">
        <f>'B) D RI'!AR311</f>
        <v>238</v>
      </c>
      <c r="E310" s="345">
        <f>'D) Ecrêtage'!M309</f>
        <v>6895.611012658228</v>
      </c>
      <c r="F310" s="349">
        <f>'E) Fact soc'!G315</f>
        <v>103538.69234763244</v>
      </c>
      <c r="G310" s="346">
        <f>'H) Péréquation directe'!I320</f>
        <v>10673.587077385644</v>
      </c>
      <c r="H310" s="349">
        <f>+'I) Dépenses thématiques'!O309</f>
        <v>-5324.8850937938405</v>
      </c>
      <c r="I310" s="346">
        <f>'K) Plafonnement aide'!J309</f>
        <v>0</v>
      </c>
      <c r="J310" s="349">
        <f>'J) Plafonnement effort'!I309</f>
        <v>0</v>
      </c>
      <c r="K310" s="346">
        <f>'L) Plafonnement taux'!Q310</f>
        <v>0</v>
      </c>
      <c r="L310" s="344">
        <f t="shared" si="15"/>
        <v>108887.39433122425</v>
      </c>
      <c r="M310" s="246">
        <f>'M) Police'!O310</f>
        <v>21621.819146477752</v>
      </c>
      <c r="N310" s="246">
        <f t="shared" si="14"/>
        <v>130509.213477702</v>
      </c>
      <c r="P310" s="307"/>
      <c r="R310" s="352"/>
    </row>
    <row r="311" spans="1:18" s="165" customFormat="1" x14ac:dyDescent="0.25">
      <c r="A311" s="162">
        <f>'B) D RI'!A312</f>
        <v>5935</v>
      </c>
      <c r="B311" s="163" t="str">
        <f>'B) D RI'!B312</f>
        <v>Villars-Epeney</v>
      </c>
      <c r="C311" s="347">
        <f>'B) D RI'!S312</f>
        <v>60</v>
      </c>
      <c r="D311" s="164">
        <f>'B) D RI'!AR312</f>
        <v>106</v>
      </c>
      <c r="E311" s="345">
        <f>'D) Ecrêtage'!M310</f>
        <v>5507.9496666666664</v>
      </c>
      <c r="F311" s="349">
        <f>'E) Fact soc'!G316</f>
        <v>87432.73728555374</v>
      </c>
      <c r="G311" s="346">
        <f>'H) Péréquation directe'!I321</f>
        <v>91359.107827753876</v>
      </c>
      <c r="H311" s="349">
        <f>+'I) Dépenses thématiques'!O310</f>
        <v>-15248.423840945457</v>
      </c>
      <c r="I311" s="346">
        <f>'K) Plafonnement aide'!J310</f>
        <v>0</v>
      </c>
      <c r="J311" s="349">
        <f>'J) Plafonnement effort'!I310</f>
        <v>0</v>
      </c>
      <c r="K311" s="346">
        <f>'L) Plafonnement taux'!Q311</f>
        <v>0</v>
      </c>
      <c r="L311" s="344">
        <f t="shared" si="15"/>
        <v>163543.42127236215</v>
      </c>
      <c r="M311" s="246">
        <f>'M) Police'!O311</f>
        <v>15966.955254360244</v>
      </c>
      <c r="N311" s="246">
        <f t="shared" si="14"/>
        <v>179510.37652672239</v>
      </c>
      <c r="P311" s="307"/>
      <c r="R311" s="352"/>
    </row>
    <row r="312" spans="1:18" s="165" customFormat="1" x14ac:dyDescent="0.25">
      <c r="A312" s="162">
        <f>'B) D RI'!A313</f>
        <v>5937</v>
      </c>
      <c r="B312" s="163" t="str">
        <f>'B) D RI'!B313</f>
        <v>Vugelles-La Mothe</v>
      </c>
      <c r="C312" s="347">
        <f>'B) D RI'!S313</f>
        <v>70</v>
      </c>
      <c r="D312" s="164">
        <f>'B) D RI'!AR313</f>
        <v>122</v>
      </c>
      <c r="E312" s="345">
        <f>'D) Ecrêtage'!M311</f>
        <v>2890.9266938775513</v>
      </c>
      <c r="F312" s="349">
        <f>'E) Fact soc'!G317</f>
        <v>49397.297536477345</v>
      </c>
      <c r="G312" s="346">
        <f>'H) Péréquation directe'!I322</f>
        <v>-8680.5107222832085</v>
      </c>
      <c r="H312" s="349">
        <f>+'I) Dépenses thématiques'!O311</f>
        <v>-27373.30741002088</v>
      </c>
      <c r="I312" s="346">
        <f>'K) Plafonnement aide'!J311</f>
        <v>0</v>
      </c>
      <c r="J312" s="349">
        <f>'J) Plafonnement effort'!I311</f>
        <v>0</v>
      </c>
      <c r="K312" s="346">
        <f>'L) Plafonnement taux'!Q312</f>
        <v>0</v>
      </c>
      <c r="L312" s="344">
        <f t="shared" si="15"/>
        <v>13343.479404173257</v>
      </c>
      <c r="M312" s="246">
        <f>'M) Police'!O312</f>
        <v>8938.5461015412748</v>
      </c>
      <c r="N312" s="246">
        <f t="shared" si="14"/>
        <v>22282.025505714533</v>
      </c>
      <c r="P312" s="307"/>
      <c r="R312" s="352"/>
    </row>
    <row r="313" spans="1:18" s="165" customFormat="1" x14ac:dyDescent="0.25">
      <c r="A313" s="162">
        <f>'B) D RI'!A314</f>
        <v>5938</v>
      </c>
      <c r="B313" s="163" t="str">
        <f>'B) D RI'!B314</f>
        <v>Yverdon-les-Bains</v>
      </c>
      <c r="C313" s="347">
        <f>'B) D RI'!S314</f>
        <v>76.5</v>
      </c>
      <c r="D313" s="164">
        <f>'B) D RI'!AR314</f>
        <v>30208</v>
      </c>
      <c r="E313" s="345">
        <f>'D) Ecrêtage'!M312</f>
        <v>801914.63490196085</v>
      </c>
      <c r="F313" s="349">
        <f>'E) Fact soc'!G318</f>
        <v>14888219.080967735</v>
      </c>
      <c r="G313" s="346">
        <f>'H) Péréquation directe'!I323</f>
        <v>-23389910.240496282</v>
      </c>
      <c r="H313" s="349">
        <f>+'I) Dépenses thématiques'!O312</f>
        <v>-7406740.8608771479</v>
      </c>
      <c r="I313" s="346">
        <f>'K) Plafonnement aide'!J312</f>
        <v>3289246.0326658031</v>
      </c>
      <c r="J313" s="349">
        <f>'J) Plafonnement effort'!I312</f>
        <v>0</v>
      </c>
      <c r="K313" s="346">
        <f>'L) Plafonnement taux'!Q313</f>
        <v>0</v>
      </c>
      <c r="L313" s="344">
        <f t="shared" si="15"/>
        <v>-12619185.987739891</v>
      </c>
      <c r="M313" s="246">
        <f>'M) Police'!O313</f>
        <v>995622.04669430223</v>
      </c>
      <c r="N313" s="246">
        <f t="shared" si="14"/>
        <v>-11623563.941045588</v>
      </c>
      <c r="P313" s="307"/>
      <c r="R313" s="352"/>
    </row>
    <row r="314" spans="1:18" s="165" customFormat="1" x14ac:dyDescent="0.25">
      <c r="A314" s="162">
        <f>'B) D RI'!A315</f>
        <v>5939</v>
      </c>
      <c r="B314" s="163" t="str">
        <f>'B) D RI'!B315</f>
        <v>Yvonand</v>
      </c>
      <c r="C314" s="347">
        <f>'B) D RI'!S315</f>
        <v>73</v>
      </c>
      <c r="D314" s="164">
        <f>'B) D RI'!AR315</f>
        <v>3351</v>
      </c>
      <c r="E314" s="345">
        <f>'D) Ecrêtage'!M313</f>
        <v>93413.424931506845</v>
      </c>
      <c r="F314" s="349">
        <f>'E) Fact soc'!G319</f>
        <v>2033233.9768922348</v>
      </c>
      <c r="G314" s="346">
        <f>'H) Péréquation directe'!I324</f>
        <v>-436150.71049258672</v>
      </c>
      <c r="H314" s="500">
        <f>+'I) Dépenses thématiques'!O313</f>
        <v>-338131.26072159485</v>
      </c>
      <c r="I314" s="346">
        <f>'K) Plafonnement aide'!J313</f>
        <v>0</v>
      </c>
      <c r="J314" s="349">
        <f>'J) Plafonnement effort'!I313</f>
        <v>0</v>
      </c>
      <c r="K314" s="346">
        <f>'L) Plafonnement taux'!Q314</f>
        <v>0</v>
      </c>
      <c r="L314" s="344">
        <f t="shared" si="15"/>
        <v>1258952.0056780532</v>
      </c>
      <c r="M314" s="246">
        <f>'M) Police'!O314</f>
        <v>288577.56892356841</v>
      </c>
      <c r="N314" s="248">
        <f t="shared" si="14"/>
        <v>1547529.5746016216</v>
      </c>
      <c r="P314" s="307"/>
      <c r="R314" s="352"/>
    </row>
    <row r="315" spans="1:18" x14ac:dyDescent="0.25">
      <c r="A315" s="32"/>
      <c r="B315" s="26">
        <f>COUNTA(B6:B314)</f>
        <v>309</v>
      </c>
      <c r="C315" s="271"/>
      <c r="D315" s="167">
        <f>SUM(D6:D314)</f>
        <v>794384</v>
      </c>
      <c r="E315" s="167">
        <f>SUM(E6:E314)</f>
        <v>35582677.91930794</v>
      </c>
      <c r="F315" s="156">
        <f>'E) Fact soc'!G320</f>
        <v>772630956</v>
      </c>
      <c r="G315" s="156">
        <f>'H) Péréquation directe'!I325</f>
        <v>137702392.12306011</v>
      </c>
      <c r="H315" s="499">
        <f>'I) Dépenses thématiques'!O314</f>
        <v>-142330711.67723176</v>
      </c>
      <c r="I315" s="156">
        <f>'K) Plafonnement aide'!J314</f>
        <v>5831117.4763329998</v>
      </c>
      <c r="J315" s="156">
        <f>'J) Plafonnement effort'!I314</f>
        <v>-746473.90988343093</v>
      </c>
      <c r="K315" s="156">
        <f>+'L) Plafonnement taux'!Q315</f>
        <v>-6324.0122778541308</v>
      </c>
      <c r="L315" s="247">
        <f t="shared" si="15"/>
        <v>773080956.00000012</v>
      </c>
      <c r="M315" s="247">
        <f>SUM(M6:M314)</f>
        <v>65930098.99999997</v>
      </c>
      <c r="N315" s="247">
        <f>SUM(N6:N314)</f>
        <v>839011054.99999976</v>
      </c>
    </row>
    <row r="316" spans="1:18" x14ac:dyDescent="0.25">
      <c r="D316" s="14"/>
      <c r="E316" s="14"/>
      <c r="L316" s="6"/>
      <c r="M316" s="6"/>
      <c r="N316" s="6"/>
    </row>
    <row r="317" spans="1:18" x14ac:dyDescent="0.25">
      <c r="H317" s="166"/>
      <c r="I317" s="166"/>
      <c r="J317" s="166"/>
      <c r="K317" s="166"/>
      <c r="L317" s="6"/>
      <c r="M317" s="6"/>
      <c r="N317" s="6"/>
    </row>
  </sheetData>
  <mergeCells count="16">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19"/>
  <sheetViews>
    <sheetView workbookViewId="0">
      <selection activeCell="K29" sqref="K29"/>
    </sheetView>
  </sheetViews>
  <sheetFormatPr baseColWidth="10" defaultColWidth="10.875" defaultRowHeight="15" x14ac:dyDescent="0.25"/>
  <cols>
    <col min="1" max="1" width="6.875" style="14" customWidth="1"/>
    <col min="2" max="2" width="20.25" style="14" bestFit="1" customWidth="1"/>
    <col min="3" max="3" width="10.75" style="14" bestFit="1" customWidth="1"/>
    <col min="4" max="4" width="9.5" style="14" bestFit="1" customWidth="1"/>
    <col min="5" max="5" width="9.375" style="14" customWidth="1"/>
    <col min="6" max="6" width="10.125" style="14" bestFit="1" customWidth="1"/>
    <col min="7" max="7" width="9.25" style="14" bestFit="1" customWidth="1"/>
    <col min="8" max="8" width="9.5" style="14" bestFit="1" customWidth="1"/>
    <col min="9" max="9" width="9.125" style="14" bestFit="1" customWidth="1"/>
    <col min="10" max="10" width="8.625" style="14" bestFit="1" customWidth="1"/>
    <col min="11" max="11" width="9.625" style="14" customWidth="1"/>
    <col min="12" max="16384" width="10.875" style="474"/>
  </cols>
  <sheetData>
    <row r="1" spans="1:11" ht="21" x14ac:dyDescent="0.2">
      <c r="A1" s="611" t="s">
        <v>486</v>
      </c>
      <c r="B1" s="612"/>
      <c r="C1" s="612"/>
      <c r="D1" s="612"/>
      <c r="E1" s="612"/>
      <c r="F1" s="74"/>
      <c r="G1" s="74"/>
      <c r="H1" s="74"/>
      <c r="I1" s="74"/>
      <c r="J1" s="74"/>
      <c r="K1" s="74"/>
    </row>
    <row r="2" spans="1:11" ht="21" x14ac:dyDescent="0.2">
      <c r="A2" s="475" t="s">
        <v>655</v>
      </c>
      <c r="B2" s="45"/>
      <c r="C2" s="476"/>
      <c r="D2" s="477"/>
      <c r="E2" s="477"/>
      <c r="F2" s="74"/>
      <c r="G2" s="74"/>
      <c r="H2" s="74"/>
      <c r="I2" s="74"/>
      <c r="J2" s="74"/>
      <c r="K2" s="74"/>
    </row>
    <row r="4" spans="1:11" ht="12.6" customHeight="1" x14ac:dyDescent="0.2">
      <c r="A4" s="568" t="s">
        <v>50</v>
      </c>
      <c r="B4" s="583" t="s">
        <v>649</v>
      </c>
      <c r="C4" s="613" t="s">
        <v>98</v>
      </c>
      <c r="D4" s="610"/>
      <c r="E4" s="605"/>
      <c r="F4" s="610" t="s">
        <v>650</v>
      </c>
      <c r="G4" s="610"/>
      <c r="H4" s="605"/>
      <c r="I4" s="610" t="s">
        <v>507</v>
      </c>
      <c r="J4" s="610"/>
      <c r="K4" s="605"/>
    </row>
    <row r="5" spans="1:11" ht="12.6" customHeight="1" x14ac:dyDescent="0.2">
      <c r="A5" s="570"/>
      <c r="B5" s="584"/>
      <c r="C5" s="70" t="s">
        <v>651</v>
      </c>
      <c r="D5" s="504" t="s">
        <v>652</v>
      </c>
      <c r="E5" s="505" t="s">
        <v>653</v>
      </c>
      <c r="F5" s="505" t="s">
        <v>651</v>
      </c>
      <c r="G5" s="504" t="s">
        <v>652</v>
      </c>
      <c r="H5" s="505" t="s">
        <v>653</v>
      </c>
      <c r="I5" s="505" t="s">
        <v>651</v>
      </c>
      <c r="J5" s="505" t="s">
        <v>652</v>
      </c>
      <c r="K5" s="505" t="s">
        <v>654</v>
      </c>
    </row>
    <row r="6" spans="1:11" x14ac:dyDescent="0.25">
      <c r="A6" s="162">
        <f>+'B) D RI'!A7</f>
        <v>5401</v>
      </c>
      <c r="B6" s="482" t="str">
        <f>+'B) D RI'!B7</f>
        <v>Aigle</v>
      </c>
      <c r="C6" s="478">
        <v>4902430.7602059953</v>
      </c>
      <c r="D6" s="246">
        <f>VLOOKUP(B6,Synthèse!B6:F314,5,FALSE)</f>
        <v>5497131.1512782583</v>
      </c>
      <c r="E6" s="349">
        <f>+D6-C6</f>
        <v>594700.39107226301</v>
      </c>
      <c r="F6" s="349">
        <v>-5175336.1657358408</v>
      </c>
      <c r="G6" s="246">
        <v>-5287943.6369694332</v>
      </c>
      <c r="H6" s="349">
        <f>+G6-F6</f>
        <v>-112607.47123359237</v>
      </c>
      <c r="I6" s="349">
        <v>350176.18191605993</v>
      </c>
      <c r="J6" s="246">
        <f>VLOOKUP(B6,'M) Police'!B6:O314,14,FALSE)</f>
        <v>348638.32192315668</v>
      </c>
      <c r="K6" s="349">
        <f>+J6-I6</f>
        <v>-1537.8599929032498</v>
      </c>
    </row>
    <row r="7" spans="1:11" x14ac:dyDescent="0.25">
      <c r="A7" s="162">
        <f>+'B) D RI'!A8</f>
        <v>5402</v>
      </c>
      <c r="B7" s="482" t="str">
        <f>+'B) D RI'!B8</f>
        <v>Bex</v>
      </c>
      <c r="C7" s="478">
        <v>3649663.5208985298</v>
      </c>
      <c r="D7" s="246">
        <f>VLOOKUP(B7,Synthèse!B7:F315,5,FALSE)</f>
        <v>3573781.1379599469</v>
      </c>
      <c r="E7" s="349">
        <f t="shared" ref="E7:E70" si="0">+D7-C7</f>
        <v>-75882.382938582916</v>
      </c>
      <c r="F7" s="349">
        <v>-4543391.2018740121</v>
      </c>
      <c r="G7" s="246">
        <v>-5192724.1533766594</v>
      </c>
      <c r="H7" s="349">
        <f t="shared" ref="H7:H70" si="1">+G7-F7</f>
        <v>-649332.95150264725</v>
      </c>
      <c r="I7" s="349">
        <v>236127.58254463345</v>
      </c>
      <c r="J7" s="246">
        <f>VLOOKUP(B7,'M) Police'!B7:O315,14,FALSE)</f>
        <v>222100.27366078566</v>
      </c>
      <c r="K7" s="349">
        <f t="shared" ref="K7:K70" si="2">+J7-I7</f>
        <v>-14027.308883847785</v>
      </c>
    </row>
    <row r="8" spans="1:11" x14ac:dyDescent="0.25">
      <c r="A8" s="162">
        <f>+'B) D RI'!A9</f>
        <v>5403</v>
      </c>
      <c r="B8" s="482" t="str">
        <f>+'B) D RI'!B9</f>
        <v>Chessel</v>
      </c>
      <c r="C8" s="478">
        <v>143842.93098801051</v>
      </c>
      <c r="D8" s="246">
        <f>VLOOKUP(B8,Synthèse!B8:F316,5,FALSE)</f>
        <v>182730.78328490676</v>
      </c>
      <c r="E8" s="349">
        <f t="shared" si="0"/>
        <v>38887.85229689625</v>
      </c>
      <c r="F8" s="349">
        <v>-139712.7575176612</v>
      </c>
      <c r="G8" s="246">
        <v>-70781.816714213172</v>
      </c>
      <c r="H8" s="349">
        <f t="shared" si="1"/>
        <v>68930.940803448029</v>
      </c>
      <c r="I8" s="349">
        <v>26273.474254577479</v>
      </c>
      <c r="J8" s="246">
        <f>VLOOKUP(B8,'M) Police'!B8:O316,14,FALSE)</f>
        <v>30211.141849333093</v>
      </c>
      <c r="K8" s="349">
        <f t="shared" si="2"/>
        <v>3937.6675947556141</v>
      </c>
    </row>
    <row r="9" spans="1:11" x14ac:dyDescent="0.25">
      <c r="A9" s="162">
        <f>+'B) D RI'!A10</f>
        <v>5404</v>
      </c>
      <c r="B9" s="482" t="str">
        <f>+'B) D RI'!B10</f>
        <v>Corbeyrier</v>
      </c>
      <c r="C9" s="478">
        <v>202301.18355607672</v>
      </c>
      <c r="D9" s="246">
        <f>VLOOKUP(B9,Synthèse!B9:F317,5,FALSE)</f>
        <v>362023.81767954293</v>
      </c>
      <c r="E9" s="349">
        <f t="shared" si="0"/>
        <v>159722.63412346621</v>
      </c>
      <c r="F9" s="349">
        <v>-246756.21859348658</v>
      </c>
      <c r="G9" s="246">
        <v>-220097.2943232267</v>
      </c>
      <c r="H9" s="349">
        <f t="shared" si="1"/>
        <v>26658.924270259886</v>
      </c>
      <c r="I9" s="349">
        <v>31274.90794379402</v>
      </c>
      <c r="J9" s="246">
        <f>VLOOKUP(B9,'M) Police'!B9:O317,14,FALSE)</f>
        <v>33373.776163184666</v>
      </c>
      <c r="K9" s="349">
        <f t="shared" si="2"/>
        <v>2098.8682193906461</v>
      </c>
    </row>
    <row r="10" spans="1:11" x14ac:dyDescent="0.25">
      <c r="A10" s="162">
        <f>+'B) D RI'!A11</f>
        <v>5405</v>
      </c>
      <c r="B10" s="482" t="str">
        <f>+'B) D RI'!B11</f>
        <v>Gryon</v>
      </c>
      <c r="C10" s="478">
        <v>1538137.8273783054</v>
      </c>
      <c r="D10" s="246">
        <f>VLOOKUP(B10,Synthèse!B10:F318,5,FALSE)</f>
        <v>1374407.3026966406</v>
      </c>
      <c r="E10" s="349">
        <f t="shared" si="0"/>
        <v>-163730.52468166477</v>
      </c>
      <c r="F10" s="349">
        <v>620526.45831730089</v>
      </c>
      <c r="G10" s="246">
        <v>280798.29957995308</v>
      </c>
      <c r="H10" s="349">
        <f t="shared" si="1"/>
        <v>-339728.15873734781</v>
      </c>
      <c r="I10" s="349">
        <v>202993.95697928697</v>
      </c>
      <c r="J10" s="246">
        <f>VLOOKUP(B10,'M) Police'!B10:O318,14,FALSE)</f>
        <v>204311.84313056589</v>
      </c>
      <c r="K10" s="349">
        <f t="shared" si="2"/>
        <v>1317.8861512789153</v>
      </c>
    </row>
    <row r="11" spans="1:11" x14ac:dyDescent="0.25">
      <c r="A11" s="162">
        <f>+'B) D RI'!A12</f>
        <v>5406</v>
      </c>
      <c r="B11" s="482" t="str">
        <f>+'B) D RI'!B12</f>
        <v>Lavey-Morcles</v>
      </c>
      <c r="C11" s="478">
        <v>349944.20440788346</v>
      </c>
      <c r="D11" s="246">
        <f>VLOOKUP(B11,Synthèse!B11:F319,5,FALSE)</f>
        <v>411162.64102558268</v>
      </c>
      <c r="E11" s="349">
        <f t="shared" si="0"/>
        <v>61218.436617699219</v>
      </c>
      <c r="F11" s="349">
        <v>-208404.89437131109</v>
      </c>
      <c r="G11" s="246">
        <v>-215689.95072004141</v>
      </c>
      <c r="H11" s="349">
        <f t="shared" si="1"/>
        <v>-7285.0563487303152</v>
      </c>
      <c r="I11" s="349">
        <v>62452.04399851965</v>
      </c>
      <c r="J11" s="246">
        <f>VLOOKUP(B11,'M) Police'!B11:O319,14,FALSE)</f>
        <v>67664.960781931411</v>
      </c>
      <c r="K11" s="349">
        <f t="shared" si="2"/>
        <v>5212.9167834117616</v>
      </c>
    </row>
    <row r="12" spans="1:11" x14ac:dyDescent="0.25">
      <c r="A12" s="162">
        <f>+'B) D RI'!A13</f>
        <v>5407</v>
      </c>
      <c r="B12" s="482" t="str">
        <f>+'B) D RI'!B13</f>
        <v>Leysin</v>
      </c>
      <c r="C12" s="478">
        <v>1988631.7169619468</v>
      </c>
      <c r="D12" s="246">
        <f>VLOOKUP(B12,Synthèse!B12:F320,5,FALSE)</f>
        <v>1691342.5148461899</v>
      </c>
      <c r="E12" s="349">
        <f t="shared" si="0"/>
        <v>-297289.20211575693</v>
      </c>
      <c r="F12" s="349">
        <v>-2734470.3098548679</v>
      </c>
      <c r="G12" s="246">
        <v>-3732333.8557068575</v>
      </c>
      <c r="H12" s="349">
        <f t="shared" si="1"/>
        <v>-997863.54585198965</v>
      </c>
      <c r="I12" s="349">
        <v>323552.07900389418</v>
      </c>
      <c r="J12" s="246">
        <f>VLOOKUP(B12,'M) Police'!B12:O320,14,FALSE)</f>
        <v>267731.8966258656</v>
      </c>
      <c r="K12" s="349">
        <f t="shared" si="2"/>
        <v>-55820.182378028578</v>
      </c>
    </row>
    <row r="13" spans="1:11" x14ac:dyDescent="0.25">
      <c r="A13" s="162">
        <f>+'B) D RI'!A14</f>
        <v>5408</v>
      </c>
      <c r="B13" s="482" t="str">
        <f>+'B) D RI'!B14</f>
        <v>Noville</v>
      </c>
      <c r="C13" s="478">
        <v>682292.77817890071</v>
      </c>
      <c r="D13" s="246">
        <f>VLOOKUP(B13,Synthèse!B13:F321,5,FALSE)</f>
        <v>658299.29600875045</v>
      </c>
      <c r="E13" s="349">
        <f t="shared" si="0"/>
        <v>-23993.482170150266</v>
      </c>
      <c r="F13" s="349">
        <v>184730.86088124529</v>
      </c>
      <c r="G13" s="246">
        <v>31211.581721639028</v>
      </c>
      <c r="H13" s="349">
        <f t="shared" si="1"/>
        <v>-153519.27915960626</v>
      </c>
      <c r="I13" s="349">
        <v>112397.55860745691</v>
      </c>
      <c r="J13" s="246">
        <f>VLOOKUP(B13,'M) Police'!B13:O321,14,FALSE)</f>
        <v>106538.09478294314</v>
      </c>
      <c r="K13" s="349">
        <f t="shared" si="2"/>
        <v>-5859.4638245137758</v>
      </c>
    </row>
    <row r="14" spans="1:11" x14ac:dyDescent="0.25">
      <c r="A14" s="162">
        <f>+'B) D RI'!A15</f>
        <v>5409</v>
      </c>
      <c r="B14" s="482" t="str">
        <f>+'B) D RI'!B15</f>
        <v>Ollon</v>
      </c>
      <c r="C14" s="478">
        <v>10876314.109612634</v>
      </c>
      <c r="D14" s="246">
        <f>VLOOKUP(B14,Synthèse!B14:F322,5,FALSE)</f>
        <v>7053387.2458765525</v>
      </c>
      <c r="E14" s="349">
        <f t="shared" si="0"/>
        <v>-3822926.8637360819</v>
      </c>
      <c r="F14" s="349">
        <v>4319662.4191991761</v>
      </c>
      <c r="G14" s="246">
        <v>1685378.0069789761</v>
      </c>
      <c r="H14" s="349">
        <f t="shared" si="1"/>
        <v>-2634284.4122202001</v>
      </c>
      <c r="I14" s="349">
        <v>626193.1850880651</v>
      </c>
      <c r="J14" s="246">
        <f>VLOOKUP(B14,'M) Police'!B14:O322,14,FALSE)</f>
        <v>461873.33084196289</v>
      </c>
      <c r="K14" s="349">
        <f t="shared" si="2"/>
        <v>-164319.85424610222</v>
      </c>
    </row>
    <row r="15" spans="1:11" x14ac:dyDescent="0.25">
      <c r="A15" s="162">
        <f>+'B) D RI'!A16</f>
        <v>5410</v>
      </c>
      <c r="B15" s="482" t="str">
        <f>+'B) D RI'!B16</f>
        <v>Ormont-Dessous</v>
      </c>
      <c r="C15" s="478">
        <v>710746.96891676937</v>
      </c>
      <c r="D15" s="246">
        <f>VLOOKUP(B15,Synthèse!B15:F323,5,FALSE)</f>
        <v>777342.23084215156</v>
      </c>
      <c r="E15" s="349">
        <f t="shared" si="0"/>
        <v>66595.26192538219</v>
      </c>
      <c r="F15" s="349">
        <v>-624142.69909813232</v>
      </c>
      <c r="G15" s="246">
        <v>-584438.93397239107</v>
      </c>
      <c r="H15" s="349">
        <f t="shared" si="1"/>
        <v>39703.765125741251</v>
      </c>
      <c r="I15" s="349">
        <v>109085.19709467707</v>
      </c>
      <c r="J15" s="246">
        <f>VLOOKUP(B15,'M) Police'!B15:O323,14,FALSE)</f>
        <v>114740.33674123374</v>
      </c>
      <c r="K15" s="349">
        <f t="shared" si="2"/>
        <v>5655.139646556665</v>
      </c>
    </row>
    <row r="16" spans="1:11" x14ac:dyDescent="0.25">
      <c r="A16" s="162">
        <f>+'B) D RI'!A17</f>
        <v>5411</v>
      </c>
      <c r="B16" s="482" t="str">
        <f>+'B) D RI'!B17</f>
        <v>Ormont-Dessus</v>
      </c>
      <c r="C16" s="478">
        <v>1372213.1122473751</v>
      </c>
      <c r="D16" s="246">
        <f>VLOOKUP(B16,Synthèse!B16:F324,5,FALSE)</f>
        <v>1462826.9739623754</v>
      </c>
      <c r="E16" s="349">
        <f t="shared" si="0"/>
        <v>90613.861715000356</v>
      </c>
      <c r="F16" s="349">
        <v>250953.06618153327</v>
      </c>
      <c r="G16" s="246">
        <v>343684.54843323259</v>
      </c>
      <c r="H16" s="349">
        <f t="shared" si="1"/>
        <v>92731.482251699315</v>
      </c>
      <c r="I16" s="349">
        <v>219820.86673947508</v>
      </c>
      <c r="J16" s="246">
        <f>VLOOKUP(B16,'M) Police'!B16:O324,14,FALSE)</f>
        <v>225564.75496142622</v>
      </c>
      <c r="K16" s="349">
        <f t="shared" si="2"/>
        <v>5743.8882219511434</v>
      </c>
    </row>
    <row r="17" spans="1:11" x14ac:dyDescent="0.25">
      <c r="A17" s="162">
        <f>+'B) D RI'!A18</f>
        <v>5412</v>
      </c>
      <c r="B17" s="482" t="str">
        <f>+'B) D RI'!B18</f>
        <v>Rennaz</v>
      </c>
      <c r="C17" s="478">
        <v>503459.3548731358</v>
      </c>
      <c r="D17" s="246">
        <f>VLOOKUP(B17,Synthèse!B17:F325,5,FALSE)</f>
        <v>549344.99699101911</v>
      </c>
      <c r="E17" s="349">
        <f t="shared" si="0"/>
        <v>45885.642117883312</v>
      </c>
      <c r="F17" s="349">
        <v>215882.22995714698</v>
      </c>
      <c r="G17" s="246">
        <v>389420.09536922473</v>
      </c>
      <c r="H17" s="349">
        <f t="shared" si="1"/>
        <v>173537.86541207775</v>
      </c>
      <c r="I17" s="349">
        <v>82827.721947892584</v>
      </c>
      <c r="J17" s="246">
        <f>VLOOKUP(B17,'M) Police'!B17:O325,14,FALSE)</f>
        <v>95594.365619479737</v>
      </c>
      <c r="K17" s="349">
        <f t="shared" si="2"/>
        <v>12766.643671587153</v>
      </c>
    </row>
    <row r="18" spans="1:11" x14ac:dyDescent="0.25">
      <c r="A18" s="162">
        <f>+'B) D RI'!A19</f>
        <v>5413</v>
      </c>
      <c r="B18" s="482" t="str">
        <f>+'B) D RI'!B19</f>
        <v>Roche</v>
      </c>
      <c r="C18" s="478">
        <v>711873.47749908944</v>
      </c>
      <c r="D18" s="246">
        <f>VLOOKUP(B18,Synthèse!B18:F326,5,FALSE)</f>
        <v>729387.24180311942</v>
      </c>
      <c r="E18" s="349">
        <f t="shared" si="0"/>
        <v>17513.764304029988</v>
      </c>
      <c r="F18" s="349">
        <v>-228268.0148447644</v>
      </c>
      <c r="G18" s="246">
        <v>-324836.06268674368</v>
      </c>
      <c r="H18" s="349">
        <f t="shared" si="1"/>
        <v>-96568.047841979278</v>
      </c>
      <c r="I18" s="349">
        <v>109815.45173151686</v>
      </c>
      <c r="J18" s="246">
        <f>VLOOKUP(B18,'M) Police'!B18:O326,14,FALSE)</f>
        <v>114799.05786072416</v>
      </c>
      <c r="K18" s="349">
        <f t="shared" si="2"/>
        <v>4983.6061292072991</v>
      </c>
    </row>
    <row r="19" spans="1:11" x14ac:dyDescent="0.25">
      <c r="A19" s="162">
        <f>+'B) D RI'!A20</f>
        <v>5414</v>
      </c>
      <c r="B19" s="482" t="str">
        <f>+'B) D RI'!B20</f>
        <v>Villeneuve</v>
      </c>
      <c r="C19" s="478">
        <v>3532159.6565365447</v>
      </c>
      <c r="D19" s="246">
        <f>VLOOKUP(B19,Synthèse!B19:F327,5,FALSE)</f>
        <v>3496307.8479907103</v>
      </c>
      <c r="E19" s="349">
        <f t="shared" si="0"/>
        <v>-35851.808545834385</v>
      </c>
      <c r="F19" s="349">
        <v>-1312027.6387946857</v>
      </c>
      <c r="G19" s="246">
        <v>-2182346.6188323982</v>
      </c>
      <c r="H19" s="349">
        <f t="shared" si="1"/>
        <v>-870318.98003771249</v>
      </c>
      <c r="I19" s="349">
        <v>531438.37995347229</v>
      </c>
      <c r="J19" s="246">
        <f>VLOOKUP(B19,'M) Police'!B19:O327,14,FALSE)</f>
        <v>512954.29132298322</v>
      </c>
      <c r="K19" s="349">
        <f t="shared" si="2"/>
        <v>-18484.088630489074</v>
      </c>
    </row>
    <row r="20" spans="1:11" x14ac:dyDescent="0.25">
      <c r="A20" s="162">
        <f>+'B) D RI'!A21</f>
        <v>5415</v>
      </c>
      <c r="B20" s="482" t="str">
        <f>+'B) D RI'!B21</f>
        <v>Yvorne</v>
      </c>
      <c r="C20" s="478">
        <v>744475.18800612981</v>
      </c>
      <c r="D20" s="246">
        <f>VLOOKUP(B20,Synthèse!B20:F328,5,FALSE)</f>
        <v>651549.07372867852</v>
      </c>
      <c r="E20" s="349">
        <f t="shared" si="0"/>
        <v>-92926.114277451299</v>
      </c>
      <c r="F20" s="349">
        <v>462904.79121476639</v>
      </c>
      <c r="G20" s="246">
        <v>181389.54382809607</v>
      </c>
      <c r="H20" s="349">
        <f t="shared" si="1"/>
        <v>-281515.24738667032</v>
      </c>
      <c r="I20" s="349">
        <v>137626.37559596231</v>
      </c>
      <c r="J20" s="246">
        <f>VLOOKUP(B20,'M) Police'!B20:O328,14,FALSE)</f>
        <v>107240.50165911211</v>
      </c>
      <c r="K20" s="349">
        <f t="shared" si="2"/>
        <v>-30385.873936850199</v>
      </c>
    </row>
    <row r="21" spans="1:11" x14ac:dyDescent="0.25">
      <c r="A21" s="162">
        <f>+'B) D RI'!A22</f>
        <v>5421</v>
      </c>
      <c r="B21" s="482" t="str">
        <f>+'B) D RI'!B22</f>
        <v>Apples</v>
      </c>
      <c r="C21" s="478">
        <v>1193828.677442431</v>
      </c>
      <c r="D21" s="246">
        <f>VLOOKUP(B21,Synthèse!B21:F329,5,FALSE)</f>
        <v>1020687.3537507604</v>
      </c>
      <c r="E21" s="349">
        <f t="shared" si="0"/>
        <v>-173141.32369167055</v>
      </c>
      <c r="F21" s="349">
        <v>603446.06876886589</v>
      </c>
      <c r="G21" s="246">
        <v>565225.98578150268</v>
      </c>
      <c r="H21" s="349">
        <f t="shared" si="1"/>
        <v>-38220.082987363217</v>
      </c>
      <c r="I21" s="349">
        <v>184349.65765081567</v>
      </c>
      <c r="J21" s="246">
        <f>VLOOKUP(B21,'M) Police'!B21:O329,14,FALSE)</f>
        <v>184709.8889285535</v>
      </c>
      <c r="K21" s="349">
        <f t="shared" si="2"/>
        <v>360.23127773782471</v>
      </c>
    </row>
    <row r="22" spans="1:11" x14ac:dyDescent="0.25">
      <c r="A22" s="162">
        <f>+'B) D RI'!A23</f>
        <v>5422</v>
      </c>
      <c r="B22" s="482" t="str">
        <f>+'B) D RI'!B23</f>
        <v>Aubonne</v>
      </c>
      <c r="C22" s="478">
        <v>5539674.2986934129</v>
      </c>
      <c r="D22" s="246">
        <f>VLOOKUP(B22,Synthèse!B22:F330,5,FALSE)</f>
        <v>6655464.6521777082</v>
      </c>
      <c r="E22" s="349">
        <f t="shared" si="0"/>
        <v>1115790.3534842953</v>
      </c>
      <c r="F22" s="349">
        <v>3132212.0565201831</v>
      </c>
      <c r="G22" s="246">
        <v>3544559.7798250932</v>
      </c>
      <c r="H22" s="349">
        <f t="shared" si="1"/>
        <v>412347.72330491012</v>
      </c>
      <c r="I22" s="349">
        <v>565562.47574051633</v>
      </c>
      <c r="J22" s="246">
        <f>VLOOKUP(B22,'M) Police'!B22:O330,14,FALSE)</f>
        <v>583307.72724747937</v>
      </c>
      <c r="K22" s="349">
        <f t="shared" si="2"/>
        <v>17745.251506963046</v>
      </c>
    </row>
    <row r="23" spans="1:11" x14ac:dyDescent="0.25">
      <c r="A23" s="162">
        <f>+'B) D RI'!A24</f>
        <v>5423</v>
      </c>
      <c r="B23" s="482" t="str">
        <f>+'B) D RI'!B24</f>
        <v>Ballens</v>
      </c>
      <c r="C23" s="478">
        <v>322899.08322019171</v>
      </c>
      <c r="D23" s="246">
        <f>VLOOKUP(B23,Synthèse!B23:F331,5,FALSE)</f>
        <v>321126.77241594717</v>
      </c>
      <c r="E23" s="349">
        <f t="shared" si="0"/>
        <v>-1772.3108042445383</v>
      </c>
      <c r="F23" s="349">
        <v>162241.1527429008</v>
      </c>
      <c r="G23" s="246">
        <v>72404.24886132736</v>
      </c>
      <c r="H23" s="349">
        <f t="shared" si="1"/>
        <v>-89836.903881573438</v>
      </c>
      <c r="I23" s="349">
        <v>60273.82413464351</v>
      </c>
      <c r="J23" s="246">
        <f>VLOOKUP(B23,'M) Police'!B23:O331,14,FALSE)</f>
        <v>51873.449266643256</v>
      </c>
      <c r="K23" s="349">
        <f t="shared" si="2"/>
        <v>-8400.3748680002536</v>
      </c>
    </row>
    <row r="24" spans="1:11" x14ac:dyDescent="0.25">
      <c r="A24" s="162">
        <f>+'B) D RI'!A25</f>
        <v>5424</v>
      </c>
      <c r="B24" s="482" t="str">
        <f>+'B) D RI'!B25</f>
        <v>Berolle</v>
      </c>
      <c r="C24" s="478">
        <v>171302.50013519605</v>
      </c>
      <c r="D24" s="246">
        <f>VLOOKUP(B24,Synthèse!B24:F332,5,FALSE)</f>
        <v>190525.88456905133</v>
      </c>
      <c r="E24" s="349">
        <f t="shared" si="0"/>
        <v>19223.384433855274</v>
      </c>
      <c r="F24" s="349">
        <v>18681.370407099348</v>
      </c>
      <c r="G24" s="246">
        <v>118246.1753662983</v>
      </c>
      <c r="H24" s="349">
        <f t="shared" si="1"/>
        <v>99564.804959198955</v>
      </c>
      <c r="I24" s="349">
        <v>30051.234965541618</v>
      </c>
      <c r="J24" s="246">
        <f>VLOOKUP(B24,'M) Police'!B24:O332,14,FALSE)</f>
        <v>35475.692392613055</v>
      </c>
      <c r="K24" s="349">
        <f t="shared" si="2"/>
        <v>5424.4574270714365</v>
      </c>
    </row>
    <row r="25" spans="1:11" x14ac:dyDescent="0.25">
      <c r="A25" s="162">
        <f>+'B) D RI'!A26</f>
        <v>5425</v>
      </c>
      <c r="B25" s="482" t="str">
        <f>+'B) D RI'!B26</f>
        <v>Bière</v>
      </c>
      <c r="C25" s="478">
        <v>747762.37176956632</v>
      </c>
      <c r="D25" s="246">
        <f>VLOOKUP(B25,Synthèse!B25:F333,5,FALSE)</f>
        <v>700101.15772462368</v>
      </c>
      <c r="E25" s="349">
        <f t="shared" si="0"/>
        <v>-47661.214044942637</v>
      </c>
      <c r="F25" s="349">
        <v>-444478.33149101969</v>
      </c>
      <c r="G25" s="246">
        <v>-605632.02211906598</v>
      </c>
      <c r="H25" s="349">
        <f t="shared" si="1"/>
        <v>-161153.69062804629</v>
      </c>
      <c r="I25" s="349">
        <v>130517.02005628498</v>
      </c>
      <c r="J25" s="246">
        <f>VLOOKUP(B25,'M) Police'!B25:O333,14,FALSE)</f>
        <v>128306.10868227013</v>
      </c>
      <c r="K25" s="349">
        <f t="shared" si="2"/>
        <v>-2210.9113740148459</v>
      </c>
    </row>
    <row r="26" spans="1:11" x14ac:dyDescent="0.25">
      <c r="A26" s="162">
        <f>+'B) D RI'!A27</f>
        <v>5426</v>
      </c>
      <c r="B26" s="482" t="str">
        <f>+'B) D RI'!B27</f>
        <v>Bougy-Villars</v>
      </c>
      <c r="C26" s="478">
        <v>1122988.3955019275</v>
      </c>
      <c r="D26" s="246">
        <f>VLOOKUP(B26,Synthèse!B26:F334,5,FALSE)</f>
        <v>1664729.7702949075</v>
      </c>
      <c r="E26" s="349">
        <f t="shared" si="0"/>
        <v>541741.37479298003</v>
      </c>
      <c r="F26" s="349">
        <v>654814.35323993675</v>
      </c>
      <c r="G26" s="246">
        <v>725988.78250153351</v>
      </c>
      <c r="H26" s="349">
        <f t="shared" si="1"/>
        <v>71174.429261596757</v>
      </c>
      <c r="I26" s="349">
        <v>91451.63927177884</v>
      </c>
      <c r="J26" s="246">
        <f>VLOOKUP(B26,'M) Police'!B26:O334,14,FALSE)</f>
        <v>93552.968622377768</v>
      </c>
      <c r="K26" s="349">
        <f t="shared" si="2"/>
        <v>2101.3293505989277</v>
      </c>
    </row>
    <row r="27" spans="1:11" x14ac:dyDescent="0.25">
      <c r="A27" s="162">
        <f>+'B) D RI'!A28</f>
        <v>5427</v>
      </c>
      <c r="B27" s="482" t="str">
        <f>+'B) D RI'!B28</f>
        <v>Féchy</v>
      </c>
      <c r="C27" s="478">
        <v>1491440.25900349</v>
      </c>
      <c r="D27" s="246">
        <f>VLOOKUP(B27,Synthèse!B27:F335,5,FALSE)</f>
        <v>2124800.8098297333</v>
      </c>
      <c r="E27" s="349">
        <f t="shared" si="0"/>
        <v>633360.55082624336</v>
      </c>
      <c r="F27" s="349">
        <v>1028229.219625643</v>
      </c>
      <c r="G27" s="246">
        <v>1235004.682922543</v>
      </c>
      <c r="H27" s="349">
        <f t="shared" si="1"/>
        <v>206775.46329690004</v>
      </c>
      <c r="I27" s="349">
        <v>153215.55287721645</v>
      </c>
      <c r="J27" s="246">
        <f>VLOOKUP(B27,'M) Police'!B27:O335,14,FALSE)</f>
        <v>165949.77973873855</v>
      </c>
      <c r="K27" s="349">
        <f t="shared" si="2"/>
        <v>12734.226861522096</v>
      </c>
    </row>
    <row r="28" spans="1:11" x14ac:dyDescent="0.25">
      <c r="A28" s="162">
        <f>+'B) D RI'!A29</f>
        <v>5428</v>
      </c>
      <c r="B28" s="482" t="str">
        <f>+'B) D RI'!B29</f>
        <v>Gimel</v>
      </c>
      <c r="C28" s="478">
        <v>1163549.8802237704</v>
      </c>
      <c r="D28" s="246">
        <f>VLOOKUP(B28,Synthèse!B28:F336,5,FALSE)</f>
        <v>1363282.8282484557</v>
      </c>
      <c r="E28" s="349">
        <f t="shared" si="0"/>
        <v>199732.94802468526</v>
      </c>
      <c r="F28" s="349">
        <v>-204801.75066403433</v>
      </c>
      <c r="G28" s="246">
        <v>-370548.35517709277</v>
      </c>
      <c r="H28" s="349">
        <f t="shared" si="1"/>
        <v>-165746.60451305844</v>
      </c>
      <c r="I28" s="349">
        <v>183606.00013428438</v>
      </c>
      <c r="J28" s="246">
        <f>VLOOKUP(B28,'M) Police'!B28:O336,14,FALSE)</f>
        <v>193926.11072977993</v>
      </c>
      <c r="K28" s="349">
        <f t="shared" si="2"/>
        <v>10320.110595495556</v>
      </c>
    </row>
    <row r="29" spans="1:11" x14ac:dyDescent="0.25">
      <c r="A29" s="162">
        <f>+'B) D RI'!A30</f>
        <v>5429</v>
      </c>
      <c r="B29" s="482" t="str">
        <f>+'B) D RI'!B30</f>
        <v>Longirod</v>
      </c>
      <c r="C29" s="478">
        <v>246352.31263399741</v>
      </c>
      <c r="D29" s="246">
        <f>VLOOKUP(B29,Synthèse!B29:F337,5,FALSE)</f>
        <v>265190.3850463811</v>
      </c>
      <c r="E29" s="349">
        <f t="shared" si="0"/>
        <v>18838.072412383684</v>
      </c>
      <c r="F29" s="349">
        <v>-111177.84046013685</v>
      </c>
      <c r="G29" s="246">
        <v>-25114.505820031365</v>
      </c>
      <c r="H29" s="349">
        <f t="shared" si="1"/>
        <v>86063.334640105488</v>
      </c>
      <c r="I29" s="349">
        <v>43528.316528213356</v>
      </c>
      <c r="J29" s="246">
        <f>VLOOKUP(B29,'M) Police'!B29:O337,14,FALSE)</f>
        <v>45968.588690082644</v>
      </c>
      <c r="K29" s="349">
        <f t="shared" si="2"/>
        <v>2440.2721618692885</v>
      </c>
    </row>
    <row r="30" spans="1:11" x14ac:dyDescent="0.25">
      <c r="A30" s="162">
        <f>+'B) D RI'!A31</f>
        <v>5430</v>
      </c>
      <c r="B30" s="482" t="str">
        <f>+'B) D RI'!B31</f>
        <v>Marchissy</v>
      </c>
      <c r="C30" s="478">
        <v>298266.17345670518</v>
      </c>
      <c r="D30" s="246">
        <f>VLOOKUP(B30,Synthèse!B30:F338,5,FALSE)</f>
        <v>256647.26314555519</v>
      </c>
      <c r="E30" s="349">
        <f t="shared" si="0"/>
        <v>-41618.910311149986</v>
      </c>
      <c r="F30" s="349">
        <v>-210481.29201906407</v>
      </c>
      <c r="G30" s="246">
        <v>-161236.92557804671</v>
      </c>
      <c r="H30" s="349">
        <f t="shared" si="1"/>
        <v>49244.366441017366</v>
      </c>
      <c r="I30" s="349">
        <v>41242.069066172306</v>
      </c>
      <c r="J30" s="246">
        <f>VLOOKUP(B30,'M) Police'!B30:O338,14,FALSE)</f>
        <v>42110.909896646903</v>
      </c>
      <c r="K30" s="349">
        <f t="shared" si="2"/>
        <v>868.84083047459717</v>
      </c>
    </row>
    <row r="31" spans="1:11" x14ac:dyDescent="0.25">
      <c r="A31" s="162">
        <f>+'B) D RI'!A32</f>
        <v>5431</v>
      </c>
      <c r="B31" s="482" t="str">
        <f>+'B) D RI'!B32</f>
        <v>Mollens</v>
      </c>
      <c r="C31" s="478">
        <v>157887.52333205586</v>
      </c>
      <c r="D31" s="246">
        <f>VLOOKUP(B31,Synthèse!B31:F339,5,FALSE)</f>
        <v>149269.32504075507</v>
      </c>
      <c r="E31" s="349">
        <f t="shared" si="0"/>
        <v>-8618.198291300796</v>
      </c>
      <c r="F31" s="349">
        <v>5606.9656529759741</v>
      </c>
      <c r="G31" s="246">
        <v>16964.263363954313</v>
      </c>
      <c r="H31" s="349">
        <f t="shared" si="1"/>
        <v>11357.297710978339</v>
      </c>
      <c r="I31" s="349">
        <v>28706.517320044914</v>
      </c>
      <c r="J31" s="246">
        <f>VLOOKUP(B31,'M) Police'!B31:O339,14,FALSE)</f>
        <v>27787.074351594514</v>
      </c>
      <c r="K31" s="349">
        <f t="shared" si="2"/>
        <v>-919.44296845039935</v>
      </c>
    </row>
    <row r="32" spans="1:11" x14ac:dyDescent="0.25">
      <c r="A32" s="162">
        <f>+'B) D RI'!A33</f>
        <v>5432</v>
      </c>
      <c r="B32" s="482" t="str">
        <f>+'B) D RI'!B33</f>
        <v>Montherod</v>
      </c>
      <c r="C32" s="478">
        <v>379565.70349946892</v>
      </c>
      <c r="D32" s="246">
        <f>VLOOKUP(B32,Synthèse!B32:F340,5,FALSE)</f>
        <v>330706.91573209071</v>
      </c>
      <c r="E32" s="349">
        <f t="shared" si="0"/>
        <v>-48858.787767378206</v>
      </c>
      <c r="F32" s="349">
        <v>215806.72151828086</v>
      </c>
      <c r="G32" s="246">
        <v>137878.10846937276</v>
      </c>
      <c r="H32" s="349">
        <f t="shared" si="1"/>
        <v>-77928.613048908097</v>
      </c>
      <c r="I32" s="349">
        <v>60909.785058293455</v>
      </c>
      <c r="J32" s="246">
        <f>VLOOKUP(B32,'M) Police'!B32:O340,14,FALSE)</f>
        <v>55903.397040690208</v>
      </c>
      <c r="K32" s="349">
        <f t="shared" si="2"/>
        <v>-5006.3880176032471</v>
      </c>
    </row>
    <row r="33" spans="1:11" x14ac:dyDescent="0.25">
      <c r="A33" s="162">
        <f>+'B) D RI'!A34</f>
        <v>5434</v>
      </c>
      <c r="B33" s="482" t="str">
        <f>+'B) D RI'!B34</f>
        <v>Saint-George</v>
      </c>
      <c r="C33" s="478">
        <v>648210.37170342682</v>
      </c>
      <c r="D33" s="246">
        <f>VLOOKUP(B33,Synthèse!B33:F341,5,FALSE)</f>
        <v>784102.33948151662</v>
      </c>
      <c r="E33" s="349">
        <f t="shared" si="0"/>
        <v>135891.96777808981</v>
      </c>
      <c r="F33" s="349">
        <v>216620.72297668451</v>
      </c>
      <c r="G33" s="246">
        <v>337507.92567277025</v>
      </c>
      <c r="H33" s="349">
        <f t="shared" si="1"/>
        <v>120887.20269608573</v>
      </c>
      <c r="I33" s="349">
        <v>104661.31239291636</v>
      </c>
      <c r="J33" s="246">
        <f>VLOOKUP(B33,'M) Police'!B33:O341,14,FALSE)</f>
        <v>114698.43137406849</v>
      </c>
      <c r="K33" s="349">
        <f t="shared" si="2"/>
        <v>10037.118981152133</v>
      </c>
    </row>
    <row r="34" spans="1:11" x14ac:dyDescent="0.25">
      <c r="A34" s="162">
        <f>+'B) D RI'!A35</f>
        <v>5435</v>
      </c>
      <c r="B34" s="482" t="str">
        <f>+'B) D RI'!B35</f>
        <v>Saint-Livres</v>
      </c>
      <c r="C34" s="478">
        <v>392658.84224965714</v>
      </c>
      <c r="D34" s="246">
        <f>VLOOKUP(B34,Synthèse!B34:F342,5,FALSE)</f>
        <v>391560.41549274296</v>
      </c>
      <c r="E34" s="349">
        <f t="shared" si="0"/>
        <v>-1098.4267569141812</v>
      </c>
      <c r="F34" s="349">
        <v>221134.8325470585</v>
      </c>
      <c r="G34" s="246">
        <v>281248.65873946191</v>
      </c>
      <c r="H34" s="349">
        <f t="shared" si="1"/>
        <v>60113.826192403416</v>
      </c>
      <c r="I34" s="349">
        <v>78120.457637879575</v>
      </c>
      <c r="J34" s="246">
        <f>VLOOKUP(B34,'M) Police'!B34:O342,14,FALSE)</f>
        <v>80077.746783243434</v>
      </c>
      <c r="K34" s="349">
        <f t="shared" si="2"/>
        <v>1957.2891453638586</v>
      </c>
    </row>
    <row r="35" spans="1:11" x14ac:dyDescent="0.25">
      <c r="A35" s="162">
        <f>+'B) D RI'!A36</f>
        <v>5436</v>
      </c>
      <c r="B35" s="482" t="str">
        <f>+'B) D RI'!B36</f>
        <v>Saint-Oyens</v>
      </c>
      <c r="C35" s="478">
        <v>192852.50190407442</v>
      </c>
      <c r="D35" s="246">
        <f>VLOOKUP(B35,Synthèse!B35:F343,5,FALSE)</f>
        <v>256408.9173609456</v>
      </c>
      <c r="E35" s="349">
        <f t="shared" si="0"/>
        <v>63556.415456871182</v>
      </c>
      <c r="F35" s="349">
        <v>-51261.814618649252</v>
      </c>
      <c r="G35" s="246">
        <v>-82253.848069547937</v>
      </c>
      <c r="H35" s="349">
        <f t="shared" si="1"/>
        <v>-30992.033450898685</v>
      </c>
      <c r="I35" s="349">
        <v>31761.600140251441</v>
      </c>
      <c r="J35" s="246">
        <f>VLOOKUP(B35,'M) Police'!B35:O343,14,FALSE)</f>
        <v>35220.698765741086</v>
      </c>
      <c r="K35" s="349">
        <f t="shared" si="2"/>
        <v>3459.0986254896452</v>
      </c>
    </row>
    <row r="36" spans="1:11" x14ac:dyDescent="0.25">
      <c r="A36" s="162">
        <f>+'B) D RI'!A37</f>
        <v>5437</v>
      </c>
      <c r="B36" s="482" t="str">
        <f>+'B) D RI'!B37</f>
        <v>Saubraz</v>
      </c>
      <c r="C36" s="478">
        <v>266172.96732255007</v>
      </c>
      <c r="D36" s="246">
        <f>VLOOKUP(B36,Synthèse!B36:F344,5,FALSE)</f>
        <v>171681.94120820408</v>
      </c>
      <c r="E36" s="349">
        <f t="shared" si="0"/>
        <v>-94491.026114345994</v>
      </c>
      <c r="F36" s="349">
        <v>-154076.49783292116</v>
      </c>
      <c r="G36" s="246">
        <v>-148432.08369422125</v>
      </c>
      <c r="H36" s="349">
        <f t="shared" si="1"/>
        <v>5644.4141386999108</v>
      </c>
      <c r="I36" s="349">
        <v>29201.418073810586</v>
      </c>
      <c r="J36" s="246">
        <f>VLOOKUP(B36,'M) Police'!B36:O344,14,FALSE)</f>
        <v>30632.351962469991</v>
      </c>
      <c r="K36" s="349">
        <f t="shared" si="2"/>
        <v>1430.9338886594051</v>
      </c>
    </row>
    <row r="37" spans="1:11" x14ac:dyDescent="0.25">
      <c r="A37" s="162">
        <f>+'B) D RI'!A38</f>
        <v>5451</v>
      </c>
      <c r="B37" s="482" t="str">
        <f>+'B) D RI'!B38</f>
        <v>Avenches</v>
      </c>
      <c r="C37" s="478">
        <v>2025751.9795056102</v>
      </c>
      <c r="D37" s="246">
        <f>VLOOKUP(B37,Synthèse!B37:F345,5,FALSE)</f>
        <v>1918546.5524765793</v>
      </c>
      <c r="E37" s="349">
        <f t="shared" si="0"/>
        <v>-107205.42702903086</v>
      </c>
      <c r="F37" s="349">
        <v>-2463594.4318510788</v>
      </c>
      <c r="G37" s="246">
        <v>-2787752.2596872333</v>
      </c>
      <c r="H37" s="349">
        <f t="shared" si="1"/>
        <v>-324157.82783615449</v>
      </c>
      <c r="I37" s="349">
        <v>319440.92043591081</v>
      </c>
      <c r="J37" s="246">
        <f>VLOOKUP(B37,'M) Police'!B37:O345,14,FALSE)</f>
        <v>289627.91213512048</v>
      </c>
      <c r="K37" s="349">
        <f t="shared" si="2"/>
        <v>-29813.00830079033</v>
      </c>
    </row>
    <row r="38" spans="1:11" x14ac:dyDescent="0.25">
      <c r="A38" s="162">
        <f>+'B) D RI'!A39</f>
        <v>5456</v>
      </c>
      <c r="B38" s="482" t="str">
        <f>+'B) D RI'!B39</f>
        <v>Cudrefin</v>
      </c>
      <c r="C38" s="478">
        <v>1086943.5705534539</v>
      </c>
      <c r="D38" s="246">
        <f>VLOOKUP(B38,Synthèse!B38:F346,5,FALSE)</f>
        <v>1027971.7545347136</v>
      </c>
      <c r="E38" s="349">
        <f t="shared" si="0"/>
        <v>-58971.816018740297</v>
      </c>
      <c r="F38" s="349">
        <v>-2697.2211858083028</v>
      </c>
      <c r="G38" s="246">
        <v>230125.45146501972</v>
      </c>
      <c r="H38" s="349">
        <f t="shared" si="1"/>
        <v>232822.67265082803</v>
      </c>
      <c r="I38" s="349">
        <v>142192.32638804908</v>
      </c>
      <c r="J38" s="246">
        <f>VLOOKUP(B38,'M) Police'!B38:O346,14,FALSE)</f>
        <v>171008.52448828844</v>
      </c>
      <c r="K38" s="349">
        <f t="shared" si="2"/>
        <v>28816.198100239359</v>
      </c>
    </row>
    <row r="39" spans="1:11" x14ac:dyDescent="0.25">
      <c r="A39" s="162">
        <f>+'B) D RI'!A40</f>
        <v>5458</v>
      </c>
      <c r="B39" s="482" t="str">
        <f>+'B) D RI'!B40</f>
        <v>Faoug</v>
      </c>
      <c r="C39" s="478">
        <v>527125.7808725643</v>
      </c>
      <c r="D39" s="246">
        <f>VLOOKUP(B39,Synthèse!B39:F347,5,FALSE)</f>
        <v>652223.01801633672</v>
      </c>
      <c r="E39" s="349">
        <f t="shared" si="0"/>
        <v>125097.23714377242</v>
      </c>
      <c r="F39" s="349">
        <v>183519.09063845649</v>
      </c>
      <c r="G39" s="246">
        <v>386716.01191043644</v>
      </c>
      <c r="H39" s="349">
        <f t="shared" si="1"/>
        <v>203196.92127197995</v>
      </c>
      <c r="I39" s="349">
        <v>88642.309825237753</v>
      </c>
      <c r="J39" s="246">
        <f>VLOOKUP(B39,'M) Police'!B39:O347,14,FALSE)</f>
        <v>107532.79116125063</v>
      </c>
      <c r="K39" s="349">
        <f t="shared" si="2"/>
        <v>18890.481336012876</v>
      </c>
    </row>
    <row r="40" spans="1:11" x14ac:dyDescent="0.25">
      <c r="A40" s="162">
        <f>+'B) D RI'!A41</f>
        <v>5464</v>
      </c>
      <c r="B40" s="482" t="str">
        <f>+'B) D RI'!B41</f>
        <v>Vully-les-Lacs</v>
      </c>
      <c r="C40" s="478">
        <v>1876173.1681032944</v>
      </c>
      <c r="D40" s="246">
        <f>VLOOKUP(B40,Synthèse!B40:F348,5,FALSE)</f>
        <v>1786695.463595578</v>
      </c>
      <c r="E40" s="349">
        <f t="shared" si="0"/>
        <v>-89477.704507716466</v>
      </c>
      <c r="F40" s="349">
        <v>126158.50128760369</v>
      </c>
      <c r="G40" s="246">
        <v>-155086.05098703917</v>
      </c>
      <c r="H40" s="349">
        <f t="shared" si="1"/>
        <v>-281244.55227464286</v>
      </c>
      <c r="I40" s="349">
        <v>307148.58118143131</v>
      </c>
      <c r="J40" s="246">
        <f>VLOOKUP(B40,'M) Police'!B40:O348,14,FALSE)</f>
        <v>302849.17846146994</v>
      </c>
      <c r="K40" s="349">
        <f t="shared" si="2"/>
        <v>-4299.4027199613629</v>
      </c>
    </row>
    <row r="41" spans="1:11" x14ac:dyDescent="0.25">
      <c r="A41" s="162">
        <f>+'B) D RI'!A42</f>
        <v>5471</v>
      </c>
      <c r="B41" s="482" t="str">
        <f>+'B) D RI'!B42</f>
        <v>Bettens</v>
      </c>
      <c r="C41" s="478">
        <v>345683.71205676574</v>
      </c>
      <c r="D41" s="246">
        <f>VLOOKUP(B41,Synthèse!B41:F349,5,FALSE)</f>
        <v>395879.93978429388</v>
      </c>
      <c r="E41" s="349">
        <f t="shared" si="0"/>
        <v>50196.227727528138</v>
      </c>
      <c r="F41" s="349">
        <v>158043.44387157296</v>
      </c>
      <c r="G41" s="246">
        <v>172169.69797533739</v>
      </c>
      <c r="H41" s="349">
        <f t="shared" si="1"/>
        <v>14126.254103764426</v>
      </c>
      <c r="I41" s="349">
        <v>58254.042968061651</v>
      </c>
      <c r="J41" s="246">
        <f>VLOOKUP(B41,'M) Police'!B41:O349,14,FALSE)</f>
        <v>59072.507907839856</v>
      </c>
      <c r="K41" s="349">
        <f t="shared" si="2"/>
        <v>818.46493977820501</v>
      </c>
    </row>
    <row r="42" spans="1:11" x14ac:dyDescent="0.25">
      <c r="A42" s="162">
        <f>+'B) D RI'!A43</f>
        <v>5472</v>
      </c>
      <c r="B42" s="482" t="str">
        <f>+'B) D RI'!B43</f>
        <v>Bournens</v>
      </c>
      <c r="C42" s="478">
        <v>256085.14543361671</v>
      </c>
      <c r="D42" s="246">
        <f>VLOOKUP(B42,Synthèse!B42:F350,5,FALSE)</f>
        <v>252600.00851148245</v>
      </c>
      <c r="E42" s="349">
        <f t="shared" si="0"/>
        <v>-3485.1369221342611</v>
      </c>
      <c r="F42" s="349">
        <v>99446.361554853196</v>
      </c>
      <c r="G42" s="246">
        <v>110961.50990679581</v>
      </c>
      <c r="H42" s="349">
        <f t="shared" si="1"/>
        <v>11515.148351942611</v>
      </c>
      <c r="I42" s="349">
        <v>42502.17921526407</v>
      </c>
      <c r="J42" s="246">
        <f>VLOOKUP(B42,'M) Police'!B42:O350,14,FALSE)</f>
        <v>47117.084341193418</v>
      </c>
      <c r="K42" s="349">
        <f t="shared" si="2"/>
        <v>4614.9051259293483</v>
      </c>
    </row>
    <row r="43" spans="1:11" x14ac:dyDescent="0.25">
      <c r="A43" s="162">
        <f>+'B) D RI'!A44</f>
        <v>5473</v>
      </c>
      <c r="B43" s="482" t="str">
        <f>+'B) D RI'!B44</f>
        <v>Boussens</v>
      </c>
      <c r="C43" s="478">
        <v>532210.33663350437</v>
      </c>
      <c r="D43" s="246">
        <f>VLOOKUP(B43,Synthèse!B43:F351,5,FALSE)</f>
        <v>546557.41745165014</v>
      </c>
      <c r="E43" s="349">
        <f t="shared" si="0"/>
        <v>14347.080818145769</v>
      </c>
      <c r="F43" s="349">
        <v>343921.04388063506</v>
      </c>
      <c r="G43" s="246">
        <v>315826.18252981722</v>
      </c>
      <c r="H43" s="349">
        <f t="shared" si="1"/>
        <v>-28094.861350817839</v>
      </c>
      <c r="I43" s="349">
        <v>105362.12667908947</v>
      </c>
      <c r="J43" s="246">
        <f>VLOOKUP(B43,'M) Police'!B43:O351,14,FALSE)</f>
        <v>103007.23052355522</v>
      </c>
      <c r="K43" s="349">
        <f t="shared" si="2"/>
        <v>-2354.8961555342539</v>
      </c>
    </row>
    <row r="44" spans="1:11" x14ac:dyDescent="0.25">
      <c r="A44" s="162">
        <f>+'B) D RI'!A45</f>
        <v>5474</v>
      </c>
      <c r="B44" s="482" t="str">
        <f>+'B) D RI'!B45</f>
        <v>La Chaux (Cossonay)</v>
      </c>
      <c r="C44" s="478">
        <v>189631.06763336452</v>
      </c>
      <c r="D44" s="246">
        <f>VLOOKUP(B44,Synthèse!B44:F352,5,FALSE)</f>
        <v>309292.38778300624</v>
      </c>
      <c r="E44" s="349">
        <f t="shared" si="0"/>
        <v>119661.32014964172</v>
      </c>
      <c r="F44" s="349">
        <v>-55777.178749456594</v>
      </c>
      <c r="G44" s="246">
        <v>-19952.412277335534</v>
      </c>
      <c r="H44" s="349">
        <f t="shared" si="1"/>
        <v>35824.76647212106</v>
      </c>
      <c r="I44" s="349">
        <v>40704.51829574912</v>
      </c>
      <c r="J44" s="246">
        <f>VLOOKUP(B44,'M) Police'!B44:O352,14,FALSE)</f>
        <v>41692.345420225174</v>
      </c>
      <c r="K44" s="349">
        <f t="shared" si="2"/>
        <v>987.82712447605445</v>
      </c>
    </row>
    <row r="45" spans="1:11" x14ac:dyDescent="0.25">
      <c r="A45" s="162">
        <f>+'B) D RI'!A46</f>
        <v>5475</v>
      </c>
      <c r="B45" s="482" t="str">
        <f>+'B) D RI'!B46</f>
        <v>Chavannes-le-Veyron</v>
      </c>
      <c r="C45" s="478">
        <v>44519.302404775772</v>
      </c>
      <c r="D45" s="246">
        <f>VLOOKUP(B45,Synthèse!B45:F353,5,FALSE)</f>
        <v>59553.717440961795</v>
      </c>
      <c r="E45" s="349">
        <f t="shared" si="0"/>
        <v>15034.415036186023</v>
      </c>
      <c r="F45" s="349">
        <v>-86457.102444063406</v>
      </c>
      <c r="G45" s="246">
        <v>-44466.509260773062</v>
      </c>
      <c r="H45" s="349">
        <f t="shared" si="1"/>
        <v>41990.593183290344</v>
      </c>
      <c r="I45" s="349">
        <v>8679.9919817444952</v>
      </c>
      <c r="J45" s="246">
        <f>VLOOKUP(B45,'M) Police'!B45:O353,14,FALSE)</f>
        <v>11676.679909470673</v>
      </c>
      <c r="K45" s="349">
        <f t="shared" si="2"/>
        <v>2996.6879277261778</v>
      </c>
    </row>
    <row r="46" spans="1:11" x14ac:dyDescent="0.25">
      <c r="A46" s="162">
        <f>+'B) D RI'!A47</f>
        <v>5476</v>
      </c>
      <c r="B46" s="482" t="str">
        <f>+'B) D RI'!B47</f>
        <v>Chevilly</v>
      </c>
      <c r="C46" s="478">
        <v>160996.98748923591</v>
      </c>
      <c r="D46" s="246">
        <f>VLOOKUP(B46,Synthèse!B46:F354,5,FALSE)</f>
        <v>153699.78945996077</v>
      </c>
      <c r="E46" s="349">
        <f t="shared" si="0"/>
        <v>-7297.1980292751396</v>
      </c>
      <c r="F46" s="349">
        <v>-21393.902796980357</v>
      </c>
      <c r="G46" s="246">
        <v>53976.206886809232</v>
      </c>
      <c r="H46" s="349">
        <f t="shared" si="1"/>
        <v>75370.109683789589</v>
      </c>
      <c r="I46" s="349">
        <v>25054.928510654132</v>
      </c>
      <c r="J46" s="246">
        <f>VLOOKUP(B46,'M) Police'!B46:O354,14,FALSE)</f>
        <v>31172.75423882504</v>
      </c>
      <c r="K46" s="349">
        <f t="shared" si="2"/>
        <v>6117.8257281709084</v>
      </c>
    </row>
    <row r="47" spans="1:11" x14ac:dyDescent="0.25">
      <c r="A47" s="162">
        <f>+'B) D RI'!A48</f>
        <v>5477</v>
      </c>
      <c r="B47" s="482" t="str">
        <f>+'B) D RI'!B48</f>
        <v>Cossonay</v>
      </c>
      <c r="C47" s="478">
        <v>2259383.7874005497</v>
      </c>
      <c r="D47" s="246">
        <f>VLOOKUP(B47,Synthèse!B47:F355,5,FALSE)</f>
        <v>2480317.1199492486</v>
      </c>
      <c r="E47" s="349">
        <f t="shared" si="0"/>
        <v>220933.33254869888</v>
      </c>
      <c r="F47" s="349">
        <v>-290484.503463506</v>
      </c>
      <c r="G47" s="246">
        <v>-282335.62085903471</v>
      </c>
      <c r="H47" s="349">
        <f t="shared" si="1"/>
        <v>8148.8826044712914</v>
      </c>
      <c r="I47" s="349">
        <v>387996.04309773195</v>
      </c>
      <c r="J47" s="246">
        <f>VLOOKUP(B47,'M) Police'!B47:O355,14,FALSE)</f>
        <v>391549.69521189877</v>
      </c>
      <c r="K47" s="349">
        <f t="shared" si="2"/>
        <v>3553.65211416682</v>
      </c>
    </row>
    <row r="48" spans="1:11" x14ac:dyDescent="0.25">
      <c r="A48" s="162">
        <f>+'B) D RI'!A49</f>
        <v>5478</v>
      </c>
      <c r="B48" s="482" t="str">
        <f>+'B) D RI'!B49</f>
        <v>Cottens</v>
      </c>
      <c r="C48" s="478">
        <v>253810.37302590586</v>
      </c>
      <c r="D48" s="246">
        <f>VLOOKUP(B48,Synthèse!B48:F356,5,FALSE)</f>
        <v>296068.04944612284</v>
      </c>
      <c r="E48" s="349">
        <f t="shared" si="0"/>
        <v>42257.676420216972</v>
      </c>
      <c r="F48" s="349">
        <v>119857.57520937412</v>
      </c>
      <c r="G48" s="246">
        <v>145343.90881755986</v>
      </c>
      <c r="H48" s="349">
        <f t="shared" si="1"/>
        <v>25486.333608185741</v>
      </c>
      <c r="I48" s="349">
        <v>49679.585248811476</v>
      </c>
      <c r="J48" s="246">
        <f>VLOOKUP(B48,'M) Police'!B48:O356,14,FALSE)</f>
        <v>53088.033236260111</v>
      </c>
      <c r="K48" s="349">
        <f t="shared" si="2"/>
        <v>3408.4479874486351</v>
      </c>
    </row>
    <row r="49" spans="1:11" x14ac:dyDescent="0.25">
      <c r="A49" s="162">
        <f>+'B) D RI'!A50</f>
        <v>5479</v>
      </c>
      <c r="B49" s="482" t="str">
        <f>+'B) D RI'!B50</f>
        <v>Cuarnens</v>
      </c>
      <c r="C49" s="478">
        <v>191308.67318434565</v>
      </c>
      <c r="D49" s="246">
        <f>VLOOKUP(B49,Synthèse!B49:F357,5,FALSE)</f>
        <v>357375.52190909226</v>
      </c>
      <c r="E49" s="349">
        <f t="shared" si="0"/>
        <v>166066.84872474661</v>
      </c>
      <c r="F49" s="349">
        <v>-188443.03994570387</v>
      </c>
      <c r="G49" s="246">
        <v>166929.71470912243</v>
      </c>
      <c r="H49" s="349">
        <f t="shared" si="1"/>
        <v>355372.75465482631</v>
      </c>
      <c r="I49" s="349">
        <v>37591.495184393039</v>
      </c>
      <c r="J49" s="246">
        <f>VLOOKUP(B49,'M) Police'!B49:O357,14,FALSE)</f>
        <v>61305.89514346778</v>
      </c>
      <c r="K49" s="349">
        <f t="shared" si="2"/>
        <v>23714.399959074741</v>
      </c>
    </row>
    <row r="50" spans="1:11" x14ac:dyDescent="0.25">
      <c r="A50" s="162">
        <f>+'B) D RI'!A51</f>
        <v>5480</v>
      </c>
      <c r="B50" s="482" t="str">
        <f>+'B) D RI'!B51</f>
        <v>Daillens</v>
      </c>
      <c r="C50" s="478">
        <v>829372.66707437648</v>
      </c>
      <c r="D50" s="246">
        <f>VLOOKUP(B50,Synthèse!B50:F358,5,FALSE)</f>
        <v>704341.26490540081</v>
      </c>
      <c r="E50" s="349">
        <f t="shared" si="0"/>
        <v>-125031.40216897568</v>
      </c>
      <c r="F50" s="349">
        <v>507902.51524991234</v>
      </c>
      <c r="G50" s="246">
        <v>494356.33168917947</v>
      </c>
      <c r="H50" s="349">
        <f t="shared" si="1"/>
        <v>-13546.183560732869</v>
      </c>
      <c r="I50" s="349">
        <v>132773.27768996355</v>
      </c>
      <c r="J50" s="246">
        <f>VLOOKUP(B50,'M) Police'!B50:O358,14,FALSE)</f>
        <v>127439.44425656978</v>
      </c>
      <c r="K50" s="349">
        <f t="shared" si="2"/>
        <v>-5333.8334333937673</v>
      </c>
    </row>
    <row r="51" spans="1:11" x14ac:dyDescent="0.25">
      <c r="A51" s="162">
        <f>+'B) D RI'!A52</f>
        <v>5481</v>
      </c>
      <c r="B51" s="482" t="str">
        <f>+'B) D RI'!B52</f>
        <v>Dizy</v>
      </c>
      <c r="C51" s="478">
        <v>139793.74299620368</v>
      </c>
      <c r="D51" s="246">
        <f>VLOOKUP(B51,Synthèse!B51:F359,5,FALSE)</f>
        <v>136104.74972420218</v>
      </c>
      <c r="E51" s="349">
        <f t="shared" si="0"/>
        <v>-3688.9932720015058</v>
      </c>
      <c r="F51" s="349">
        <v>86242.891536792216</v>
      </c>
      <c r="G51" s="246">
        <v>83281.140263740497</v>
      </c>
      <c r="H51" s="349">
        <f t="shared" si="1"/>
        <v>-2961.7512730517192</v>
      </c>
      <c r="I51" s="349">
        <v>26617.961697788898</v>
      </c>
      <c r="J51" s="246">
        <f>VLOOKUP(B51,'M) Police'!B51:O359,14,FALSE)</f>
        <v>26539.320429855467</v>
      </c>
      <c r="K51" s="349">
        <f t="shared" si="2"/>
        <v>-78.641267933431664</v>
      </c>
    </row>
    <row r="52" spans="1:11" x14ac:dyDescent="0.25">
      <c r="A52" s="162">
        <f>+'B) D RI'!A53</f>
        <v>5482</v>
      </c>
      <c r="B52" s="482" t="str">
        <f>+'B) D RI'!B53</f>
        <v>Eclépens</v>
      </c>
      <c r="C52" s="478">
        <v>1235991.6581761807</v>
      </c>
      <c r="D52" s="246">
        <f>VLOOKUP(B52,Synthèse!B52:F360,5,FALSE)</f>
        <v>1021837.5612571582</v>
      </c>
      <c r="E52" s="349">
        <f t="shared" si="0"/>
        <v>-214154.0969190225</v>
      </c>
      <c r="F52" s="349">
        <v>1043062.2956723148</v>
      </c>
      <c r="G52" s="246">
        <v>716852.8038052381</v>
      </c>
      <c r="H52" s="349">
        <f t="shared" si="1"/>
        <v>-326209.49186707672</v>
      </c>
      <c r="I52" s="349">
        <v>172136.66846379521</v>
      </c>
      <c r="J52" s="246">
        <f>VLOOKUP(B52,'M) Police'!B52:O360,14,FALSE)</f>
        <v>144622.12250666122</v>
      </c>
      <c r="K52" s="349">
        <f t="shared" si="2"/>
        <v>-27514.545957133989</v>
      </c>
    </row>
    <row r="53" spans="1:11" x14ac:dyDescent="0.25">
      <c r="A53" s="162">
        <f>+'B) D RI'!A54</f>
        <v>5483</v>
      </c>
      <c r="B53" s="482" t="str">
        <f>+'B) D RI'!B54</f>
        <v>Ferreyres</v>
      </c>
      <c r="C53" s="478">
        <v>154560.20220127021</v>
      </c>
      <c r="D53" s="246">
        <f>VLOOKUP(B53,Synthèse!B53:F361,5,FALSE)</f>
        <v>197865.15766695878</v>
      </c>
      <c r="E53" s="349">
        <f t="shared" si="0"/>
        <v>43304.955465688574</v>
      </c>
      <c r="F53" s="349">
        <v>12763.230787522036</v>
      </c>
      <c r="G53" s="246">
        <v>140210.71182285991</v>
      </c>
      <c r="H53" s="349">
        <f t="shared" si="1"/>
        <v>127447.48103533787</v>
      </c>
      <c r="I53" s="349">
        <v>29143.700362794902</v>
      </c>
      <c r="J53" s="246">
        <f>VLOOKUP(B53,'M) Police'!B53:O361,14,FALSE)</f>
        <v>38515.181819684905</v>
      </c>
      <c r="K53" s="349">
        <f t="shared" si="2"/>
        <v>9371.4814568900038</v>
      </c>
    </row>
    <row r="54" spans="1:11" x14ac:dyDescent="0.25">
      <c r="A54" s="162">
        <f>+'B) D RI'!A55</f>
        <v>5484</v>
      </c>
      <c r="B54" s="482" t="str">
        <f>+'B) D RI'!B55</f>
        <v>Gollion</v>
      </c>
      <c r="C54" s="478">
        <v>482389.97909262188</v>
      </c>
      <c r="D54" s="246">
        <f>VLOOKUP(B54,Synthèse!B54:F362,5,FALSE)</f>
        <v>697463.40215374832</v>
      </c>
      <c r="E54" s="349">
        <f t="shared" si="0"/>
        <v>215073.42306112644</v>
      </c>
      <c r="F54" s="349">
        <v>-125740.70671935438</v>
      </c>
      <c r="G54" s="246">
        <v>286820.06995684386</v>
      </c>
      <c r="H54" s="349">
        <f t="shared" si="1"/>
        <v>412560.77667619823</v>
      </c>
      <c r="I54" s="349">
        <v>73811.575478162718</v>
      </c>
      <c r="J54" s="246">
        <f>VLOOKUP(B54,'M) Police'!B54:O362,14,FALSE)</f>
        <v>108249.11394124142</v>
      </c>
      <c r="K54" s="349">
        <f t="shared" si="2"/>
        <v>34437.538463078701</v>
      </c>
    </row>
    <row r="55" spans="1:11" x14ac:dyDescent="0.25">
      <c r="A55" s="162">
        <f>+'B) D RI'!A56</f>
        <v>5485</v>
      </c>
      <c r="B55" s="482" t="str">
        <f>+'B) D RI'!B56</f>
        <v>Grancy</v>
      </c>
      <c r="C55" s="478">
        <v>300596.26140902849</v>
      </c>
      <c r="D55" s="246">
        <f>VLOOKUP(B55,Synthèse!B55:F363,5,FALSE)</f>
        <v>312648.05628744751</v>
      </c>
      <c r="E55" s="349">
        <f t="shared" si="0"/>
        <v>12051.794878419023</v>
      </c>
      <c r="F55" s="349">
        <v>227132.66372558489</v>
      </c>
      <c r="G55" s="246">
        <v>253110.76633280795</v>
      </c>
      <c r="H55" s="349">
        <f t="shared" si="1"/>
        <v>25978.10260722306</v>
      </c>
      <c r="I55" s="349">
        <v>55899.967473328186</v>
      </c>
      <c r="J55" s="246">
        <f>VLOOKUP(B55,'M) Police'!B55:O363,14,FALSE)</f>
        <v>55897.102961086275</v>
      </c>
      <c r="K55" s="349">
        <f t="shared" si="2"/>
        <v>-2.8645122419111431</v>
      </c>
    </row>
    <row r="56" spans="1:11" x14ac:dyDescent="0.25">
      <c r="A56" s="162">
        <f>+'B) D RI'!A57</f>
        <v>5486</v>
      </c>
      <c r="B56" s="482" t="str">
        <f>+'B) D RI'!B57</f>
        <v>L'Isle</v>
      </c>
      <c r="C56" s="478">
        <v>690105.40943419305</v>
      </c>
      <c r="D56" s="246">
        <f>VLOOKUP(B56,Synthèse!B56:F364,5,FALSE)</f>
        <v>500658.10288932425</v>
      </c>
      <c r="E56" s="349">
        <f t="shared" si="0"/>
        <v>-189447.3065448688</v>
      </c>
      <c r="F56" s="349">
        <v>-372943.85728626017</v>
      </c>
      <c r="G56" s="246">
        <v>-362590.18154493487</v>
      </c>
      <c r="H56" s="349">
        <f t="shared" si="1"/>
        <v>10353.675741325307</v>
      </c>
      <c r="I56" s="349">
        <v>86315.00346825397</v>
      </c>
      <c r="J56" s="246">
        <f>VLOOKUP(B56,'M) Police'!B56:O364,14,FALSE)</f>
        <v>79962.052930306585</v>
      </c>
      <c r="K56" s="349">
        <f t="shared" si="2"/>
        <v>-6352.9505379473849</v>
      </c>
    </row>
    <row r="57" spans="1:11" x14ac:dyDescent="0.25">
      <c r="A57" s="162">
        <f>+'B) D RI'!A58</f>
        <v>5487</v>
      </c>
      <c r="B57" s="482" t="str">
        <f>+'B) D RI'!B58</f>
        <v>Lussery-Villars</v>
      </c>
      <c r="C57" s="478">
        <v>214062.16942024289</v>
      </c>
      <c r="D57" s="246">
        <f>VLOOKUP(B57,Synthèse!B57:F365,5,FALSE)</f>
        <v>260939.56711144111</v>
      </c>
      <c r="E57" s="349">
        <f t="shared" si="0"/>
        <v>46877.397691198217</v>
      </c>
      <c r="F57" s="349">
        <v>24845.632779836429</v>
      </c>
      <c r="G57" s="246">
        <v>80973.11029357533</v>
      </c>
      <c r="H57" s="349">
        <f t="shared" si="1"/>
        <v>56127.477513738901</v>
      </c>
      <c r="I57" s="349">
        <v>39143.452586385218</v>
      </c>
      <c r="J57" s="246">
        <f>VLOOKUP(B57,'M) Police'!B57:O365,14,FALSE)</f>
        <v>44554.208396709219</v>
      </c>
      <c r="K57" s="349">
        <f t="shared" si="2"/>
        <v>5410.7558103240008</v>
      </c>
    </row>
    <row r="58" spans="1:11" x14ac:dyDescent="0.25">
      <c r="A58" s="162">
        <f>+'B) D RI'!A59</f>
        <v>5488</v>
      </c>
      <c r="B58" s="482" t="str">
        <f>+'B) D RI'!B59</f>
        <v>Mauraz</v>
      </c>
      <c r="C58" s="478">
        <v>22006.325341402193</v>
      </c>
      <c r="D58" s="246">
        <f>VLOOKUP(B58,Synthèse!B58:F366,5,FALSE)</f>
        <v>24548.8426655433</v>
      </c>
      <c r="E58" s="349">
        <f t="shared" si="0"/>
        <v>2542.5173241411067</v>
      </c>
      <c r="F58" s="349">
        <v>578.83135900590696</v>
      </c>
      <c r="G58" s="246">
        <v>-455.01034536493739</v>
      </c>
      <c r="H58" s="349">
        <f t="shared" si="1"/>
        <v>-1033.8417043708444</v>
      </c>
      <c r="I58" s="349">
        <v>4509.0041088873713</v>
      </c>
      <c r="J58" s="246">
        <f>VLOOKUP(B58,'M) Police'!B58:O366,14,FALSE)</f>
        <v>5070.7140238032644</v>
      </c>
      <c r="K58" s="349">
        <f t="shared" si="2"/>
        <v>561.70991491589302</v>
      </c>
    </row>
    <row r="59" spans="1:11" x14ac:dyDescent="0.25">
      <c r="A59" s="162">
        <f>+'B) D RI'!A60</f>
        <v>5489</v>
      </c>
      <c r="B59" s="482" t="str">
        <f>+'B) D RI'!B60</f>
        <v>Mex</v>
      </c>
      <c r="C59" s="478">
        <v>648947.44487524335</v>
      </c>
      <c r="D59" s="246">
        <f>VLOOKUP(B59,Synthèse!B59:F367,5,FALSE)</f>
        <v>1380579.3613424839</v>
      </c>
      <c r="E59" s="349">
        <f t="shared" si="0"/>
        <v>731631.91646724055</v>
      </c>
      <c r="F59" s="349">
        <v>615325.92987065867</v>
      </c>
      <c r="G59" s="246">
        <v>905383.59273455967</v>
      </c>
      <c r="H59" s="349">
        <f t="shared" si="1"/>
        <v>290057.662863901</v>
      </c>
      <c r="I59" s="349">
        <v>107184.05977849929</v>
      </c>
      <c r="J59" s="246">
        <f>VLOOKUP(B59,'M) Police'!B59:O367,14,FALSE)</f>
        <v>127397.00610968294</v>
      </c>
      <c r="K59" s="349">
        <f t="shared" si="2"/>
        <v>20212.946331183659</v>
      </c>
    </row>
    <row r="60" spans="1:11" x14ac:dyDescent="0.25">
      <c r="A60" s="162">
        <f>+'B) D RI'!A61</f>
        <v>5490</v>
      </c>
      <c r="B60" s="482" t="str">
        <f>+'B) D RI'!B61</f>
        <v>Moiry</v>
      </c>
      <c r="C60" s="478">
        <v>127652.94357997509</v>
      </c>
      <c r="D60" s="246">
        <f>VLOOKUP(B60,Synthèse!B60:F368,5,FALSE)</f>
        <v>129195.99371135344</v>
      </c>
      <c r="E60" s="349">
        <f t="shared" si="0"/>
        <v>1543.0501313783461</v>
      </c>
      <c r="F60" s="349">
        <v>-53108.804393659826</v>
      </c>
      <c r="G60" s="246">
        <v>-79238.584091012468</v>
      </c>
      <c r="H60" s="349">
        <f t="shared" si="1"/>
        <v>-26129.779697352642</v>
      </c>
      <c r="I60" s="349">
        <v>23534.9655210458</v>
      </c>
      <c r="J60" s="246">
        <f>VLOOKUP(B60,'M) Police'!B60:O368,14,FALSE)</f>
        <v>25434.398823048126</v>
      </c>
      <c r="K60" s="349">
        <f t="shared" si="2"/>
        <v>1899.4333020023259</v>
      </c>
    </row>
    <row r="61" spans="1:11" x14ac:dyDescent="0.25">
      <c r="A61" s="162">
        <f>+'B) D RI'!A62</f>
        <v>5491</v>
      </c>
      <c r="B61" s="482" t="str">
        <f>+'B) D RI'!B62</f>
        <v>Mont-la-Ville</v>
      </c>
      <c r="C61" s="478">
        <v>172122.91865413581</v>
      </c>
      <c r="D61" s="246">
        <f>VLOOKUP(B61,Synthèse!B61:F369,5,FALSE)</f>
        <v>181958.40853453299</v>
      </c>
      <c r="E61" s="349">
        <f t="shared" si="0"/>
        <v>9835.4898803971882</v>
      </c>
      <c r="F61" s="349">
        <v>-179303.56700068928</v>
      </c>
      <c r="G61" s="246">
        <v>-124432.23965460359</v>
      </c>
      <c r="H61" s="349">
        <f t="shared" si="1"/>
        <v>54871.327346085687</v>
      </c>
      <c r="I61" s="349">
        <v>27124.580536690264</v>
      </c>
      <c r="J61" s="246">
        <f>VLOOKUP(B61,'M) Police'!B61:O369,14,FALSE)</f>
        <v>32316.231197803401</v>
      </c>
      <c r="K61" s="349">
        <f t="shared" si="2"/>
        <v>5191.6506611131372</v>
      </c>
    </row>
    <row r="62" spans="1:11" x14ac:dyDescent="0.25">
      <c r="A62" s="162">
        <f>+'B) D RI'!A63</f>
        <v>5492</v>
      </c>
      <c r="B62" s="482" t="str">
        <f>+'B) D RI'!B63</f>
        <v>Montricher</v>
      </c>
      <c r="C62" s="478">
        <v>7073706.4401512267</v>
      </c>
      <c r="D62" s="246">
        <f>VLOOKUP(B62,Synthèse!B62:F370,5,FALSE)</f>
        <v>8769645.6939990465</v>
      </c>
      <c r="E62" s="349">
        <f t="shared" si="0"/>
        <v>1695939.2538478198</v>
      </c>
      <c r="F62" s="349">
        <v>2224768.9091829374</v>
      </c>
      <c r="G62" s="246">
        <v>2722295.8589202701</v>
      </c>
      <c r="H62" s="349">
        <f t="shared" si="1"/>
        <v>497526.94973733276</v>
      </c>
      <c r="I62" s="349">
        <v>265948.27625352866</v>
      </c>
      <c r="J62" s="246">
        <f>VLOOKUP(B62,'M) Police'!B62:O370,14,FALSE)</f>
        <v>283338.38377164409</v>
      </c>
      <c r="K62" s="349">
        <f t="shared" si="2"/>
        <v>17390.10751811543</v>
      </c>
    </row>
    <row r="63" spans="1:11" x14ac:dyDescent="0.25">
      <c r="A63" s="162">
        <f>+'B) D RI'!A64</f>
        <v>5493</v>
      </c>
      <c r="B63" s="482" t="str">
        <f>+'B) D RI'!B64</f>
        <v>Orny</v>
      </c>
      <c r="C63" s="478">
        <v>191695.75120266428</v>
      </c>
      <c r="D63" s="246">
        <f>VLOOKUP(B63,Synthèse!B63:F371,5,FALSE)</f>
        <v>204141.31735366752</v>
      </c>
      <c r="E63" s="349">
        <f t="shared" si="0"/>
        <v>12445.566151003237</v>
      </c>
      <c r="F63" s="349">
        <v>-18597.932944105916</v>
      </c>
      <c r="G63" s="246">
        <v>-293919.42454785423</v>
      </c>
      <c r="H63" s="349">
        <f t="shared" si="1"/>
        <v>-275321.49160374829</v>
      </c>
      <c r="I63" s="349">
        <v>34054.047603098428</v>
      </c>
      <c r="J63" s="246">
        <f>VLOOKUP(B63,'M) Police'!B63:O371,14,FALSE)</f>
        <v>30603.779407841968</v>
      </c>
      <c r="K63" s="349">
        <f t="shared" si="2"/>
        <v>-3450.2681952564599</v>
      </c>
    </row>
    <row r="64" spans="1:11" x14ac:dyDescent="0.25">
      <c r="A64" s="162">
        <f>+'B) D RI'!A65</f>
        <v>5494</v>
      </c>
      <c r="B64" s="482" t="str">
        <f>+'B) D RI'!B65</f>
        <v>Pampigny</v>
      </c>
      <c r="C64" s="478">
        <v>612582.0240024759</v>
      </c>
      <c r="D64" s="246">
        <f>VLOOKUP(B64,Synthèse!B64:F372,5,FALSE)</f>
        <v>588231.47171167308</v>
      </c>
      <c r="E64" s="349">
        <f t="shared" si="0"/>
        <v>-24350.552290802822</v>
      </c>
      <c r="F64" s="349">
        <v>-54595.201863106777</v>
      </c>
      <c r="G64" s="246">
        <v>36146.138299603947</v>
      </c>
      <c r="H64" s="349">
        <f t="shared" si="1"/>
        <v>90741.340162710723</v>
      </c>
      <c r="I64" s="349">
        <v>108412.6028341167</v>
      </c>
      <c r="J64" s="246">
        <f>VLOOKUP(B64,'M) Police'!B64:O372,14,FALSE)</f>
        <v>114841.86462734357</v>
      </c>
      <c r="K64" s="349">
        <f t="shared" si="2"/>
        <v>6429.2617932268768</v>
      </c>
    </row>
    <row r="65" spans="1:11" x14ac:dyDescent="0.25">
      <c r="A65" s="162">
        <f>+'B) D RI'!A66</f>
        <v>5495</v>
      </c>
      <c r="B65" s="482" t="str">
        <f>+'B) D RI'!B66</f>
        <v>Penthalaz</v>
      </c>
      <c r="C65" s="478">
        <v>1720087.2868321158</v>
      </c>
      <c r="D65" s="246">
        <f>VLOOKUP(B65,Synthèse!B65:F373,5,FALSE)</f>
        <v>1783780.8777724958</v>
      </c>
      <c r="E65" s="349">
        <f t="shared" si="0"/>
        <v>63693.590940380003</v>
      </c>
      <c r="F65" s="349">
        <v>-543761.26637248264</v>
      </c>
      <c r="G65" s="246">
        <v>-828047.63723814278</v>
      </c>
      <c r="H65" s="349">
        <f t="shared" si="1"/>
        <v>-284286.37086566014</v>
      </c>
      <c r="I65" s="349">
        <v>307091.93915047479</v>
      </c>
      <c r="J65" s="246">
        <f>VLOOKUP(B65,'M) Police'!B65:O373,14,FALSE)</f>
        <v>287394.6313855531</v>
      </c>
      <c r="K65" s="349">
        <f t="shared" si="2"/>
        <v>-19697.307764921687</v>
      </c>
    </row>
    <row r="66" spans="1:11" x14ac:dyDescent="0.25">
      <c r="A66" s="162">
        <f>+'B) D RI'!A67</f>
        <v>5496</v>
      </c>
      <c r="B66" s="482" t="str">
        <f>+'B) D RI'!B67</f>
        <v>Penthaz</v>
      </c>
      <c r="C66" s="478">
        <v>963622.0822455918</v>
      </c>
      <c r="D66" s="246">
        <f>VLOOKUP(B66,Synthèse!B66:F374,5,FALSE)</f>
        <v>976561.4911146129</v>
      </c>
      <c r="E66" s="349">
        <f t="shared" si="0"/>
        <v>12939.408869021107</v>
      </c>
      <c r="F66" s="349">
        <v>158330.70860433867</v>
      </c>
      <c r="G66" s="246">
        <v>3343.8907279983105</v>
      </c>
      <c r="H66" s="349">
        <f t="shared" si="1"/>
        <v>-154986.81787634036</v>
      </c>
      <c r="I66" s="349">
        <v>176073.63222907373</v>
      </c>
      <c r="J66" s="246">
        <f>VLOOKUP(B66,'M) Police'!B66:O374,14,FALSE)</f>
        <v>170771.67799085524</v>
      </c>
      <c r="K66" s="349">
        <f t="shared" si="2"/>
        <v>-5301.9542382184882</v>
      </c>
    </row>
    <row r="67" spans="1:11" x14ac:dyDescent="0.25">
      <c r="A67" s="162">
        <f>+'B) D RI'!A68</f>
        <v>5497</v>
      </c>
      <c r="B67" s="482" t="str">
        <f>+'B) D RI'!B68</f>
        <v>Pompaples</v>
      </c>
      <c r="C67" s="478">
        <v>459708.83928201412</v>
      </c>
      <c r="D67" s="246">
        <f>VLOOKUP(B67,Synthèse!B67:F375,5,FALSE)</f>
        <v>578348.44832383166</v>
      </c>
      <c r="E67" s="349">
        <f t="shared" si="0"/>
        <v>118639.60904181754</v>
      </c>
      <c r="F67" s="349">
        <v>-93707.045307053282</v>
      </c>
      <c r="G67" s="246">
        <v>-140710.64343475248</v>
      </c>
      <c r="H67" s="349">
        <f t="shared" si="1"/>
        <v>-47003.598127699195</v>
      </c>
      <c r="I67" s="349">
        <v>70757.971295510055</v>
      </c>
      <c r="J67" s="246">
        <f>VLOOKUP(B67,'M) Police'!B67:O375,14,FALSE)</f>
        <v>67012.607101965608</v>
      </c>
      <c r="K67" s="349">
        <f t="shared" si="2"/>
        <v>-3745.3641935444466</v>
      </c>
    </row>
    <row r="68" spans="1:11" x14ac:dyDescent="0.25">
      <c r="A68" s="162">
        <f>+'B) D RI'!A69</f>
        <v>5498</v>
      </c>
      <c r="B68" s="482" t="str">
        <f>+'B) D RI'!B69</f>
        <v>La Sarraz</v>
      </c>
      <c r="C68" s="478">
        <v>1260248.1323149004</v>
      </c>
      <c r="D68" s="246">
        <f>VLOOKUP(B68,Synthèse!B68:F376,5,FALSE)</f>
        <v>1510592.0026750276</v>
      </c>
      <c r="E68" s="349">
        <f t="shared" si="0"/>
        <v>250343.87036012718</v>
      </c>
      <c r="F68" s="349">
        <v>-493233.91642423288</v>
      </c>
      <c r="G68" s="246">
        <v>-683546.44111088535</v>
      </c>
      <c r="H68" s="349">
        <f t="shared" si="1"/>
        <v>-190312.52468665247</v>
      </c>
      <c r="I68" s="349">
        <v>229241.39035746991</v>
      </c>
      <c r="J68" s="246">
        <f>VLOOKUP(B68,'M) Police'!B68:O376,14,FALSE)</f>
        <v>221053.79114087689</v>
      </c>
      <c r="K68" s="349">
        <f t="shared" si="2"/>
        <v>-8187.599216593022</v>
      </c>
    </row>
    <row r="69" spans="1:11" x14ac:dyDescent="0.25">
      <c r="A69" s="162">
        <f>+'B) D RI'!A70</f>
        <v>5499</v>
      </c>
      <c r="B69" s="482" t="str">
        <f>+'B) D RI'!B70</f>
        <v>Senarclens</v>
      </c>
      <c r="C69" s="478">
        <v>396851.87665844441</v>
      </c>
      <c r="D69" s="246">
        <f>VLOOKUP(B69,Synthèse!B69:F377,5,FALSE)</f>
        <v>481464.42373190937</v>
      </c>
      <c r="E69" s="349">
        <f t="shared" si="0"/>
        <v>84612.547073464957</v>
      </c>
      <c r="F69" s="349">
        <v>358668.50869361922</v>
      </c>
      <c r="G69" s="246">
        <v>257676.85762030209</v>
      </c>
      <c r="H69" s="349">
        <f t="shared" si="1"/>
        <v>-100991.65107331713</v>
      </c>
      <c r="I69" s="349">
        <v>67309.014618970657</v>
      </c>
      <c r="J69" s="246">
        <f>VLOOKUP(B69,'M) Police'!B69:O377,14,FALSE)</f>
        <v>63034.628061953685</v>
      </c>
      <c r="K69" s="349">
        <f t="shared" si="2"/>
        <v>-4274.3865570169728</v>
      </c>
    </row>
    <row r="70" spans="1:11" x14ac:dyDescent="0.25">
      <c r="A70" s="162">
        <f>+'B) D RI'!A71</f>
        <v>5500</v>
      </c>
      <c r="B70" s="482" t="str">
        <f>+'B) D RI'!B71</f>
        <v>Sévery</v>
      </c>
      <c r="C70" s="478">
        <v>126050.04172830304</v>
      </c>
      <c r="D70" s="246">
        <f>VLOOKUP(B70,Synthèse!B70:F378,5,FALSE)</f>
        <v>150841.165834532</v>
      </c>
      <c r="E70" s="349">
        <f t="shared" si="0"/>
        <v>24791.124106228963</v>
      </c>
      <c r="F70" s="349">
        <v>-3011.6317120346648</v>
      </c>
      <c r="G70" s="246">
        <v>102660.81550724497</v>
      </c>
      <c r="H70" s="349">
        <f t="shared" si="1"/>
        <v>105672.44721927964</v>
      </c>
      <c r="I70" s="349">
        <v>21572.554040440889</v>
      </c>
      <c r="J70" s="246">
        <f>VLOOKUP(B70,'M) Police'!B70:O378,14,FALSE)</f>
        <v>27943.967688537672</v>
      </c>
      <c r="K70" s="349">
        <f t="shared" si="2"/>
        <v>6371.4136480967827</v>
      </c>
    </row>
    <row r="71" spans="1:11" x14ac:dyDescent="0.25">
      <c r="A71" s="162">
        <f>+'B) D RI'!A72</f>
        <v>5501</v>
      </c>
      <c r="B71" s="482" t="str">
        <f>+'B) D RI'!B72</f>
        <v>Sullens</v>
      </c>
      <c r="C71" s="478">
        <v>665360.96250329993</v>
      </c>
      <c r="D71" s="246">
        <f>VLOOKUP(B71,Synthèse!B71:F379,5,FALSE)</f>
        <v>608677.21567754634</v>
      </c>
      <c r="E71" s="349">
        <f t="shared" ref="E71:E134" si="3">+D71-C71</f>
        <v>-56683.746825753595</v>
      </c>
      <c r="F71" s="349">
        <v>468762.15518784244</v>
      </c>
      <c r="G71" s="246">
        <v>275071.78713036771</v>
      </c>
      <c r="H71" s="349">
        <f t="shared" ref="H71:H134" si="4">+G71-F71</f>
        <v>-193690.36805747473</v>
      </c>
      <c r="I71" s="349">
        <v>114864.15574039749</v>
      </c>
      <c r="J71" s="246">
        <f>VLOOKUP(B71,'M) Police'!B71:O379,14,FALSE)</f>
        <v>105892.80713853432</v>
      </c>
      <c r="K71" s="349">
        <f t="shared" ref="K71:K134" si="5">+J71-I71</f>
        <v>-8971.3486018631666</v>
      </c>
    </row>
    <row r="72" spans="1:11" x14ac:dyDescent="0.25">
      <c r="A72" s="162">
        <f>+'B) D RI'!A73</f>
        <v>5503</v>
      </c>
      <c r="B72" s="482" t="str">
        <f>+'B) D RI'!B73</f>
        <v>Vufflens-la-Ville</v>
      </c>
      <c r="C72" s="478">
        <v>1270202.9481285838</v>
      </c>
      <c r="D72" s="246">
        <f>VLOOKUP(B72,Synthèse!B72:F380,5,FALSE)</f>
        <v>1185959.6517711342</v>
      </c>
      <c r="E72" s="349">
        <f t="shared" si="3"/>
        <v>-84243.29635744961</v>
      </c>
      <c r="F72" s="349">
        <v>967082.1471206228</v>
      </c>
      <c r="G72" s="246">
        <v>1087715.1402086059</v>
      </c>
      <c r="H72" s="349">
        <f t="shared" si="4"/>
        <v>120632.99308798311</v>
      </c>
      <c r="I72" s="349">
        <v>185343.51134294912</v>
      </c>
      <c r="J72" s="246">
        <f>VLOOKUP(B72,'M) Police'!B72:O380,14,FALSE)</f>
        <v>196849.77193148795</v>
      </c>
      <c r="K72" s="349">
        <f t="shared" si="5"/>
        <v>11506.260588538833</v>
      </c>
    </row>
    <row r="73" spans="1:11" x14ac:dyDescent="0.25">
      <c r="A73" s="162">
        <f>+'B) D RI'!A74</f>
        <v>5511</v>
      </c>
      <c r="B73" s="482" t="str">
        <f>+'B) D RI'!B74</f>
        <v>Assens</v>
      </c>
      <c r="C73" s="478">
        <v>719592.69032687997</v>
      </c>
      <c r="D73" s="246">
        <f>VLOOKUP(B73,Synthèse!B73:F381,5,FALSE)</f>
        <v>788657.82554249</v>
      </c>
      <c r="E73" s="349">
        <f t="shared" si="3"/>
        <v>69065.135215610033</v>
      </c>
      <c r="F73" s="349">
        <v>403893.79292524088</v>
      </c>
      <c r="G73" s="246">
        <v>671444.57076627389</v>
      </c>
      <c r="H73" s="349">
        <f t="shared" si="4"/>
        <v>267550.77784103301</v>
      </c>
      <c r="I73" s="349">
        <v>132495.31607584583</v>
      </c>
      <c r="J73" s="246">
        <f>VLOOKUP(B73,'M) Police'!B73:O381,14,FALSE)</f>
        <v>153687.03793599753</v>
      </c>
      <c r="K73" s="349">
        <f t="shared" si="5"/>
        <v>21191.721860151709</v>
      </c>
    </row>
    <row r="74" spans="1:11" x14ac:dyDescent="0.25">
      <c r="A74" s="162">
        <f>+'B) D RI'!A75</f>
        <v>5512</v>
      </c>
      <c r="B74" s="482" t="str">
        <f>+'B) D RI'!B75</f>
        <v>Bercher</v>
      </c>
      <c r="C74" s="478">
        <v>577535.77312119957</v>
      </c>
      <c r="D74" s="246">
        <f>VLOOKUP(B74,Synthèse!B74:F382,5,FALSE)</f>
        <v>694893.81368238374</v>
      </c>
      <c r="E74" s="349">
        <f t="shared" si="3"/>
        <v>117358.04056118417</v>
      </c>
      <c r="F74" s="349">
        <v>-170748.72307217572</v>
      </c>
      <c r="G74" s="246">
        <v>-38076.011727799079</v>
      </c>
      <c r="H74" s="349">
        <f t="shared" si="4"/>
        <v>132672.71134437664</v>
      </c>
      <c r="I74" s="349">
        <v>101510.0860331711</v>
      </c>
      <c r="J74" s="246">
        <f>VLOOKUP(B74,'M) Police'!B74:O382,14,FALSE)</f>
        <v>118332.06406608876</v>
      </c>
      <c r="K74" s="349">
        <f t="shared" si="5"/>
        <v>16821.978032917657</v>
      </c>
    </row>
    <row r="75" spans="1:11" x14ac:dyDescent="0.25">
      <c r="A75" s="162">
        <f>+'B) D RI'!A76</f>
        <v>5513</v>
      </c>
      <c r="B75" s="482" t="str">
        <f>+'B) D RI'!B76</f>
        <v>Bioley-Orjulaz</v>
      </c>
      <c r="C75" s="478">
        <v>447351.40210744541</v>
      </c>
      <c r="D75" s="246">
        <f>VLOOKUP(B75,Synthèse!B75:F383,5,FALSE)</f>
        <v>562991.20597539423</v>
      </c>
      <c r="E75" s="349">
        <f t="shared" si="3"/>
        <v>115639.80386794882</v>
      </c>
      <c r="F75" s="349">
        <v>374170.30015214725</v>
      </c>
      <c r="G75" s="246">
        <v>368087.76139094902</v>
      </c>
      <c r="H75" s="349">
        <f t="shared" si="4"/>
        <v>-6082.5387611982296</v>
      </c>
      <c r="I75" s="349">
        <v>72125.785166472313</v>
      </c>
      <c r="J75" s="246">
        <f>VLOOKUP(B75,'M) Police'!B75:O383,14,FALSE)</f>
        <v>71852.927613981432</v>
      </c>
      <c r="K75" s="349">
        <f t="shared" si="5"/>
        <v>-272.85755249088106</v>
      </c>
    </row>
    <row r="76" spans="1:11" x14ac:dyDescent="0.25">
      <c r="A76" s="162">
        <f>+'B) D RI'!A77</f>
        <v>5514</v>
      </c>
      <c r="B76" s="482" t="str">
        <f>+'B) D RI'!B77</f>
        <v>Bottens</v>
      </c>
      <c r="C76" s="478">
        <v>746171.59517866024</v>
      </c>
      <c r="D76" s="246">
        <f>VLOOKUP(B76,Synthèse!B76:F384,5,FALSE)</f>
        <v>678688.98332242901</v>
      </c>
      <c r="E76" s="349">
        <f t="shared" si="3"/>
        <v>-67482.611856231233</v>
      </c>
      <c r="F76" s="349">
        <v>210980.86682807095</v>
      </c>
      <c r="G76" s="246">
        <v>275814.95703512453</v>
      </c>
      <c r="H76" s="349">
        <f t="shared" si="4"/>
        <v>64834.090207053581</v>
      </c>
      <c r="I76" s="349">
        <v>122199.74218491212</v>
      </c>
      <c r="J76" s="246">
        <f>VLOOKUP(B76,'M) Police'!B76:O384,14,FALSE)</f>
        <v>126824.57557115419</v>
      </c>
      <c r="K76" s="349">
        <f t="shared" si="5"/>
        <v>4624.8333862420695</v>
      </c>
    </row>
    <row r="77" spans="1:11" x14ac:dyDescent="0.25">
      <c r="A77" s="162">
        <f>+'B) D RI'!A78</f>
        <v>5515</v>
      </c>
      <c r="B77" s="482" t="str">
        <f>+'B) D RI'!B78</f>
        <v>Bretigny-sur-Morrens</v>
      </c>
      <c r="C77" s="478">
        <v>443633.48355435766</v>
      </c>
      <c r="D77" s="246">
        <f>VLOOKUP(B77,Synthèse!B77:F385,5,FALSE)</f>
        <v>472251.07485512219</v>
      </c>
      <c r="E77" s="349">
        <f t="shared" si="3"/>
        <v>28617.591300764529</v>
      </c>
      <c r="F77" s="349">
        <v>63661.984307519146</v>
      </c>
      <c r="G77" s="246">
        <v>193096.22002623772</v>
      </c>
      <c r="H77" s="349">
        <f t="shared" si="4"/>
        <v>129434.23571871857</v>
      </c>
      <c r="I77" s="349">
        <v>77658.021035997066</v>
      </c>
      <c r="J77" s="246">
        <f>VLOOKUP(B77,'M) Police'!B77:O385,14,FALSE)</f>
        <v>85817.807216989924</v>
      </c>
      <c r="K77" s="349">
        <f t="shared" si="5"/>
        <v>8159.7861809928581</v>
      </c>
    </row>
    <row r="78" spans="1:11" x14ac:dyDescent="0.25">
      <c r="A78" s="162">
        <f>+'B) D RI'!A79</f>
        <v>5516</v>
      </c>
      <c r="B78" s="482" t="str">
        <f>+'B) D RI'!B79</f>
        <v>Cugy</v>
      </c>
      <c r="C78" s="478">
        <v>1951087.2756788409</v>
      </c>
      <c r="D78" s="246">
        <f>VLOOKUP(B78,Synthèse!B78:F386,5,FALSE)</f>
        <v>1978865.5916155335</v>
      </c>
      <c r="E78" s="349">
        <f t="shared" si="3"/>
        <v>27778.315936692525</v>
      </c>
      <c r="F78" s="349">
        <v>721369.16679276351</v>
      </c>
      <c r="G78" s="246">
        <v>885779.03821155149</v>
      </c>
      <c r="H78" s="349">
        <f t="shared" si="4"/>
        <v>164409.87141878798</v>
      </c>
      <c r="I78" s="349">
        <v>333901.90845231892</v>
      </c>
      <c r="J78" s="246">
        <f>VLOOKUP(B78,'M) Police'!B78:O386,14,FALSE)</f>
        <v>344678.18737282703</v>
      </c>
      <c r="K78" s="349">
        <f t="shared" si="5"/>
        <v>10776.278920508106</v>
      </c>
    </row>
    <row r="79" spans="1:11" x14ac:dyDescent="0.25">
      <c r="A79" s="162">
        <f>+'B) D RI'!A80</f>
        <v>5518</v>
      </c>
      <c r="B79" s="482" t="str">
        <f>+'B) D RI'!B80</f>
        <v>Echallens</v>
      </c>
      <c r="C79" s="478">
        <v>3163372.5675516957</v>
      </c>
      <c r="D79" s="246">
        <f>VLOOKUP(B79,Synthèse!B79:F387,5,FALSE)</f>
        <v>3226318.2739012502</v>
      </c>
      <c r="E79" s="349">
        <f t="shared" si="3"/>
        <v>62945.706349554472</v>
      </c>
      <c r="F79" s="349">
        <v>-1028696.776127547</v>
      </c>
      <c r="G79" s="246">
        <v>-978811.36772175401</v>
      </c>
      <c r="H79" s="349">
        <f t="shared" si="4"/>
        <v>49885.408405793016</v>
      </c>
      <c r="I79" s="349">
        <v>580431.08150162175</v>
      </c>
      <c r="J79" s="246">
        <f>VLOOKUP(B79,'M) Police'!B79:O387,14,FALSE)</f>
        <v>599188.50022633222</v>
      </c>
      <c r="K79" s="349">
        <f t="shared" si="5"/>
        <v>18757.418724710471</v>
      </c>
    </row>
    <row r="80" spans="1:11" x14ac:dyDescent="0.25">
      <c r="A80" s="162">
        <f>+'B) D RI'!A81</f>
        <v>5520</v>
      </c>
      <c r="B80" s="482" t="str">
        <f>+'B) D RI'!B81</f>
        <v>Essertines-sur-Yverdon</v>
      </c>
      <c r="C80" s="478">
        <v>479475.27565773</v>
      </c>
      <c r="D80" s="246">
        <f>VLOOKUP(B80,Synthèse!B80:F388,5,FALSE)</f>
        <v>582387.5491637357</v>
      </c>
      <c r="E80" s="349">
        <f t="shared" si="3"/>
        <v>102912.2735060057</v>
      </c>
      <c r="F80" s="349">
        <v>21178.205526353311</v>
      </c>
      <c r="G80" s="246">
        <v>19937.882724745345</v>
      </c>
      <c r="H80" s="349">
        <f t="shared" si="4"/>
        <v>-1240.3228016079665</v>
      </c>
      <c r="I80" s="349">
        <v>89124.731928799913</v>
      </c>
      <c r="J80" s="246">
        <f>VLOOKUP(B80,'M) Police'!B80:O388,14,FALSE)</f>
        <v>99019.032385231912</v>
      </c>
      <c r="K80" s="349">
        <f t="shared" si="5"/>
        <v>9894.3004564319999</v>
      </c>
    </row>
    <row r="81" spans="1:11" x14ac:dyDescent="0.25">
      <c r="A81" s="162">
        <f>+'B) D RI'!A82</f>
        <v>5521</v>
      </c>
      <c r="B81" s="482" t="str">
        <f>+'B) D RI'!B82</f>
        <v>Etagnières</v>
      </c>
      <c r="C81" s="478">
        <v>670618.15804319223</v>
      </c>
      <c r="D81" s="246">
        <f>VLOOKUP(B81,Synthèse!B81:F389,5,FALSE)</f>
        <v>716297.25097034371</v>
      </c>
      <c r="E81" s="349">
        <f t="shared" si="3"/>
        <v>45679.092927151476</v>
      </c>
      <c r="F81" s="349">
        <v>383180.24388273497</v>
      </c>
      <c r="G81" s="246">
        <v>456046.30000069825</v>
      </c>
      <c r="H81" s="349">
        <f t="shared" si="4"/>
        <v>72866.056117963279</v>
      </c>
      <c r="I81" s="349">
        <v>129629.64301073765</v>
      </c>
      <c r="J81" s="246">
        <f>VLOOKUP(B81,'M) Police'!B81:O389,14,FALSE)</f>
        <v>128730.22952784087</v>
      </c>
      <c r="K81" s="349">
        <f t="shared" si="5"/>
        <v>-899.4134828967799</v>
      </c>
    </row>
    <row r="82" spans="1:11" x14ac:dyDescent="0.25">
      <c r="A82" s="162">
        <f>+'B) D RI'!A83</f>
        <v>5522</v>
      </c>
      <c r="B82" s="482" t="str">
        <f>+'B) D RI'!B83</f>
        <v>Fey</v>
      </c>
      <c r="C82" s="478">
        <v>319487.47925883444</v>
      </c>
      <c r="D82" s="246">
        <f>VLOOKUP(B82,Synthèse!B82:F390,5,FALSE)</f>
        <v>377070.65297971404</v>
      </c>
      <c r="E82" s="349">
        <f t="shared" si="3"/>
        <v>57583.173720879597</v>
      </c>
      <c r="F82" s="349">
        <v>-66463.029856764057</v>
      </c>
      <c r="G82" s="246">
        <v>48534.851209690882</v>
      </c>
      <c r="H82" s="349">
        <f t="shared" si="4"/>
        <v>114997.88106645494</v>
      </c>
      <c r="I82" s="349">
        <v>57983.808999033899</v>
      </c>
      <c r="J82" s="246">
        <f>VLOOKUP(B82,'M) Police'!B82:O390,14,FALSE)</f>
        <v>63298.254402546037</v>
      </c>
      <c r="K82" s="349">
        <f t="shared" si="5"/>
        <v>5314.445403512138</v>
      </c>
    </row>
    <row r="83" spans="1:11" x14ac:dyDescent="0.25">
      <c r="A83" s="162">
        <f>+'B) D RI'!A84</f>
        <v>5523</v>
      </c>
      <c r="B83" s="482" t="str">
        <f>+'B) D RI'!B84</f>
        <v>Froideville</v>
      </c>
      <c r="C83" s="478">
        <v>1470188.3118236791</v>
      </c>
      <c r="D83" s="246">
        <f>VLOOKUP(B83,Synthèse!B83:F391,5,FALSE)</f>
        <v>1403515.3408985825</v>
      </c>
      <c r="E83" s="349">
        <f t="shared" si="3"/>
        <v>-66672.970925096655</v>
      </c>
      <c r="F83" s="349">
        <v>-7041.4190170239017</v>
      </c>
      <c r="G83" s="246">
        <v>62002.395981516253</v>
      </c>
      <c r="H83" s="349">
        <f t="shared" si="4"/>
        <v>69043.814998540154</v>
      </c>
      <c r="I83" s="349">
        <v>248052.52555650641</v>
      </c>
      <c r="J83" s="246">
        <f>VLOOKUP(B83,'M) Police'!B83:O391,14,FALSE)</f>
        <v>258562.27604926546</v>
      </c>
      <c r="K83" s="349">
        <f t="shared" si="5"/>
        <v>10509.750492759049</v>
      </c>
    </row>
    <row r="84" spans="1:11" x14ac:dyDescent="0.25">
      <c r="A84" s="162">
        <f>+'B) D RI'!A85</f>
        <v>5527</v>
      </c>
      <c r="B84" s="482" t="str">
        <f>+'B) D RI'!B85</f>
        <v>Morrens</v>
      </c>
      <c r="C84" s="478">
        <v>701979.0611626507</v>
      </c>
      <c r="D84" s="246">
        <f>VLOOKUP(B84,Synthèse!B84:F392,5,FALSE)</f>
        <v>678555.23087790329</v>
      </c>
      <c r="E84" s="349">
        <f t="shared" si="3"/>
        <v>-23423.830284747411</v>
      </c>
      <c r="F84" s="349">
        <v>365447.2991959682</v>
      </c>
      <c r="G84" s="246">
        <v>392733.65338790871</v>
      </c>
      <c r="H84" s="349">
        <f t="shared" si="4"/>
        <v>27286.354191940511</v>
      </c>
      <c r="I84" s="349">
        <v>118203.12466815021</v>
      </c>
      <c r="J84" s="246">
        <f>VLOOKUP(B84,'M) Police'!B84:O392,14,FALSE)</f>
        <v>122733.21521323954</v>
      </c>
      <c r="K84" s="349">
        <f t="shared" si="5"/>
        <v>4530.0905450893333</v>
      </c>
    </row>
    <row r="85" spans="1:11" x14ac:dyDescent="0.25">
      <c r="A85" s="162">
        <f>+'B) D RI'!A86</f>
        <v>5529</v>
      </c>
      <c r="B85" s="482" t="str">
        <f>+'B) D RI'!B86</f>
        <v>Oulens-sous-Echallens</v>
      </c>
      <c r="C85" s="478">
        <v>344823.25257961336</v>
      </c>
      <c r="D85" s="246">
        <f>VLOOKUP(B85,Synthèse!B85:F393,5,FALSE)</f>
        <v>356163.20987303928</v>
      </c>
      <c r="E85" s="349">
        <f t="shared" si="3"/>
        <v>11339.957293425919</v>
      </c>
      <c r="F85" s="349">
        <v>3726.4852404757839</v>
      </c>
      <c r="G85" s="246">
        <v>86086.199075757802</v>
      </c>
      <c r="H85" s="349">
        <f t="shared" si="4"/>
        <v>82359.713835282018</v>
      </c>
      <c r="I85" s="349">
        <v>53378.667410540023</v>
      </c>
      <c r="J85" s="246">
        <f>VLOOKUP(B85,'M) Police'!B85:O393,14,FALSE)</f>
        <v>62510.563874225692</v>
      </c>
      <c r="K85" s="349">
        <f t="shared" si="5"/>
        <v>9131.896463685669</v>
      </c>
    </row>
    <row r="86" spans="1:11" x14ac:dyDescent="0.25">
      <c r="A86" s="162">
        <f>+'B) D RI'!A87</f>
        <v>5530</v>
      </c>
      <c r="B86" s="482" t="str">
        <f>+'B) D RI'!B87</f>
        <v>Pailly</v>
      </c>
      <c r="C86" s="478">
        <v>273203.25655275583</v>
      </c>
      <c r="D86" s="246">
        <f>VLOOKUP(B86,Synthèse!B86:F394,5,FALSE)</f>
        <v>307193.46371145442</v>
      </c>
      <c r="E86" s="349">
        <f t="shared" si="3"/>
        <v>33990.207158698584</v>
      </c>
      <c r="F86" s="349">
        <v>-232707.47765233039</v>
      </c>
      <c r="G86" s="246">
        <v>-426586.45155640517</v>
      </c>
      <c r="H86" s="349">
        <f t="shared" si="4"/>
        <v>-193878.97390407478</v>
      </c>
      <c r="I86" s="349">
        <v>51169.083342720885</v>
      </c>
      <c r="J86" s="246">
        <f>VLOOKUP(B86,'M) Police'!B86:O394,14,FALSE)</f>
        <v>53293.390809104916</v>
      </c>
      <c r="K86" s="349">
        <f t="shared" si="5"/>
        <v>2124.3074663840307</v>
      </c>
    </row>
    <row r="87" spans="1:11" x14ac:dyDescent="0.25">
      <c r="A87" s="162">
        <f>+'B) D RI'!A88</f>
        <v>5531</v>
      </c>
      <c r="B87" s="482" t="str">
        <f>+'B) D RI'!B88</f>
        <v>Penthéréaz</v>
      </c>
      <c r="C87" s="478">
        <v>215063.20592239304</v>
      </c>
      <c r="D87" s="246">
        <f>VLOOKUP(B87,Synthèse!B87:F395,5,FALSE)</f>
        <v>226024.44155883312</v>
      </c>
      <c r="E87" s="349">
        <f t="shared" si="3"/>
        <v>10961.235636440077</v>
      </c>
      <c r="F87" s="349">
        <v>-1516.39575729426</v>
      </c>
      <c r="G87" s="246">
        <v>8804.3259504260132</v>
      </c>
      <c r="H87" s="349">
        <f t="shared" si="4"/>
        <v>10320.721707720273</v>
      </c>
      <c r="I87" s="349">
        <v>37116.863012637536</v>
      </c>
      <c r="J87" s="246">
        <f>VLOOKUP(B87,'M) Police'!B87:O395,14,FALSE)</f>
        <v>40728.046620145833</v>
      </c>
      <c r="K87" s="349">
        <f t="shared" si="5"/>
        <v>3611.1836075082974</v>
      </c>
    </row>
    <row r="88" spans="1:11" x14ac:dyDescent="0.25">
      <c r="A88" s="162">
        <f>+'B) D RI'!A89</f>
        <v>5533</v>
      </c>
      <c r="B88" s="482" t="str">
        <f>+'B) D RI'!B89</f>
        <v>Poliez-Pittet</v>
      </c>
      <c r="C88" s="478">
        <v>371134.34367766348</v>
      </c>
      <c r="D88" s="246">
        <f>VLOOKUP(B88,Synthèse!B88:F396,5,FALSE)</f>
        <v>439816.67250330898</v>
      </c>
      <c r="E88" s="349">
        <f t="shared" si="3"/>
        <v>68682.328825645498</v>
      </c>
      <c r="F88" s="349">
        <v>-92295.870455978671</v>
      </c>
      <c r="G88" s="246">
        <v>194208.14546680026</v>
      </c>
      <c r="H88" s="349">
        <f t="shared" si="4"/>
        <v>286504.01592277893</v>
      </c>
      <c r="I88" s="349">
        <v>67535.001828964334</v>
      </c>
      <c r="J88" s="246">
        <f>VLOOKUP(B88,'M) Police'!B88:O396,14,FALSE)</f>
        <v>86866.859590216918</v>
      </c>
      <c r="K88" s="349">
        <f t="shared" si="5"/>
        <v>19331.857761252584</v>
      </c>
    </row>
    <row r="89" spans="1:11" x14ac:dyDescent="0.25">
      <c r="A89" s="162">
        <f>+'B) D RI'!A90</f>
        <v>5534</v>
      </c>
      <c r="B89" s="482" t="str">
        <f>+'B) D RI'!B90</f>
        <v>Rueyres</v>
      </c>
      <c r="C89" s="478">
        <v>178014.44252937799</v>
      </c>
      <c r="D89" s="246">
        <f>VLOOKUP(B89,Synthèse!B89:F397,5,FALSE)</f>
        <v>157538.18328898438</v>
      </c>
      <c r="E89" s="349">
        <f t="shared" si="3"/>
        <v>-20476.259240393614</v>
      </c>
      <c r="F89" s="349">
        <v>20808.369216688709</v>
      </c>
      <c r="G89" s="246">
        <v>98868.894071108865</v>
      </c>
      <c r="H89" s="349">
        <f t="shared" si="4"/>
        <v>78060.52485442016</v>
      </c>
      <c r="I89" s="349">
        <v>25284.755279399564</v>
      </c>
      <c r="J89" s="246">
        <f>VLOOKUP(B89,'M) Police'!B89:O397,14,FALSE)</f>
        <v>29528.026142782997</v>
      </c>
      <c r="K89" s="349">
        <f t="shared" si="5"/>
        <v>4243.2708633834336</v>
      </c>
    </row>
    <row r="90" spans="1:11" x14ac:dyDescent="0.25">
      <c r="A90" s="162">
        <f>+'B) D RI'!A91</f>
        <v>5535</v>
      </c>
      <c r="B90" s="482" t="str">
        <f>+'B) D RI'!B91</f>
        <v>Saint-Barthélemy</v>
      </c>
      <c r="C90" s="478">
        <v>350742.17155062919</v>
      </c>
      <c r="D90" s="246">
        <f>VLOOKUP(B90,Synthèse!B90:F398,5,FALSE)</f>
        <v>376327.86777032173</v>
      </c>
      <c r="E90" s="349">
        <f t="shared" si="3"/>
        <v>25585.696219692531</v>
      </c>
      <c r="F90" s="349">
        <v>-13051.706804259644</v>
      </c>
      <c r="G90" s="246">
        <v>93007.45496781863</v>
      </c>
      <c r="H90" s="349">
        <f t="shared" si="4"/>
        <v>106059.16177207828</v>
      </c>
      <c r="I90" s="349">
        <v>68924.357977168911</v>
      </c>
      <c r="J90" s="246">
        <f>VLOOKUP(B90,'M) Police'!B90:O398,14,FALSE)</f>
        <v>71954.232052537787</v>
      </c>
      <c r="K90" s="349">
        <f t="shared" si="5"/>
        <v>3029.8740753688762</v>
      </c>
    </row>
    <row r="91" spans="1:11" x14ac:dyDescent="0.25">
      <c r="A91" s="162">
        <f>+'B) D RI'!A92</f>
        <v>5537</v>
      </c>
      <c r="B91" s="482" t="str">
        <f>+'B) D RI'!B92</f>
        <v>Villars-le-Terroir</v>
      </c>
      <c r="C91" s="478">
        <v>494195.15593382856</v>
      </c>
      <c r="D91" s="246">
        <f>VLOOKUP(B91,Synthèse!B91:F399,5,FALSE)</f>
        <v>579795.2759610794</v>
      </c>
      <c r="E91" s="349">
        <f t="shared" si="3"/>
        <v>85600.120027250843</v>
      </c>
      <c r="F91" s="349">
        <v>34992.969997698936</v>
      </c>
      <c r="G91" s="246">
        <v>54644.643078947382</v>
      </c>
      <c r="H91" s="349">
        <f t="shared" si="4"/>
        <v>19651.673081248446</v>
      </c>
      <c r="I91" s="349">
        <v>89292.31691630026</v>
      </c>
      <c r="J91" s="246">
        <f>VLOOKUP(B91,'M) Police'!B91:O399,14,FALSE)</f>
        <v>103881.02969043906</v>
      </c>
      <c r="K91" s="349">
        <f t="shared" si="5"/>
        <v>14588.712774138796</v>
      </c>
    </row>
    <row r="92" spans="1:11" x14ac:dyDescent="0.25">
      <c r="A92" s="162">
        <f>+'B) D RI'!A93</f>
        <v>5539</v>
      </c>
      <c r="B92" s="482" t="str">
        <f>+'B) D RI'!B93</f>
        <v>Vuarrens</v>
      </c>
      <c r="C92" s="478">
        <v>409700.91043227405</v>
      </c>
      <c r="D92" s="246">
        <f>VLOOKUP(B92,Synthèse!B92:F400,5,FALSE)</f>
        <v>452599.26403095678</v>
      </c>
      <c r="E92" s="349">
        <f t="shared" si="3"/>
        <v>42898.353598682734</v>
      </c>
      <c r="F92" s="349">
        <v>-177638.45878410325</v>
      </c>
      <c r="G92" s="246">
        <v>-349248.69878705236</v>
      </c>
      <c r="H92" s="349">
        <f t="shared" si="4"/>
        <v>-171610.24000294911</v>
      </c>
      <c r="I92" s="349">
        <v>71815.044398229074</v>
      </c>
      <c r="J92" s="246">
        <f>VLOOKUP(B92,'M) Police'!B92:O400,14,FALSE)</f>
        <v>82768.012826376056</v>
      </c>
      <c r="K92" s="349">
        <f t="shared" si="5"/>
        <v>10952.968428146982</v>
      </c>
    </row>
    <row r="93" spans="1:11" x14ac:dyDescent="0.25">
      <c r="A93" s="162">
        <f>+'B) D RI'!A94</f>
        <v>5540</v>
      </c>
      <c r="B93" s="482" t="str">
        <f>+'B) D RI'!B94</f>
        <v>Montilliez</v>
      </c>
      <c r="C93" s="478">
        <v>836855.57412502647</v>
      </c>
      <c r="D93" s="246">
        <f>VLOOKUP(B93,Synthèse!B93:F401,5,FALSE)</f>
        <v>969454.87754498853</v>
      </c>
      <c r="E93" s="349">
        <f t="shared" si="3"/>
        <v>132599.30341996206</v>
      </c>
      <c r="F93" s="349">
        <v>-1127963.9773691897</v>
      </c>
      <c r="G93" s="246">
        <v>-4516.6468268043245</v>
      </c>
      <c r="H93" s="349">
        <f t="shared" si="4"/>
        <v>1123447.3305423853</v>
      </c>
      <c r="I93" s="349">
        <v>149954.63002434152</v>
      </c>
      <c r="J93" s="246">
        <f>VLOOKUP(B93,'M) Police'!B93:O401,14,FALSE)</f>
        <v>177997.58687342459</v>
      </c>
      <c r="K93" s="349">
        <f t="shared" si="5"/>
        <v>28042.956849083072</v>
      </c>
    </row>
    <row r="94" spans="1:11" x14ac:dyDescent="0.25">
      <c r="A94" s="162">
        <f>+'B) D RI'!A95</f>
        <v>5541</v>
      </c>
      <c r="B94" s="482" t="str">
        <f>+'B) D RI'!B95</f>
        <v>Goumoëns</v>
      </c>
      <c r="C94" s="478">
        <v>617330.70066540258</v>
      </c>
      <c r="D94" s="246">
        <f>VLOOKUP(B94,Synthèse!B94:F402,5,FALSE)</f>
        <v>657197.90601452626</v>
      </c>
      <c r="E94" s="349">
        <f t="shared" si="3"/>
        <v>39867.205349123687</v>
      </c>
      <c r="F94" s="349">
        <v>254520.56613973822</v>
      </c>
      <c r="G94" s="246">
        <v>313357.79860465083</v>
      </c>
      <c r="H94" s="349">
        <f t="shared" si="4"/>
        <v>58837.232464912609</v>
      </c>
      <c r="I94" s="349">
        <v>114719.11409008477</v>
      </c>
      <c r="J94" s="246">
        <f>VLOOKUP(B94,'M) Police'!B94:O402,14,FALSE)</f>
        <v>121276.35103964685</v>
      </c>
      <c r="K94" s="349">
        <f t="shared" si="5"/>
        <v>6557.2369495620806</v>
      </c>
    </row>
    <row r="95" spans="1:11" x14ac:dyDescent="0.25">
      <c r="A95" s="162">
        <f>+'B) D RI'!A96</f>
        <v>5551</v>
      </c>
      <c r="B95" s="482" t="str">
        <f>+'B) D RI'!B96</f>
        <v>Bonvillars</v>
      </c>
      <c r="C95" s="478">
        <v>269114.11808020656</v>
      </c>
      <c r="D95" s="246">
        <f>VLOOKUP(B95,Synthèse!B95:F403,5,FALSE)</f>
        <v>345182.844625164</v>
      </c>
      <c r="E95" s="349">
        <f t="shared" si="3"/>
        <v>76068.726544957433</v>
      </c>
      <c r="F95" s="349">
        <v>26717.25667599935</v>
      </c>
      <c r="G95" s="246">
        <v>187902.30009929318</v>
      </c>
      <c r="H95" s="349">
        <f t="shared" si="4"/>
        <v>161185.04342329383</v>
      </c>
      <c r="I95" s="349">
        <v>50047.372048050631</v>
      </c>
      <c r="J95" s="246">
        <f>VLOOKUP(B95,'M) Police'!B95:O403,14,FALSE)</f>
        <v>57385.39295982389</v>
      </c>
      <c r="K95" s="349">
        <f t="shared" si="5"/>
        <v>7338.0209117732593</v>
      </c>
    </row>
    <row r="96" spans="1:11" x14ac:dyDescent="0.25">
      <c r="A96" s="162">
        <f>+'B) D RI'!A97</f>
        <v>5552</v>
      </c>
      <c r="B96" s="482" t="str">
        <f>+'B) D RI'!B97</f>
        <v>Bullet</v>
      </c>
      <c r="C96" s="478">
        <v>355838.66306798166</v>
      </c>
      <c r="D96" s="246">
        <f>VLOOKUP(B96,Synthèse!B96:F404,5,FALSE)</f>
        <v>328865.73186990229</v>
      </c>
      <c r="E96" s="349">
        <f t="shared" si="3"/>
        <v>-26972.931198079372</v>
      </c>
      <c r="F96" s="349">
        <v>-173479.11172604235</v>
      </c>
      <c r="G96" s="246">
        <v>-137691.72898270309</v>
      </c>
      <c r="H96" s="349">
        <f t="shared" si="4"/>
        <v>35787.382743339258</v>
      </c>
      <c r="I96" s="349">
        <v>48844.239193129091</v>
      </c>
      <c r="J96" s="246">
        <f>VLOOKUP(B96,'M) Police'!B96:O404,14,FALSE)</f>
        <v>54966.643439446845</v>
      </c>
      <c r="K96" s="349">
        <f t="shared" si="5"/>
        <v>6122.4042463177539</v>
      </c>
    </row>
    <row r="97" spans="1:11" x14ac:dyDescent="0.25">
      <c r="A97" s="162">
        <f>+'B) D RI'!A98</f>
        <v>5553</v>
      </c>
      <c r="B97" s="482" t="str">
        <f>+'B) D RI'!B98</f>
        <v>Champagne</v>
      </c>
      <c r="C97" s="478">
        <v>825377.38159602089</v>
      </c>
      <c r="D97" s="246">
        <f>VLOOKUP(B97,Synthèse!B97:F405,5,FALSE)</f>
        <v>623860.89433756995</v>
      </c>
      <c r="E97" s="349">
        <f t="shared" si="3"/>
        <v>-201516.48725845094</v>
      </c>
      <c r="F97" s="349">
        <v>433331.29531499225</v>
      </c>
      <c r="G97" s="246">
        <v>97885.021818784444</v>
      </c>
      <c r="H97" s="349">
        <f t="shared" si="4"/>
        <v>-335446.27349620778</v>
      </c>
      <c r="I97" s="349">
        <v>139010.51348436723</v>
      </c>
      <c r="J97" s="246">
        <f>VLOOKUP(B97,'M) Police'!B97:O405,14,FALSE)</f>
        <v>104960.846074987</v>
      </c>
      <c r="K97" s="349">
        <f t="shared" si="5"/>
        <v>-34049.667409380228</v>
      </c>
    </row>
    <row r="98" spans="1:11" x14ac:dyDescent="0.25">
      <c r="A98" s="162">
        <f>+'B) D RI'!A99</f>
        <v>5554</v>
      </c>
      <c r="B98" s="482" t="str">
        <f>+'B) D RI'!B99</f>
        <v>Concise</v>
      </c>
      <c r="C98" s="478">
        <v>602296.50098141073</v>
      </c>
      <c r="D98" s="246">
        <f>VLOOKUP(B98,Synthèse!B98:F406,5,FALSE)</f>
        <v>535195.52005378425</v>
      </c>
      <c r="E98" s="349">
        <f t="shared" si="3"/>
        <v>-67100.980927626486</v>
      </c>
      <c r="F98" s="349">
        <v>73745.518434560014</v>
      </c>
      <c r="G98" s="246">
        <v>84725.365825701389</v>
      </c>
      <c r="H98" s="349">
        <f t="shared" si="4"/>
        <v>10979.847391141375</v>
      </c>
      <c r="I98" s="349">
        <v>94949.241157079945</v>
      </c>
      <c r="J98" s="246">
        <f>VLOOKUP(B98,'M) Police'!B98:O406,14,FALSE)</f>
        <v>98143.443202983195</v>
      </c>
      <c r="K98" s="349">
        <f t="shared" si="5"/>
        <v>3194.2020459032501</v>
      </c>
    </row>
    <row r="99" spans="1:11" x14ac:dyDescent="0.25">
      <c r="A99" s="162">
        <f>+'B) D RI'!A100</f>
        <v>5555</v>
      </c>
      <c r="B99" s="482" t="str">
        <f>+'B) D RI'!B100</f>
        <v>Corcelles-près-Concise</v>
      </c>
      <c r="C99" s="478">
        <v>188145.39185883498</v>
      </c>
      <c r="D99" s="246">
        <f>VLOOKUP(B99,Synthèse!B99:F407,5,FALSE)</f>
        <v>266872.25093054824</v>
      </c>
      <c r="E99" s="349">
        <f t="shared" si="3"/>
        <v>78726.859071713261</v>
      </c>
      <c r="F99" s="349">
        <v>-63789.831836529396</v>
      </c>
      <c r="G99" s="246">
        <v>52958.303076807133</v>
      </c>
      <c r="H99" s="349">
        <f t="shared" si="4"/>
        <v>116748.13491333653</v>
      </c>
      <c r="I99" s="349">
        <v>30808.140170373244</v>
      </c>
      <c r="J99" s="246">
        <f>VLOOKUP(B99,'M) Police'!B99:O407,14,FALSE)</f>
        <v>41886.706394162087</v>
      </c>
      <c r="K99" s="349">
        <f t="shared" si="5"/>
        <v>11078.566223788843</v>
      </c>
    </row>
    <row r="100" spans="1:11" x14ac:dyDescent="0.25">
      <c r="A100" s="162">
        <f>+'B) D RI'!A101</f>
        <v>5556</v>
      </c>
      <c r="B100" s="482" t="str">
        <f>+'B) D RI'!B101</f>
        <v>Fiez</v>
      </c>
      <c r="C100" s="478">
        <v>191565.36988083168</v>
      </c>
      <c r="D100" s="246">
        <f>VLOOKUP(B100,Synthèse!B100:F408,5,FALSE)</f>
        <v>431155.05508866603</v>
      </c>
      <c r="E100" s="349">
        <f t="shared" si="3"/>
        <v>239589.68520783435</v>
      </c>
      <c r="F100" s="349">
        <v>-47091.672894871765</v>
      </c>
      <c r="G100" s="246">
        <v>-34243.08359694948</v>
      </c>
      <c r="H100" s="349">
        <f t="shared" si="4"/>
        <v>12848.589297922284</v>
      </c>
      <c r="I100" s="349">
        <v>34308.73218836452</v>
      </c>
      <c r="J100" s="246">
        <f>VLOOKUP(B100,'M) Police'!B100:O408,14,FALSE)</f>
        <v>39889.889873946566</v>
      </c>
      <c r="K100" s="349">
        <f t="shared" si="5"/>
        <v>5581.1576855820458</v>
      </c>
    </row>
    <row r="101" spans="1:11" x14ac:dyDescent="0.25">
      <c r="A101" s="162">
        <f>+'B) D RI'!A102</f>
        <v>5557</v>
      </c>
      <c r="B101" s="482" t="str">
        <f>+'B) D RI'!B102</f>
        <v>Fontaines-sur-Grandson</v>
      </c>
      <c r="C101" s="478">
        <v>73904.784013997269</v>
      </c>
      <c r="D101" s="246">
        <f>VLOOKUP(B101,Synthèse!B101:F409,5,FALSE)</f>
        <v>82464.134986461999</v>
      </c>
      <c r="E101" s="349">
        <f t="shared" si="3"/>
        <v>8559.3509724647301</v>
      </c>
      <c r="F101" s="349">
        <v>-46489.37697701939</v>
      </c>
      <c r="G101" s="246">
        <v>-67510.527472143571</v>
      </c>
      <c r="H101" s="349">
        <f t="shared" si="4"/>
        <v>-21021.15049512418</v>
      </c>
      <c r="I101" s="349">
        <v>13265.178763049124</v>
      </c>
      <c r="J101" s="246">
        <f>VLOOKUP(B101,'M) Police'!B101:O409,14,FALSE)</f>
        <v>13589.662542019541</v>
      </c>
      <c r="K101" s="349">
        <f t="shared" si="5"/>
        <v>324.48377897041792</v>
      </c>
    </row>
    <row r="102" spans="1:11" x14ac:dyDescent="0.25">
      <c r="A102" s="162">
        <f>+'B) D RI'!A103</f>
        <v>5559</v>
      </c>
      <c r="B102" s="482" t="str">
        <f>+'B) D RI'!B103</f>
        <v>Giez</v>
      </c>
      <c r="C102" s="478">
        <v>288833.69046522985</v>
      </c>
      <c r="D102" s="246">
        <f>VLOOKUP(B102,Synthèse!B102:F410,5,FALSE)</f>
        <v>250286.5980973634</v>
      </c>
      <c r="E102" s="349">
        <f t="shared" si="3"/>
        <v>-38547.092367866455</v>
      </c>
      <c r="F102" s="349">
        <v>296045.51962734794</v>
      </c>
      <c r="G102" s="246">
        <v>121982.40739077792</v>
      </c>
      <c r="H102" s="349">
        <f t="shared" si="4"/>
        <v>-174063.11223657001</v>
      </c>
      <c r="I102" s="349">
        <v>57094.17447076214</v>
      </c>
      <c r="J102" s="246">
        <f>VLOOKUP(B102,'M) Police'!B102:O410,14,FALSE)</f>
        <v>43971.296389818875</v>
      </c>
      <c r="K102" s="349">
        <f t="shared" si="5"/>
        <v>-13122.878080943265</v>
      </c>
    </row>
    <row r="103" spans="1:11" x14ac:dyDescent="0.25">
      <c r="A103" s="162">
        <f>+'B) D RI'!A104</f>
        <v>5560</v>
      </c>
      <c r="B103" s="482" t="str">
        <f>+'B) D RI'!B104</f>
        <v>Grandevent</v>
      </c>
      <c r="C103" s="478">
        <v>114906.84370477321</v>
      </c>
      <c r="D103" s="246">
        <f>VLOOKUP(B103,Synthèse!B103:F411,5,FALSE)</f>
        <v>107801.69832036547</v>
      </c>
      <c r="E103" s="349">
        <f t="shared" si="3"/>
        <v>-7105.1453844077478</v>
      </c>
      <c r="F103" s="349">
        <v>12459.47117636433</v>
      </c>
      <c r="G103" s="246">
        <v>2175.8170812456883</v>
      </c>
      <c r="H103" s="349">
        <f t="shared" si="4"/>
        <v>-10283.654095118642</v>
      </c>
      <c r="I103" s="349">
        <v>20271.756480488933</v>
      </c>
      <c r="J103" s="246">
        <f>VLOOKUP(B103,'M) Police'!B103:O411,14,FALSE)</f>
        <v>19130.719340045995</v>
      </c>
      <c r="K103" s="349">
        <f t="shared" si="5"/>
        <v>-1141.0371404429388</v>
      </c>
    </row>
    <row r="104" spans="1:11" x14ac:dyDescent="0.25">
      <c r="A104" s="162">
        <f>+'B) D RI'!A105</f>
        <v>5561</v>
      </c>
      <c r="B104" s="482" t="str">
        <f>+'B) D RI'!B105</f>
        <v>Grandson</v>
      </c>
      <c r="C104" s="478">
        <v>2102761.5028001401</v>
      </c>
      <c r="D104" s="246">
        <f>VLOOKUP(B104,Synthèse!B104:F412,5,FALSE)</f>
        <v>2034473.9734213087</v>
      </c>
      <c r="E104" s="349">
        <f t="shared" si="3"/>
        <v>-68287.529378831387</v>
      </c>
      <c r="F104" s="349">
        <v>-438271.98770423466</v>
      </c>
      <c r="G104" s="246">
        <v>-178701.84343111748</v>
      </c>
      <c r="H104" s="349">
        <f t="shared" si="4"/>
        <v>259570.14427311718</v>
      </c>
      <c r="I104" s="349">
        <v>339930.73325310356</v>
      </c>
      <c r="J104" s="246">
        <f>VLOOKUP(B104,'M) Police'!B104:O412,14,FALSE)</f>
        <v>362163.1502361559</v>
      </c>
      <c r="K104" s="349">
        <f t="shared" si="5"/>
        <v>22232.416983052331</v>
      </c>
    </row>
    <row r="105" spans="1:11" x14ac:dyDescent="0.25">
      <c r="A105" s="162">
        <f>+'B) D RI'!A106</f>
        <v>5562</v>
      </c>
      <c r="B105" s="482" t="str">
        <f>+'B) D RI'!B106</f>
        <v>Mauborget</v>
      </c>
      <c r="C105" s="478">
        <v>65610.021805388038</v>
      </c>
      <c r="D105" s="246">
        <f>VLOOKUP(B105,Synthèse!B105:F413,5,FALSE)</f>
        <v>95364.24402960368</v>
      </c>
      <c r="E105" s="349">
        <f t="shared" si="3"/>
        <v>29754.222224215642</v>
      </c>
      <c r="F105" s="349">
        <v>20403.153576083074</v>
      </c>
      <c r="G105" s="246">
        <v>87958.806554384675</v>
      </c>
      <c r="H105" s="349">
        <f t="shared" si="4"/>
        <v>67555.652978301601</v>
      </c>
      <c r="I105" s="349">
        <v>12310.223097105842</v>
      </c>
      <c r="J105" s="246">
        <f>VLOOKUP(B105,'M) Police'!B105:O413,14,FALSE)</f>
        <v>17591.60743584788</v>
      </c>
      <c r="K105" s="349">
        <f t="shared" si="5"/>
        <v>5281.3843387420384</v>
      </c>
    </row>
    <row r="106" spans="1:11" x14ac:dyDescent="0.25">
      <c r="A106" s="162">
        <f>+'B) D RI'!A107</f>
        <v>5563</v>
      </c>
      <c r="B106" s="482" t="str">
        <f>+'B) D RI'!B107</f>
        <v>Mutrux</v>
      </c>
      <c r="C106" s="478">
        <v>69970.530952325673</v>
      </c>
      <c r="D106" s="246">
        <f>VLOOKUP(B106,Synthèse!B106:F414,5,FALSE)</f>
        <v>52864.22400028861</v>
      </c>
      <c r="E106" s="349">
        <f t="shared" si="3"/>
        <v>-17106.306952037063</v>
      </c>
      <c r="F106" s="349">
        <v>-23503.011011906838</v>
      </c>
      <c r="G106" s="246">
        <v>-94978.562023494393</v>
      </c>
      <c r="H106" s="349">
        <f t="shared" si="4"/>
        <v>-71475.551011587551</v>
      </c>
      <c r="I106" s="349">
        <v>13192.832074144422</v>
      </c>
      <c r="J106" s="246">
        <f>VLOOKUP(B106,'M) Police'!B106:O414,14,FALSE)</f>
        <v>9550.9538025174588</v>
      </c>
      <c r="K106" s="349">
        <f t="shared" si="5"/>
        <v>-3641.8782716269634</v>
      </c>
    </row>
    <row r="107" spans="1:11" x14ac:dyDescent="0.25">
      <c r="A107" s="162">
        <f>+'B) D RI'!A108</f>
        <v>5564</v>
      </c>
      <c r="B107" s="482" t="str">
        <f>+'B) D RI'!B108</f>
        <v>Novalles</v>
      </c>
      <c r="C107" s="478">
        <v>32914.931944808552</v>
      </c>
      <c r="D107" s="246">
        <f>VLOOKUP(B107,Synthèse!B107:F415,5,FALSE)</f>
        <v>47867.801303394852</v>
      </c>
      <c r="E107" s="349">
        <f t="shared" si="3"/>
        <v>14952.8693585863</v>
      </c>
      <c r="F107" s="349">
        <v>-32026.363296223964</v>
      </c>
      <c r="G107" s="246">
        <v>-15742.34881109522</v>
      </c>
      <c r="H107" s="349">
        <f t="shared" si="4"/>
        <v>16284.014485128744</v>
      </c>
      <c r="I107" s="349">
        <v>6767.5289453867099</v>
      </c>
      <c r="J107" s="246">
        <f>VLOOKUP(B107,'M) Police'!B107:O415,14,FALSE)</f>
        <v>8176.415804914981</v>
      </c>
      <c r="K107" s="349">
        <f t="shared" si="5"/>
        <v>1408.8868595282711</v>
      </c>
    </row>
    <row r="108" spans="1:11" x14ac:dyDescent="0.25">
      <c r="A108" s="162">
        <f>+'B) D RI'!A109</f>
        <v>5565</v>
      </c>
      <c r="B108" s="482" t="str">
        <f>+'B) D RI'!B109</f>
        <v>Onnens</v>
      </c>
      <c r="C108" s="478">
        <v>340645.75929948315</v>
      </c>
      <c r="D108" s="246">
        <f>VLOOKUP(B108,Synthèse!B108:F416,5,FALSE)</f>
        <v>334780.87190058682</v>
      </c>
      <c r="E108" s="349">
        <f t="shared" si="3"/>
        <v>-5864.8873988963314</v>
      </c>
      <c r="F108" s="349">
        <v>235599.82775017867</v>
      </c>
      <c r="G108" s="246">
        <v>221472.50048856303</v>
      </c>
      <c r="H108" s="349">
        <f t="shared" si="4"/>
        <v>-14127.327261615632</v>
      </c>
      <c r="I108" s="349">
        <v>60491.428873685014</v>
      </c>
      <c r="J108" s="246">
        <f>VLOOKUP(B108,'M) Police'!B108:O416,14,FALSE)</f>
        <v>57909.643189042574</v>
      </c>
      <c r="K108" s="349">
        <f t="shared" si="5"/>
        <v>-2581.7856846424402</v>
      </c>
    </row>
    <row r="109" spans="1:11" x14ac:dyDescent="0.25">
      <c r="A109" s="162">
        <f>+'B) D RI'!A110</f>
        <v>5566</v>
      </c>
      <c r="B109" s="482" t="str">
        <f>+'B) D RI'!B110</f>
        <v>Provence</v>
      </c>
      <c r="C109" s="478">
        <v>141692.67170602325</v>
      </c>
      <c r="D109" s="246">
        <f>VLOOKUP(B109,Synthèse!B109:F417,5,FALSE)</f>
        <v>139090.5110246687</v>
      </c>
      <c r="E109" s="349">
        <f t="shared" si="3"/>
        <v>-2602.1606813545513</v>
      </c>
      <c r="F109" s="349">
        <v>-330980.02308510762</v>
      </c>
      <c r="G109" s="246">
        <v>-337903.87129449577</v>
      </c>
      <c r="H109" s="349">
        <f t="shared" si="4"/>
        <v>-6923.8482093881466</v>
      </c>
      <c r="I109" s="349">
        <v>24867.930877794279</v>
      </c>
      <c r="J109" s="246">
        <f>VLOOKUP(B109,'M) Police'!B109:O417,14,FALSE)</f>
        <v>24449.970478799201</v>
      </c>
      <c r="K109" s="349">
        <f t="shared" si="5"/>
        <v>-417.96039899507741</v>
      </c>
    </row>
    <row r="110" spans="1:11" x14ac:dyDescent="0.25">
      <c r="A110" s="162">
        <f>+'B) D RI'!A111</f>
        <v>5568</v>
      </c>
      <c r="B110" s="482" t="str">
        <f>+'B) D RI'!B111</f>
        <v>Sainte-Croix</v>
      </c>
      <c r="C110" s="478">
        <v>2371860.9888435937</v>
      </c>
      <c r="D110" s="246">
        <f>VLOOKUP(B110,Synthèse!B110:F418,5,FALSE)</f>
        <v>2444836.2652007332</v>
      </c>
      <c r="E110" s="349">
        <f t="shared" si="3"/>
        <v>72975.276357139461</v>
      </c>
      <c r="F110" s="349">
        <v>-3348338.2049177969</v>
      </c>
      <c r="G110" s="246">
        <v>-3371343.9439557781</v>
      </c>
      <c r="H110" s="349">
        <f t="shared" si="4"/>
        <v>-23005.739037981257</v>
      </c>
      <c r="I110" s="349">
        <v>295911.81118032458</v>
      </c>
      <c r="J110" s="246">
        <f>VLOOKUP(B110,'M) Police'!B110:O418,14,FALSE)</f>
        <v>309865.34086482163</v>
      </c>
      <c r="K110" s="349">
        <f t="shared" si="5"/>
        <v>13953.529684497043</v>
      </c>
    </row>
    <row r="111" spans="1:11" x14ac:dyDescent="0.25">
      <c r="A111" s="162">
        <f>+'B) D RI'!A112</f>
        <v>5571</v>
      </c>
      <c r="B111" s="482" t="str">
        <f>+'B) D RI'!B112</f>
        <v>Tévenon</v>
      </c>
      <c r="C111" s="478">
        <v>388527.12348820374</v>
      </c>
      <c r="D111" s="246">
        <f>VLOOKUP(B111,Synthèse!B111:F419,5,FALSE)</f>
        <v>380878.82525507337</v>
      </c>
      <c r="E111" s="349">
        <f t="shared" si="3"/>
        <v>-7648.2982331303647</v>
      </c>
      <c r="F111" s="349">
        <v>-73031.295790168835</v>
      </c>
      <c r="G111" s="246">
        <v>-214846.42725697032</v>
      </c>
      <c r="H111" s="349">
        <f t="shared" si="4"/>
        <v>-141815.13146680148</v>
      </c>
      <c r="I111" s="349">
        <v>65777.063324861228</v>
      </c>
      <c r="J111" s="246">
        <f>VLOOKUP(B111,'M) Police'!B111:O419,14,FALSE)</f>
        <v>65048.78864612605</v>
      </c>
      <c r="K111" s="349">
        <f t="shared" si="5"/>
        <v>-728.2746787351789</v>
      </c>
    </row>
    <row r="112" spans="1:11" x14ac:dyDescent="0.25">
      <c r="A112" s="162">
        <f>+'B) D RI'!A113</f>
        <v>5581</v>
      </c>
      <c r="B112" s="482" t="str">
        <f>+'B) D RI'!B113</f>
        <v>Belmont-sur-Lausanne</v>
      </c>
      <c r="C112" s="478">
        <v>3091221.926756416</v>
      </c>
      <c r="D112" s="246">
        <f>VLOOKUP(B112,Synthèse!B112:F420,5,FALSE)</f>
        <v>3399830.0660635941</v>
      </c>
      <c r="E112" s="349">
        <f t="shared" si="3"/>
        <v>308608.13930717809</v>
      </c>
      <c r="F112" s="349">
        <v>1492718.5660955342</v>
      </c>
      <c r="G112" s="246">
        <v>2055382.9106347533</v>
      </c>
      <c r="H112" s="349">
        <f t="shared" si="4"/>
        <v>562664.34453921905</v>
      </c>
      <c r="I112" s="349">
        <v>232292.76006421002</v>
      </c>
      <c r="J112" s="246">
        <f>VLOOKUP(B112,'M) Police'!B112:O420,14,FALSE)</f>
        <v>239370.05827482458</v>
      </c>
      <c r="K112" s="349">
        <f t="shared" si="5"/>
        <v>7077.2982106145646</v>
      </c>
    </row>
    <row r="113" spans="1:11" x14ac:dyDescent="0.25">
      <c r="A113" s="162">
        <f>+'B) D RI'!A114</f>
        <v>5582</v>
      </c>
      <c r="B113" s="482" t="str">
        <f>+'B) D RI'!B114</f>
        <v>Cheseaux-sur-Lausanne</v>
      </c>
      <c r="C113" s="478">
        <v>3128523.9511883012</v>
      </c>
      <c r="D113" s="246">
        <f>VLOOKUP(B113,Synthèse!B113:F421,5,FALSE)</f>
        <v>2939976.183133</v>
      </c>
      <c r="E113" s="349">
        <f t="shared" si="3"/>
        <v>-188547.76805530116</v>
      </c>
      <c r="F113" s="349">
        <v>889320.03603191115</v>
      </c>
      <c r="G113" s="246">
        <v>1177173.3253433746</v>
      </c>
      <c r="H113" s="349">
        <f t="shared" si="4"/>
        <v>287853.28931146348</v>
      </c>
      <c r="I113" s="349">
        <v>531956.18304125522</v>
      </c>
      <c r="J113" s="246">
        <f>VLOOKUP(B113,'M) Police'!B113:O421,14,FALSE)</f>
        <v>564027.82274819992</v>
      </c>
      <c r="K113" s="349">
        <f t="shared" si="5"/>
        <v>32071.639706944698</v>
      </c>
    </row>
    <row r="114" spans="1:11" x14ac:dyDescent="0.25">
      <c r="A114" s="162">
        <f>+'B) D RI'!A115</f>
        <v>5583</v>
      </c>
      <c r="B114" s="482" t="str">
        <f>+'B) D RI'!B115</f>
        <v>Crissier</v>
      </c>
      <c r="C114" s="478">
        <v>6180196.2695626998</v>
      </c>
      <c r="D114" s="246">
        <f>VLOOKUP(B114,Synthèse!B114:F422,5,FALSE)</f>
        <v>5736340.9724764246</v>
      </c>
      <c r="E114" s="349">
        <f t="shared" si="3"/>
        <v>-443855.29708627518</v>
      </c>
      <c r="F114" s="349">
        <v>735150.80739748827</v>
      </c>
      <c r="G114" s="246">
        <v>-599765.29326537205</v>
      </c>
      <c r="H114" s="349">
        <f t="shared" si="4"/>
        <v>-1334916.1006628603</v>
      </c>
      <c r="I114" s="349">
        <v>434859.31377781765</v>
      </c>
      <c r="J114" s="246">
        <f>VLOOKUP(B114,'M) Police'!B114:O422,14,FALSE)</f>
        <v>392082.06835129636</v>
      </c>
      <c r="K114" s="349">
        <f t="shared" si="5"/>
        <v>-42777.245426521287</v>
      </c>
    </row>
    <row r="115" spans="1:11" x14ac:dyDescent="0.25">
      <c r="A115" s="162">
        <f>+'B) D RI'!A116</f>
        <v>5584</v>
      </c>
      <c r="B115" s="482" t="str">
        <f>+'B) D RI'!B116</f>
        <v>Epalinges</v>
      </c>
      <c r="C115" s="478">
        <v>8748407.9928017259</v>
      </c>
      <c r="D115" s="246">
        <f>VLOOKUP(B115,Synthèse!B115:F423,5,FALSE)</f>
        <v>7830152.5082329642</v>
      </c>
      <c r="E115" s="349">
        <f t="shared" si="3"/>
        <v>-918255.48456876166</v>
      </c>
      <c r="F115" s="349">
        <v>1506745.5892310552</v>
      </c>
      <c r="G115" s="246">
        <v>53418.230529140681</v>
      </c>
      <c r="H115" s="349">
        <f t="shared" si="4"/>
        <v>-1453327.3587019145</v>
      </c>
      <c r="I115" s="349">
        <v>1389642.3731823652</v>
      </c>
      <c r="J115" s="246">
        <f>VLOOKUP(B115,'M) Police'!B115:O423,14,FALSE)</f>
        <v>1306605.2484110054</v>
      </c>
      <c r="K115" s="349">
        <f t="shared" si="5"/>
        <v>-83037.124771359842</v>
      </c>
    </row>
    <row r="116" spans="1:11" x14ac:dyDescent="0.25">
      <c r="A116" s="162">
        <f>+'B) D RI'!A117</f>
        <v>5585</v>
      </c>
      <c r="B116" s="482" t="str">
        <f>+'B) D RI'!B117</f>
        <v>Jouxtens-Mézery</v>
      </c>
      <c r="C116" s="478">
        <v>4427608.112415106</v>
      </c>
      <c r="D116" s="246">
        <f>VLOOKUP(B116,Synthèse!B116:F424,5,FALSE)</f>
        <v>4616324.945786329</v>
      </c>
      <c r="E116" s="349">
        <f t="shared" si="3"/>
        <v>188716.83337122295</v>
      </c>
      <c r="F116" s="349">
        <v>2245655.6835050737</v>
      </c>
      <c r="G116" s="246">
        <v>2396621.9302658904</v>
      </c>
      <c r="H116" s="349">
        <f t="shared" si="4"/>
        <v>150966.24676081678</v>
      </c>
      <c r="I116" s="349">
        <v>298415.10191691737</v>
      </c>
      <c r="J116" s="246">
        <f>VLOOKUP(B116,'M) Police'!B116:O424,14,FALSE)</f>
        <v>304976.50300700747</v>
      </c>
      <c r="K116" s="349">
        <f t="shared" si="5"/>
        <v>6561.4010900901048</v>
      </c>
    </row>
    <row r="117" spans="1:11" x14ac:dyDescent="0.25">
      <c r="A117" s="162">
        <f>+'B) D RI'!A118</f>
        <v>5586</v>
      </c>
      <c r="B117" s="482" t="str">
        <f>+'B) D RI'!B118</f>
        <v>Lausanne</v>
      </c>
      <c r="C117" s="478">
        <v>108802578.36292088</v>
      </c>
      <c r="D117" s="246">
        <f>VLOOKUP(B117,Synthèse!B117:F425,5,FALSE)</f>
        <v>113723418.08266759</v>
      </c>
      <c r="E117" s="349">
        <f t="shared" si="3"/>
        <v>4920839.7197467089</v>
      </c>
      <c r="F117" s="349">
        <v>-69090308.906478494</v>
      </c>
      <c r="G117" s="246">
        <v>-68107452.487122387</v>
      </c>
      <c r="H117" s="349">
        <f t="shared" si="4"/>
        <v>982856.41935610771</v>
      </c>
      <c r="I117" s="349">
        <v>7917166.0678855851</v>
      </c>
      <c r="J117" s="246">
        <f>VLOOKUP(B117,'M) Police'!B117:O425,14,FALSE)</f>
        <v>7732789.2694619382</v>
      </c>
      <c r="K117" s="349">
        <f t="shared" si="5"/>
        <v>-184376.79842364695</v>
      </c>
    </row>
    <row r="118" spans="1:11" x14ac:dyDescent="0.25">
      <c r="A118" s="162">
        <f>+'B) D RI'!A119</f>
        <v>5587</v>
      </c>
      <c r="B118" s="482" t="str">
        <f>+'B) D RI'!B119</f>
        <v>Le Mont-sur-Lausanne</v>
      </c>
      <c r="C118" s="478">
        <v>7534626.6836123038</v>
      </c>
      <c r="D118" s="246">
        <f>VLOOKUP(B118,Synthèse!B118:F426,5,FALSE)</f>
        <v>7360917.1027372833</v>
      </c>
      <c r="E118" s="349">
        <f t="shared" si="3"/>
        <v>-173709.58087502047</v>
      </c>
      <c r="F118" s="349">
        <v>1737936.7157102986</v>
      </c>
      <c r="G118" s="246">
        <v>1912884.7755501429</v>
      </c>
      <c r="H118" s="349">
        <f t="shared" si="4"/>
        <v>174948.05983984424</v>
      </c>
      <c r="I118" s="349">
        <v>1126285.5622746714</v>
      </c>
      <c r="J118" s="246">
        <f>VLOOKUP(B118,'M) Police'!B118:O426,14,FALSE)</f>
        <v>1217414.0846400775</v>
      </c>
      <c r="K118" s="349">
        <f t="shared" si="5"/>
        <v>91128.522365406156</v>
      </c>
    </row>
    <row r="119" spans="1:11" x14ac:dyDescent="0.25">
      <c r="A119" s="162">
        <f>+'B) D RI'!A120</f>
        <v>5588</v>
      </c>
      <c r="B119" s="482" t="str">
        <f>+'B) D RI'!B120</f>
        <v>Paudex</v>
      </c>
      <c r="C119" s="478">
        <v>4082415.8793408982</v>
      </c>
      <c r="D119" s="246">
        <f>VLOOKUP(B119,Synthèse!B119:F427,5,FALSE)</f>
        <v>3629377.5318979397</v>
      </c>
      <c r="E119" s="349">
        <f t="shared" si="3"/>
        <v>-453038.3474429585</v>
      </c>
      <c r="F119" s="349">
        <v>2176763.1424396117</v>
      </c>
      <c r="G119" s="246">
        <v>2086463.3991928552</v>
      </c>
      <c r="H119" s="349">
        <f t="shared" si="4"/>
        <v>-90299.743246756494</v>
      </c>
      <c r="I119" s="349">
        <v>176497.41889366106</v>
      </c>
      <c r="J119" s="246">
        <f>VLOOKUP(B119,'M) Police'!B119:O427,14,FALSE)</f>
        <v>157895.75894649542</v>
      </c>
      <c r="K119" s="349">
        <f t="shared" si="5"/>
        <v>-18601.659947165637</v>
      </c>
    </row>
    <row r="120" spans="1:11" x14ac:dyDescent="0.25">
      <c r="A120" s="162">
        <f>+'B) D RI'!A121</f>
        <v>5589</v>
      </c>
      <c r="B120" s="482" t="str">
        <f>+'B) D RI'!B121</f>
        <v>Prilly</v>
      </c>
      <c r="C120" s="478">
        <v>8920985.5471211113</v>
      </c>
      <c r="D120" s="246">
        <f>VLOOKUP(B120,Synthèse!B120:F428,5,FALSE)</f>
        <v>7647603.8531068917</v>
      </c>
      <c r="E120" s="349">
        <f t="shared" si="3"/>
        <v>-1273381.6940142196</v>
      </c>
      <c r="F120" s="349">
        <v>-1784567.4020797103</v>
      </c>
      <c r="G120" s="246">
        <v>-2987997.4249115493</v>
      </c>
      <c r="H120" s="349">
        <f t="shared" si="4"/>
        <v>-1203430.022831839</v>
      </c>
      <c r="I120" s="349">
        <v>620776.44855431758</v>
      </c>
      <c r="J120" s="246">
        <f>VLOOKUP(B120,'M) Police'!B120:O428,14,FALSE)</f>
        <v>537701.73540613975</v>
      </c>
      <c r="K120" s="349">
        <f t="shared" si="5"/>
        <v>-83074.713148177834</v>
      </c>
    </row>
    <row r="121" spans="1:11" x14ac:dyDescent="0.25">
      <c r="A121" s="162">
        <f>+'B) D RI'!A122</f>
        <v>5590</v>
      </c>
      <c r="B121" s="482" t="str">
        <f>+'B) D RI'!B122</f>
        <v>Pully</v>
      </c>
      <c r="C121" s="478">
        <v>35208865.665665694</v>
      </c>
      <c r="D121" s="246">
        <f>VLOOKUP(B121,Synthèse!B121:F429,5,FALSE)</f>
        <v>35543563.116365254</v>
      </c>
      <c r="E121" s="349">
        <f t="shared" si="3"/>
        <v>334697.45069956034</v>
      </c>
      <c r="F121" s="349">
        <v>8971038.298082877</v>
      </c>
      <c r="G121" s="246">
        <v>9277908.3097109869</v>
      </c>
      <c r="H121" s="349">
        <f t="shared" si="4"/>
        <v>306870.01162810996</v>
      </c>
      <c r="I121" s="349">
        <v>1697153.6827224391</v>
      </c>
      <c r="J121" s="246">
        <f>VLOOKUP(B121,'M) Police'!B121:O429,14,FALSE)</f>
        <v>1645980.6365646606</v>
      </c>
      <c r="K121" s="349">
        <f t="shared" si="5"/>
        <v>-51173.046157778474</v>
      </c>
    </row>
    <row r="122" spans="1:11" x14ac:dyDescent="0.25">
      <c r="A122" s="162">
        <f>+'B) D RI'!A123</f>
        <v>5591</v>
      </c>
      <c r="B122" s="482" t="str">
        <f>+'B) D RI'!B123</f>
        <v>Renens</v>
      </c>
      <c r="C122" s="478">
        <v>9660628.290971186</v>
      </c>
      <c r="D122" s="246">
        <f>VLOOKUP(B122,Synthèse!B122:F430,5,FALSE)</f>
        <v>9976014.0148693733</v>
      </c>
      <c r="E122" s="349">
        <f t="shared" si="3"/>
        <v>315385.72389818728</v>
      </c>
      <c r="F122" s="349">
        <v>-18294357.6341713</v>
      </c>
      <c r="G122" s="246">
        <v>-18893311.612830244</v>
      </c>
      <c r="H122" s="349">
        <f t="shared" si="4"/>
        <v>-598953.97865894437</v>
      </c>
      <c r="I122" s="349">
        <v>734188.40860191104</v>
      </c>
      <c r="J122" s="246">
        <f>VLOOKUP(B122,'M) Police'!B122:O430,14,FALSE)</f>
        <v>679846.50879403017</v>
      </c>
      <c r="K122" s="349">
        <f t="shared" si="5"/>
        <v>-54341.899807880865</v>
      </c>
    </row>
    <row r="123" spans="1:11" x14ac:dyDescent="0.25">
      <c r="A123" s="162">
        <f>+'B) D RI'!A124</f>
        <v>5592</v>
      </c>
      <c r="B123" s="482" t="str">
        <f>+'B) D RI'!B124</f>
        <v>Romanel-sur-Lausanne</v>
      </c>
      <c r="C123" s="478">
        <v>2208926.8495967444</v>
      </c>
      <c r="D123" s="246">
        <f>VLOOKUP(B123,Synthèse!B123:F431,5,FALSE)</f>
        <v>1962708.787304518</v>
      </c>
      <c r="E123" s="349">
        <f t="shared" si="3"/>
        <v>-246218.06229222636</v>
      </c>
      <c r="F123" s="349">
        <v>162910.02694555611</v>
      </c>
      <c r="G123" s="246">
        <v>338446.61506683705</v>
      </c>
      <c r="H123" s="349">
        <f t="shared" si="4"/>
        <v>175536.58812128095</v>
      </c>
      <c r="I123" s="349">
        <v>347940.33740686171</v>
      </c>
      <c r="J123" s="246">
        <f>VLOOKUP(B123,'M) Police'!B123:O431,14,FALSE)</f>
        <v>352583.49710453884</v>
      </c>
      <c r="K123" s="349">
        <f t="shared" si="5"/>
        <v>4643.1596976771252</v>
      </c>
    </row>
    <row r="124" spans="1:11" x14ac:dyDescent="0.25">
      <c r="A124" s="162">
        <f>+'B) D RI'!A125</f>
        <v>5601</v>
      </c>
      <c r="B124" s="482" t="str">
        <f>+'B) D RI'!B125</f>
        <v>Chexbres</v>
      </c>
      <c r="C124" s="478">
        <v>1947905.1499638958</v>
      </c>
      <c r="D124" s="246">
        <f>VLOOKUP(B124,Synthèse!B124:F432,5,FALSE)</f>
        <v>2360149.0096037011</v>
      </c>
      <c r="E124" s="349">
        <f t="shared" si="3"/>
        <v>412243.85963980528</v>
      </c>
      <c r="F124" s="349">
        <v>1268560.3100292706</v>
      </c>
      <c r="G124" s="246">
        <v>1516617.5932721104</v>
      </c>
      <c r="H124" s="349">
        <f t="shared" si="4"/>
        <v>248057.28324283985</v>
      </c>
      <c r="I124" s="349">
        <v>140254.09836382829</v>
      </c>
      <c r="J124" s="246">
        <f>VLOOKUP(B124,'M) Police'!B124:O432,14,FALSE)</f>
        <v>145893.56302421211</v>
      </c>
      <c r="K124" s="349">
        <f t="shared" si="5"/>
        <v>5639.4646603838191</v>
      </c>
    </row>
    <row r="125" spans="1:11" x14ac:dyDescent="0.25">
      <c r="A125" s="162">
        <f>+'B) D RI'!A126</f>
        <v>5604</v>
      </c>
      <c r="B125" s="482" t="str">
        <f>+'B) D RI'!B126</f>
        <v>Forel (Lavaux)</v>
      </c>
      <c r="C125" s="478">
        <v>1158218.7660183688</v>
      </c>
      <c r="D125" s="246">
        <f>VLOOKUP(B125,Synthèse!B125:F433,5,FALSE)</f>
        <v>1249716.8392284759</v>
      </c>
      <c r="E125" s="349">
        <f t="shared" si="3"/>
        <v>91498.073210107163</v>
      </c>
      <c r="F125" s="349">
        <v>-38027.476934045728</v>
      </c>
      <c r="G125" s="246">
        <v>194780.71447797964</v>
      </c>
      <c r="H125" s="349">
        <f t="shared" si="4"/>
        <v>232808.19141202536</v>
      </c>
      <c r="I125" s="349">
        <v>208455.13569876121</v>
      </c>
      <c r="J125" s="246">
        <f>VLOOKUP(B125,'M) Police'!B125:O433,14,FALSE)</f>
        <v>221099.7256389691</v>
      </c>
      <c r="K125" s="349">
        <f t="shared" si="5"/>
        <v>12644.589940207894</v>
      </c>
    </row>
    <row r="126" spans="1:11" x14ac:dyDescent="0.25">
      <c r="A126" s="162">
        <f>+'B) D RI'!A127</f>
        <v>5606</v>
      </c>
      <c r="B126" s="482" t="str">
        <f>+'B) D RI'!B127</f>
        <v>Lutry</v>
      </c>
      <c r="C126" s="478">
        <v>19169347.398568131</v>
      </c>
      <c r="D126" s="246">
        <f>VLOOKUP(B126,Synthèse!B126:F434,5,FALSE)</f>
        <v>20862853.190543283</v>
      </c>
      <c r="E126" s="349">
        <f t="shared" si="3"/>
        <v>1693505.7919751517</v>
      </c>
      <c r="F126" s="349">
        <v>6345348.3243917823</v>
      </c>
      <c r="G126" s="246">
        <v>7201422.5897981655</v>
      </c>
      <c r="H126" s="349">
        <f t="shared" si="4"/>
        <v>856074.2654063832</v>
      </c>
      <c r="I126" s="349">
        <v>923455.27606313559</v>
      </c>
      <c r="J126" s="246">
        <f>VLOOKUP(B126,'M) Police'!B126:O434,14,FALSE)</f>
        <v>941988.15954123554</v>
      </c>
      <c r="K126" s="349">
        <f t="shared" si="5"/>
        <v>18532.883478099946</v>
      </c>
    </row>
    <row r="127" spans="1:11" x14ac:dyDescent="0.25">
      <c r="A127" s="162">
        <f>+'B) D RI'!A128</f>
        <v>5607</v>
      </c>
      <c r="B127" s="482" t="str">
        <f>+'B) D RI'!B128</f>
        <v>Puidoux</v>
      </c>
      <c r="C127" s="478">
        <v>1823834.4700530292</v>
      </c>
      <c r="D127" s="246">
        <f>VLOOKUP(B127,Synthèse!B127:F435,5,FALSE)</f>
        <v>2009576.2999608517</v>
      </c>
      <c r="E127" s="349">
        <f t="shared" si="3"/>
        <v>185741.82990782242</v>
      </c>
      <c r="F127" s="349">
        <v>93222.79175594612</v>
      </c>
      <c r="G127" s="246">
        <v>14956.661452668835</v>
      </c>
      <c r="H127" s="349">
        <f t="shared" si="4"/>
        <v>-78266.130303277285</v>
      </c>
      <c r="I127" s="349">
        <v>135404.4410522297</v>
      </c>
      <c r="J127" s="246">
        <f>VLOOKUP(B127,'M) Police'!B127:O435,14,FALSE)</f>
        <v>134740.00918427878</v>
      </c>
      <c r="K127" s="349">
        <f t="shared" si="5"/>
        <v>-664.43186795091606</v>
      </c>
    </row>
    <row r="128" spans="1:11" x14ac:dyDescent="0.25">
      <c r="A128" s="162">
        <f>+'B) D RI'!A129</f>
        <v>5609</v>
      </c>
      <c r="B128" s="482" t="str">
        <f>+'B) D RI'!B129</f>
        <v>Rivaz</v>
      </c>
      <c r="C128" s="478">
        <v>301628.64065155142</v>
      </c>
      <c r="D128" s="246">
        <f>VLOOKUP(B128,Synthèse!B128:F436,5,FALSE)</f>
        <v>270855.29330435727</v>
      </c>
      <c r="E128" s="349">
        <f t="shared" si="3"/>
        <v>-30773.347347194154</v>
      </c>
      <c r="F128" s="349">
        <v>236426.12453970424</v>
      </c>
      <c r="G128" s="246">
        <v>192124.48824025624</v>
      </c>
      <c r="H128" s="349">
        <f t="shared" si="4"/>
        <v>-44301.636299448</v>
      </c>
      <c r="I128" s="349">
        <v>21643.567380542456</v>
      </c>
      <c r="J128" s="246">
        <f>VLOOKUP(B128,'M) Police'!B128:O436,14,FALSE)</f>
        <v>19344.312927861767</v>
      </c>
      <c r="K128" s="349">
        <f t="shared" si="5"/>
        <v>-2299.2544526806887</v>
      </c>
    </row>
    <row r="129" spans="1:11" x14ac:dyDescent="0.25">
      <c r="A129" s="162">
        <f>+'B) D RI'!A130</f>
        <v>5610</v>
      </c>
      <c r="B129" s="482" t="str">
        <f>+'B) D RI'!B130</f>
        <v>St-Saphorin (Lavaux)</v>
      </c>
      <c r="C129" s="478">
        <v>353277.98371044651</v>
      </c>
      <c r="D129" s="246">
        <f>VLOOKUP(B129,Synthèse!B129:F437,5,FALSE)</f>
        <v>458546.68788073625</v>
      </c>
      <c r="E129" s="349">
        <f t="shared" si="3"/>
        <v>105268.70417028974</v>
      </c>
      <c r="F129" s="349">
        <v>307493.62490196258</v>
      </c>
      <c r="G129" s="246">
        <v>307542.1656159063</v>
      </c>
      <c r="H129" s="349">
        <f t="shared" si="4"/>
        <v>48.540713943715673</v>
      </c>
      <c r="I129" s="349">
        <v>28128.98305543264</v>
      </c>
      <c r="J129" s="246">
        <f>VLOOKUP(B129,'M) Police'!B129:O437,14,FALSE)</f>
        <v>27270.772258321515</v>
      </c>
      <c r="K129" s="349">
        <f t="shared" si="5"/>
        <v>-858.21079711112543</v>
      </c>
    </row>
    <row r="130" spans="1:11" x14ac:dyDescent="0.25">
      <c r="A130" s="162">
        <f>+'B) D RI'!A131</f>
        <v>5611</v>
      </c>
      <c r="B130" s="482" t="str">
        <f>+'B) D RI'!B131</f>
        <v>Savigny</v>
      </c>
      <c r="C130" s="478">
        <v>2460361.3346179519</v>
      </c>
      <c r="D130" s="246">
        <f>VLOOKUP(B130,Synthèse!B130:F438,5,FALSE)</f>
        <v>2633591.8928880659</v>
      </c>
      <c r="E130" s="349">
        <f t="shared" si="3"/>
        <v>173230.55827011401</v>
      </c>
      <c r="F130" s="349">
        <v>657931.38208113564</v>
      </c>
      <c r="G130" s="246">
        <v>733025.18870179239</v>
      </c>
      <c r="H130" s="349">
        <f t="shared" si="4"/>
        <v>75093.806620656746</v>
      </c>
      <c r="I130" s="349">
        <v>174939.99493237233</v>
      </c>
      <c r="J130" s="246">
        <f>VLOOKUP(B130,'M) Police'!B130:O438,14,FALSE)</f>
        <v>167002.88008371263</v>
      </c>
      <c r="K130" s="349">
        <f t="shared" si="5"/>
        <v>-7937.114848659694</v>
      </c>
    </row>
    <row r="131" spans="1:11" x14ac:dyDescent="0.25">
      <c r="A131" s="162">
        <f>+'B) D RI'!A132</f>
        <v>5613</v>
      </c>
      <c r="B131" s="482" t="str">
        <f>+'B) D RI'!B132</f>
        <v>Bourg-en-Lavaux</v>
      </c>
      <c r="C131" s="478">
        <v>5842132.1482976824</v>
      </c>
      <c r="D131" s="246">
        <f>VLOOKUP(B131,Synthèse!B131:F439,5,FALSE)</f>
        <v>6453438.1413064646</v>
      </c>
      <c r="E131" s="349">
        <f t="shared" si="3"/>
        <v>611305.99300878216</v>
      </c>
      <c r="F131" s="349">
        <v>3282129.0242634253</v>
      </c>
      <c r="G131" s="246">
        <v>3738747.021720612</v>
      </c>
      <c r="H131" s="349">
        <f t="shared" si="4"/>
        <v>456617.99745718669</v>
      </c>
      <c r="I131" s="349">
        <v>393909.14070011128</v>
      </c>
      <c r="J131" s="246">
        <f>VLOOKUP(B131,'M) Police'!B131:O439,14,FALSE)</f>
        <v>399814.15106821124</v>
      </c>
      <c r="K131" s="349">
        <f t="shared" si="5"/>
        <v>5905.01036809996</v>
      </c>
    </row>
    <row r="132" spans="1:11" x14ac:dyDescent="0.25">
      <c r="A132" s="162">
        <f>+'B) D RI'!A133</f>
        <v>5621</v>
      </c>
      <c r="B132" s="482" t="str">
        <f>+'B) D RI'!B133</f>
        <v>Aclens</v>
      </c>
      <c r="C132" s="478">
        <v>741117.42253705743</v>
      </c>
      <c r="D132" s="246">
        <f>VLOOKUP(B132,Synthèse!B132:F440,5,FALSE)</f>
        <v>892698.76524117554</v>
      </c>
      <c r="E132" s="349">
        <f t="shared" si="3"/>
        <v>151581.34270411811</v>
      </c>
      <c r="F132" s="349">
        <v>553631.78536725219</v>
      </c>
      <c r="G132" s="246">
        <v>531600.396198267</v>
      </c>
      <c r="H132" s="349">
        <f t="shared" si="4"/>
        <v>-22031.389168985188</v>
      </c>
      <c r="I132" s="349">
        <v>88458.91611625193</v>
      </c>
      <c r="J132" s="246">
        <f>VLOOKUP(B132,'M) Police'!B132:O440,14,FALSE)</f>
        <v>87220.518598714538</v>
      </c>
      <c r="K132" s="349">
        <f t="shared" si="5"/>
        <v>-1238.3975175373926</v>
      </c>
    </row>
    <row r="133" spans="1:11" x14ac:dyDescent="0.25">
      <c r="A133" s="162">
        <f>+'B) D RI'!A134</f>
        <v>5622</v>
      </c>
      <c r="B133" s="482" t="str">
        <f>+'B) D RI'!B134</f>
        <v>Bremblens</v>
      </c>
      <c r="C133" s="478">
        <v>479488.78131868428</v>
      </c>
      <c r="D133" s="246">
        <f>VLOOKUP(B133,Synthèse!B133:F441,5,FALSE)</f>
        <v>522954.80855552899</v>
      </c>
      <c r="E133" s="349">
        <f t="shared" si="3"/>
        <v>43466.027236844704</v>
      </c>
      <c r="F133" s="349">
        <v>459511.01341509336</v>
      </c>
      <c r="G133" s="246">
        <v>519885.29647726455</v>
      </c>
      <c r="H133" s="349">
        <f t="shared" si="4"/>
        <v>60374.283062171191</v>
      </c>
      <c r="I133" s="349">
        <v>80935.91820570924</v>
      </c>
      <c r="J133" s="246">
        <f>VLOOKUP(B133,'M) Police'!B133:O441,14,FALSE)</f>
        <v>85648.3368082581</v>
      </c>
      <c r="K133" s="349">
        <f t="shared" si="5"/>
        <v>4712.4186025488598</v>
      </c>
    </row>
    <row r="134" spans="1:11" x14ac:dyDescent="0.25">
      <c r="A134" s="162">
        <f>+'B) D RI'!A135</f>
        <v>5623</v>
      </c>
      <c r="B134" s="482" t="str">
        <f>+'B) D RI'!B135</f>
        <v>Buchillon</v>
      </c>
      <c r="C134" s="478">
        <v>2763063.0243445942</v>
      </c>
      <c r="D134" s="246">
        <f>VLOOKUP(B134,Synthèse!B134:F442,5,FALSE)</f>
        <v>1984466.281348411</v>
      </c>
      <c r="E134" s="349">
        <f t="shared" si="3"/>
        <v>-778596.74299618322</v>
      </c>
      <c r="F134" s="349">
        <v>1222153.3660657406</v>
      </c>
      <c r="G134" s="246">
        <v>1087131.4474290328</v>
      </c>
      <c r="H134" s="349">
        <f t="shared" si="4"/>
        <v>-135021.91863670782</v>
      </c>
      <c r="I134" s="349">
        <v>92728.379461177043</v>
      </c>
      <c r="J134" s="246">
        <f>VLOOKUP(B134,'M) Police'!B134:O442,14,FALSE)</f>
        <v>77238.609242464852</v>
      </c>
      <c r="K134" s="349">
        <f t="shared" si="5"/>
        <v>-15489.77021871219</v>
      </c>
    </row>
    <row r="135" spans="1:11" x14ac:dyDescent="0.25">
      <c r="A135" s="162">
        <f>+'B) D RI'!A136</f>
        <v>5624</v>
      </c>
      <c r="B135" s="482" t="str">
        <f>+'B) D RI'!B136</f>
        <v>Bussigny</v>
      </c>
      <c r="C135" s="478">
        <v>7466072.4364863373</v>
      </c>
      <c r="D135" s="246">
        <f>VLOOKUP(B135,Synthèse!B135:F443,5,FALSE)</f>
        <v>6380153.6230630353</v>
      </c>
      <c r="E135" s="349">
        <f t="shared" ref="E135:E198" si="6">+D135-C135</f>
        <v>-1085918.813423302</v>
      </c>
      <c r="F135" s="349">
        <v>365718.00025646202</v>
      </c>
      <c r="G135" s="246">
        <v>578775.01826158375</v>
      </c>
      <c r="H135" s="349">
        <f t="shared" ref="H135:H198" si="7">+G135-F135</f>
        <v>213057.01800512173</v>
      </c>
      <c r="I135" s="349">
        <v>419084.15252764919</v>
      </c>
      <c r="J135" s="246">
        <f>VLOOKUP(B135,'M) Police'!B135:O443,14,FALSE)</f>
        <v>418027.93084216153</v>
      </c>
      <c r="K135" s="349">
        <f t="shared" ref="K135:K198" si="8">+J135-I135</f>
        <v>-1056.2216854876606</v>
      </c>
    </row>
    <row r="136" spans="1:11" x14ac:dyDescent="0.25">
      <c r="A136" s="162">
        <f>+'B) D RI'!A137</f>
        <v>5625</v>
      </c>
      <c r="B136" s="482" t="str">
        <f>+'B) D RI'!B137</f>
        <v>Bussy-Chardonney</v>
      </c>
      <c r="C136" s="478">
        <v>302679.07627804764</v>
      </c>
      <c r="D136" s="246">
        <f>VLOOKUP(B136,Synthèse!B136:F444,5,FALSE)</f>
        <v>247593.35683228864</v>
      </c>
      <c r="E136" s="349">
        <f t="shared" si="6"/>
        <v>-55085.719445758994</v>
      </c>
      <c r="F136" s="349">
        <v>244657.60023486096</v>
      </c>
      <c r="G136" s="246">
        <v>136349.91286760132</v>
      </c>
      <c r="H136" s="349">
        <f t="shared" si="7"/>
        <v>-108307.68736725964</v>
      </c>
      <c r="I136" s="349">
        <v>51785.507814548881</v>
      </c>
      <c r="J136" s="246">
        <f>VLOOKUP(B136,'M) Police'!B136:O444,14,FALSE)</f>
        <v>42223.613306120809</v>
      </c>
      <c r="K136" s="349">
        <f t="shared" si="8"/>
        <v>-9561.8945084280713</v>
      </c>
    </row>
    <row r="137" spans="1:11" x14ac:dyDescent="0.25">
      <c r="A137" s="162">
        <f>+'B) D RI'!A138</f>
        <v>5627</v>
      </c>
      <c r="B137" s="482" t="str">
        <f>+'B) D RI'!B138</f>
        <v>Chavannes-près-Renens</v>
      </c>
      <c r="C137" s="478">
        <v>2842647.91779905</v>
      </c>
      <c r="D137" s="246">
        <f>VLOOKUP(B137,Synthèse!B137:F445,5,FALSE)</f>
        <v>4015020.0968499547</v>
      </c>
      <c r="E137" s="349">
        <f t="shared" si="6"/>
        <v>1172372.1790509047</v>
      </c>
      <c r="F137" s="349">
        <v>-5111151.2727380423</v>
      </c>
      <c r="G137" s="246">
        <v>-5620493.5908423318</v>
      </c>
      <c r="H137" s="349">
        <f t="shared" si="7"/>
        <v>-509342.31810428947</v>
      </c>
      <c r="I137" s="349">
        <v>218166.75484508142</v>
      </c>
      <c r="J137" s="246">
        <f>VLOOKUP(B137,'M) Police'!B137:O445,14,FALSE)</f>
        <v>217513.13915243148</v>
      </c>
      <c r="K137" s="349">
        <f t="shared" si="8"/>
        <v>-653.61569264993886</v>
      </c>
    </row>
    <row r="138" spans="1:11" x14ac:dyDescent="0.25">
      <c r="A138" s="162">
        <f>+'B) D RI'!A139</f>
        <v>5628</v>
      </c>
      <c r="B138" s="482" t="str">
        <f>+'B) D RI'!B139</f>
        <v>Chigny</v>
      </c>
      <c r="C138" s="478">
        <v>316341.10266973916</v>
      </c>
      <c r="D138" s="246">
        <f>VLOOKUP(B138,Synthèse!B138:F446,5,FALSE)</f>
        <v>362997.17529612279</v>
      </c>
      <c r="E138" s="349">
        <f t="shared" si="6"/>
        <v>46656.072626383626</v>
      </c>
      <c r="F138" s="349">
        <v>317178.62636408751</v>
      </c>
      <c r="G138" s="246">
        <v>323898.33141203714</v>
      </c>
      <c r="H138" s="349">
        <f t="shared" si="7"/>
        <v>6719.7050479496247</v>
      </c>
      <c r="I138" s="349">
        <v>53295.641971569421</v>
      </c>
      <c r="J138" s="246">
        <f>VLOOKUP(B138,'M) Police'!B138:O446,14,FALSE)</f>
        <v>53101.626515701835</v>
      </c>
      <c r="K138" s="349">
        <f t="shared" si="8"/>
        <v>-194.01545586758584</v>
      </c>
    </row>
    <row r="139" spans="1:11" x14ac:dyDescent="0.25">
      <c r="A139" s="162">
        <f>+'B) D RI'!A140</f>
        <v>5629</v>
      </c>
      <c r="B139" s="482" t="str">
        <f>+'B) D RI'!B140</f>
        <v>Clarmont</v>
      </c>
      <c r="C139" s="478">
        <v>128322.92509300115</v>
      </c>
      <c r="D139" s="246">
        <f>VLOOKUP(B139,Synthèse!B139:F447,5,FALSE)</f>
        <v>124859.04454719601</v>
      </c>
      <c r="E139" s="349">
        <f t="shared" si="6"/>
        <v>-3463.8805458051356</v>
      </c>
      <c r="F139" s="349">
        <v>75364.065878861642</v>
      </c>
      <c r="G139" s="246">
        <v>59952.681277424977</v>
      </c>
      <c r="H139" s="349">
        <f t="shared" si="7"/>
        <v>-15411.384601436665</v>
      </c>
      <c r="I139" s="349">
        <v>23723.664212218802</v>
      </c>
      <c r="J139" s="246">
        <f>VLOOKUP(B139,'M) Police'!B139:O447,14,FALSE)</f>
        <v>23346.440127377522</v>
      </c>
      <c r="K139" s="349">
        <f t="shared" si="8"/>
        <v>-377.22408484128027</v>
      </c>
    </row>
    <row r="140" spans="1:11" x14ac:dyDescent="0.25">
      <c r="A140" s="162">
        <f>+'B) D RI'!A141</f>
        <v>5631</v>
      </c>
      <c r="B140" s="482" t="str">
        <f>+'B) D RI'!B141</f>
        <v>Denens</v>
      </c>
      <c r="C140" s="478">
        <v>805296.94310280296</v>
      </c>
      <c r="D140" s="246">
        <f>VLOOKUP(B140,Synthèse!B140:F448,5,FALSE)</f>
        <v>841088.79647215724</v>
      </c>
      <c r="E140" s="349">
        <f t="shared" si="6"/>
        <v>35791.85336935427</v>
      </c>
      <c r="F140" s="349">
        <v>565366.05504200747</v>
      </c>
      <c r="G140" s="246">
        <v>714056.5097701156</v>
      </c>
      <c r="H140" s="349">
        <f t="shared" si="7"/>
        <v>148690.45472810813</v>
      </c>
      <c r="I140" s="349">
        <v>106382.5397463878</v>
      </c>
      <c r="J140" s="246">
        <f>VLOOKUP(B140,'M) Police'!B140:O448,14,FALSE)</f>
        <v>122352.10477573151</v>
      </c>
      <c r="K140" s="349">
        <f t="shared" si="8"/>
        <v>15969.565029343707</v>
      </c>
    </row>
    <row r="141" spans="1:11" x14ac:dyDescent="0.25">
      <c r="A141" s="162">
        <f>+'B) D RI'!A142</f>
        <v>5632</v>
      </c>
      <c r="B141" s="482" t="str">
        <f>+'B) D RI'!B142</f>
        <v>Denges</v>
      </c>
      <c r="C141" s="478">
        <v>1240912.6517864179</v>
      </c>
      <c r="D141" s="246">
        <f>VLOOKUP(B141,Synthèse!B141:F449,5,FALSE)</f>
        <v>1164855.4786912682</v>
      </c>
      <c r="E141" s="349">
        <f t="shared" si="6"/>
        <v>-76057.173095149687</v>
      </c>
      <c r="F141" s="349">
        <v>933276.43927776976</v>
      </c>
      <c r="G141" s="246">
        <v>859266.3092412632</v>
      </c>
      <c r="H141" s="349">
        <f t="shared" si="7"/>
        <v>-74010.130036506569</v>
      </c>
      <c r="I141" s="349">
        <v>224887.60114804356</v>
      </c>
      <c r="J141" s="246">
        <f>VLOOKUP(B141,'M) Police'!B141:O449,14,FALSE)</f>
        <v>208923.51532176707</v>
      </c>
      <c r="K141" s="349">
        <f t="shared" si="8"/>
        <v>-15964.085826276481</v>
      </c>
    </row>
    <row r="142" spans="1:11" x14ac:dyDescent="0.25">
      <c r="A142" s="162">
        <f>+'B) D RI'!A143</f>
        <v>5633</v>
      </c>
      <c r="B142" s="482" t="str">
        <f>+'B) D RI'!B143</f>
        <v>Echandens</v>
      </c>
      <c r="C142" s="478">
        <v>2246702.0782364965</v>
      </c>
      <c r="D142" s="246">
        <f>VLOOKUP(B142,Synthèse!B142:F450,5,FALSE)</f>
        <v>2331287.8740268792</v>
      </c>
      <c r="E142" s="349">
        <f t="shared" si="6"/>
        <v>84585.795790382661</v>
      </c>
      <c r="F142" s="349">
        <v>1217555.3476828567</v>
      </c>
      <c r="G142" s="246">
        <v>1348676.2994170026</v>
      </c>
      <c r="H142" s="349">
        <f t="shared" si="7"/>
        <v>131120.95173414587</v>
      </c>
      <c r="I142" s="349">
        <v>387875.63506055565</v>
      </c>
      <c r="J142" s="246">
        <f>VLOOKUP(B142,'M) Police'!B142:O450,14,FALSE)</f>
        <v>401176.49026916327</v>
      </c>
      <c r="K142" s="349">
        <f t="shared" si="8"/>
        <v>13300.855208607623</v>
      </c>
    </row>
    <row r="143" spans="1:11" x14ac:dyDescent="0.25">
      <c r="A143" s="162">
        <f>+'B) D RI'!A144</f>
        <v>5634</v>
      </c>
      <c r="B143" s="482" t="str">
        <f>+'B) D RI'!B144</f>
        <v>Echichens</v>
      </c>
      <c r="C143" s="478">
        <v>2141114.3984992765</v>
      </c>
      <c r="D143" s="246">
        <f>VLOOKUP(B143,Synthèse!B143:F451,5,FALSE)</f>
        <v>2435869.6142313802</v>
      </c>
      <c r="E143" s="349">
        <f t="shared" si="6"/>
        <v>294755.21573210368</v>
      </c>
      <c r="F143" s="349">
        <v>1613245.7514994987</v>
      </c>
      <c r="G143" s="246">
        <v>1660323.524058308</v>
      </c>
      <c r="H143" s="349">
        <f t="shared" si="7"/>
        <v>47077.772558809258</v>
      </c>
      <c r="I143" s="349">
        <v>382164.68530927482</v>
      </c>
      <c r="J143" s="246">
        <f>VLOOKUP(B143,'M) Police'!B143:O451,14,FALSE)</f>
        <v>391438.47596036509</v>
      </c>
      <c r="K143" s="349">
        <f t="shared" si="8"/>
        <v>9273.7906510902685</v>
      </c>
    </row>
    <row r="144" spans="1:11" x14ac:dyDescent="0.25">
      <c r="A144" s="162">
        <f>+'B) D RI'!A145</f>
        <v>5635</v>
      </c>
      <c r="B144" s="482" t="str">
        <f>+'B) D RI'!B145</f>
        <v>Ecublens</v>
      </c>
      <c r="C144" s="478">
        <v>8348731.2384701483</v>
      </c>
      <c r="D144" s="246">
        <f>VLOOKUP(B144,Synthèse!B144:F452,5,FALSE)</f>
        <v>8202046.5433613509</v>
      </c>
      <c r="E144" s="349">
        <f t="shared" si="6"/>
        <v>-146684.6951087974</v>
      </c>
      <c r="F144" s="349">
        <v>-1763573.0017076186</v>
      </c>
      <c r="G144" s="246">
        <v>-3081678.5494910404</v>
      </c>
      <c r="H144" s="349">
        <f t="shared" si="7"/>
        <v>-1318105.5477834218</v>
      </c>
      <c r="I144" s="349">
        <v>631076.89238339441</v>
      </c>
      <c r="J144" s="246">
        <f>VLOOKUP(B144,'M) Police'!B144:O452,14,FALSE)</f>
        <v>563609.37091219798</v>
      </c>
      <c r="K144" s="349">
        <f t="shared" si="8"/>
        <v>-67467.521471196436</v>
      </c>
    </row>
    <row r="145" spans="1:11" x14ac:dyDescent="0.25">
      <c r="A145" s="162">
        <f>+'B) D RI'!A146</f>
        <v>5636</v>
      </c>
      <c r="B145" s="482" t="str">
        <f>+'B) D RI'!B146</f>
        <v>Etoy</v>
      </c>
      <c r="C145" s="478">
        <v>2923094.4663156457</v>
      </c>
      <c r="D145" s="246">
        <f>VLOOKUP(B145,Synthèse!B145:F453,5,FALSE)</f>
        <v>3078969.3357674051</v>
      </c>
      <c r="E145" s="349">
        <f t="shared" si="6"/>
        <v>155874.86945175938</v>
      </c>
      <c r="F145" s="349">
        <v>2182979.2033095099</v>
      </c>
      <c r="G145" s="246">
        <v>2149699.3259641817</v>
      </c>
      <c r="H145" s="349">
        <f t="shared" si="7"/>
        <v>-33279.877345328219</v>
      </c>
      <c r="I145" s="349">
        <v>461371.67107697984</v>
      </c>
      <c r="J145" s="246">
        <f>VLOOKUP(B145,'M) Police'!B145:O453,14,FALSE)</f>
        <v>445732.66075033066</v>
      </c>
      <c r="K145" s="349">
        <f t="shared" si="8"/>
        <v>-15639.010326649179</v>
      </c>
    </row>
    <row r="146" spans="1:11" x14ac:dyDescent="0.25">
      <c r="A146" s="162">
        <f>+'B) D RI'!A147</f>
        <v>5637</v>
      </c>
      <c r="B146" s="482" t="str">
        <f>+'B) D RI'!B147</f>
        <v>Lavigny</v>
      </c>
      <c r="C146" s="478">
        <v>679849.56611208618</v>
      </c>
      <c r="D146" s="246">
        <f>VLOOKUP(B146,Synthèse!B146:F454,5,FALSE)</f>
        <v>662354.34664493531</v>
      </c>
      <c r="E146" s="349">
        <f t="shared" si="6"/>
        <v>-17495.219467150862</v>
      </c>
      <c r="F146" s="349">
        <v>-20109.64926477382</v>
      </c>
      <c r="G146" s="246">
        <v>287342.67041082599</v>
      </c>
      <c r="H146" s="349">
        <f t="shared" si="7"/>
        <v>307452.31967559981</v>
      </c>
      <c r="I146" s="349">
        <v>99203.760482430167</v>
      </c>
      <c r="J146" s="246">
        <f>VLOOKUP(B146,'M) Police'!B146:O454,14,FALSE)</f>
        <v>112415.8001200163</v>
      </c>
      <c r="K146" s="349">
        <f t="shared" si="8"/>
        <v>13212.039637586131</v>
      </c>
    </row>
    <row r="147" spans="1:11" x14ac:dyDescent="0.25">
      <c r="A147" s="162">
        <f>+'B) D RI'!A148</f>
        <v>5638</v>
      </c>
      <c r="B147" s="482" t="str">
        <f>+'B) D RI'!B148</f>
        <v>Lonay</v>
      </c>
      <c r="C147" s="478">
        <v>3527611.0223647961</v>
      </c>
      <c r="D147" s="246">
        <f>VLOOKUP(B147,Synthèse!B147:F455,5,FALSE)</f>
        <v>5579965.8919217568</v>
      </c>
      <c r="E147" s="349">
        <f t="shared" si="6"/>
        <v>2052354.8695569606</v>
      </c>
      <c r="F147" s="349">
        <v>1943714.1008173986</v>
      </c>
      <c r="G147" s="246">
        <v>1886044.483837615</v>
      </c>
      <c r="H147" s="349">
        <f t="shared" si="7"/>
        <v>-57669.616979783634</v>
      </c>
      <c r="I147" s="349">
        <v>414925.31037842319</v>
      </c>
      <c r="J147" s="246">
        <f>VLOOKUP(B147,'M) Police'!B147:O455,14,FALSE)</f>
        <v>401239.2336989519</v>
      </c>
      <c r="K147" s="349">
        <f t="shared" si="8"/>
        <v>-13686.076679471298</v>
      </c>
    </row>
    <row r="148" spans="1:11" x14ac:dyDescent="0.25">
      <c r="A148" s="162">
        <f>+'B) D RI'!A149</f>
        <v>5639</v>
      </c>
      <c r="B148" s="482" t="str">
        <f>+'B) D RI'!B149</f>
        <v>Lully</v>
      </c>
      <c r="C148" s="478">
        <v>810499.32332114736</v>
      </c>
      <c r="D148" s="246">
        <f>VLOOKUP(B148,Synthèse!B148:F456,5,FALSE)</f>
        <v>1010743.396783725</v>
      </c>
      <c r="E148" s="349">
        <f t="shared" si="6"/>
        <v>200244.07346257765</v>
      </c>
      <c r="F148" s="349">
        <v>606165.91153342149</v>
      </c>
      <c r="G148" s="246">
        <v>845400.28907739057</v>
      </c>
      <c r="H148" s="349">
        <f t="shared" si="7"/>
        <v>239234.37754396908</v>
      </c>
      <c r="I148" s="349">
        <v>120874.91559308961</v>
      </c>
      <c r="J148" s="246">
        <f>VLOOKUP(B148,'M) Police'!B148:O456,14,FALSE)</f>
        <v>130510.79900069875</v>
      </c>
      <c r="K148" s="349">
        <f t="shared" si="8"/>
        <v>9635.8834076091443</v>
      </c>
    </row>
    <row r="149" spans="1:11" x14ac:dyDescent="0.25">
      <c r="A149" s="162">
        <f>+'B) D RI'!A150</f>
        <v>5640</v>
      </c>
      <c r="B149" s="482" t="str">
        <f>+'B) D RI'!B150</f>
        <v>Lussy-sur-Morges</v>
      </c>
      <c r="C149" s="478">
        <v>1052981.6344073536</v>
      </c>
      <c r="D149" s="246">
        <f>VLOOKUP(B149,Synthèse!B149:F457,5,FALSE)</f>
        <v>1991450.589335005</v>
      </c>
      <c r="E149" s="349">
        <f t="shared" si="6"/>
        <v>938468.95492765144</v>
      </c>
      <c r="F149" s="349">
        <v>732862.81865292718</v>
      </c>
      <c r="G149" s="246">
        <v>870555.52434687898</v>
      </c>
      <c r="H149" s="349">
        <f t="shared" si="7"/>
        <v>137692.70569395181</v>
      </c>
      <c r="I149" s="349">
        <v>57547.860068458664</v>
      </c>
      <c r="J149" s="246">
        <f>VLOOKUP(B149,'M) Police'!B149:O457,14,FALSE)</f>
        <v>62886.938466887106</v>
      </c>
      <c r="K149" s="349">
        <f t="shared" si="8"/>
        <v>5339.0783984284426</v>
      </c>
    </row>
    <row r="150" spans="1:11" x14ac:dyDescent="0.25">
      <c r="A150" s="162">
        <f>+'B) D RI'!A151</f>
        <v>5642</v>
      </c>
      <c r="B150" s="482" t="str">
        <f>+'B) D RI'!B151</f>
        <v>Morges</v>
      </c>
      <c r="C150" s="478">
        <v>13561761.739018923</v>
      </c>
      <c r="D150" s="246">
        <f>VLOOKUP(B150,Synthèse!B150:F458,5,FALSE)</f>
        <v>14999603.487605035</v>
      </c>
      <c r="E150" s="349">
        <f t="shared" si="6"/>
        <v>1437841.7485861126</v>
      </c>
      <c r="F150" s="349">
        <v>1763008.3490756101</v>
      </c>
      <c r="G150" s="246">
        <v>3316961.0352822533</v>
      </c>
      <c r="H150" s="349">
        <f t="shared" si="7"/>
        <v>1553952.6862066432</v>
      </c>
      <c r="I150" s="349">
        <v>960373.60973762604</v>
      </c>
      <c r="J150" s="246">
        <f>VLOOKUP(B150,'M) Police'!B150:O458,14,FALSE)</f>
        <v>965916.42905596888</v>
      </c>
      <c r="K150" s="349">
        <f t="shared" si="8"/>
        <v>5542.8193183428375</v>
      </c>
    </row>
    <row r="151" spans="1:11" x14ac:dyDescent="0.25">
      <c r="A151" s="162">
        <f>+'B) D RI'!A152</f>
        <v>5643</v>
      </c>
      <c r="B151" s="482" t="str">
        <f>+'B) D RI'!B152</f>
        <v>Préverenges</v>
      </c>
      <c r="C151" s="478">
        <v>4337283.9354185071</v>
      </c>
      <c r="D151" s="246">
        <f>VLOOKUP(B151,Synthèse!B151:F459,5,FALSE)</f>
        <v>4324802.6490630787</v>
      </c>
      <c r="E151" s="349">
        <f t="shared" si="6"/>
        <v>-12481.286355428398</v>
      </c>
      <c r="F151" s="349">
        <v>2705035.6390614272</v>
      </c>
      <c r="G151" s="246">
        <v>2943687.1980237896</v>
      </c>
      <c r="H151" s="349">
        <f t="shared" si="7"/>
        <v>238651.55896236235</v>
      </c>
      <c r="I151" s="349">
        <v>335339.36709606613</v>
      </c>
      <c r="J151" s="246">
        <f>VLOOKUP(B151,'M) Police'!B151:O459,14,FALSE)</f>
        <v>328684.72938187298</v>
      </c>
      <c r="K151" s="349">
        <f t="shared" si="8"/>
        <v>-6654.6377141931443</v>
      </c>
    </row>
    <row r="152" spans="1:11" x14ac:dyDescent="0.25">
      <c r="A152" s="162">
        <f>+'B) D RI'!A153</f>
        <v>5644</v>
      </c>
      <c r="B152" s="482" t="str">
        <f>+'B) D RI'!B153</f>
        <v>Reverolle</v>
      </c>
      <c r="C152" s="478">
        <v>293092.49818841118</v>
      </c>
      <c r="D152" s="246">
        <f>VLOOKUP(B152,Synthèse!B152:F460,5,FALSE)</f>
        <v>252863.23955468833</v>
      </c>
      <c r="E152" s="349">
        <f t="shared" si="6"/>
        <v>-40229.258633722842</v>
      </c>
      <c r="F152" s="349">
        <v>175042.68751807141</v>
      </c>
      <c r="G152" s="246">
        <v>162742.34166852411</v>
      </c>
      <c r="H152" s="349">
        <f t="shared" si="7"/>
        <v>-12300.345849547302</v>
      </c>
      <c r="I152" s="349">
        <v>50390.76927280653</v>
      </c>
      <c r="J152" s="246">
        <f>VLOOKUP(B152,'M) Police'!B152:O460,14,FALSE)</f>
        <v>47168.067661499736</v>
      </c>
      <c r="K152" s="349">
        <f t="shared" si="8"/>
        <v>-3222.7016113067948</v>
      </c>
    </row>
    <row r="153" spans="1:11" x14ac:dyDescent="0.25">
      <c r="A153" s="162">
        <f>+'B) D RI'!A154</f>
        <v>5645</v>
      </c>
      <c r="B153" s="482" t="str">
        <f>+'B) D RI'!B154</f>
        <v>Romanel-sur-Morges</v>
      </c>
      <c r="C153" s="478">
        <v>436438.86800029129</v>
      </c>
      <c r="D153" s="246">
        <f>VLOOKUP(B153,Synthèse!B153:F461,5,FALSE)</f>
        <v>449523.32956524286</v>
      </c>
      <c r="E153" s="349">
        <f t="shared" si="6"/>
        <v>13084.461564951576</v>
      </c>
      <c r="F153" s="349">
        <v>424770.18467387825</v>
      </c>
      <c r="G153" s="246">
        <v>447945.91433724464</v>
      </c>
      <c r="H153" s="349">
        <f t="shared" si="7"/>
        <v>23175.729663366394</v>
      </c>
      <c r="I153" s="349">
        <v>72817.503987735428</v>
      </c>
      <c r="J153" s="246">
        <f>VLOOKUP(B153,'M) Police'!B153:O461,14,FALSE)</f>
        <v>73675.329619915428</v>
      </c>
      <c r="K153" s="349">
        <f t="shared" si="8"/>
        <v>857.82563217999996</v>
      </c>
    </row>
    <row r="154" spans="1:11" x14ac:dyDescent="0.25">
      <c r="A154" s="162">
        <f>+'B) D RI'!A155</f>
        <v>5646</v>
      </c>
      <c r="B154" s="482" t="str">
        <f>+'B) D RI'!B155</f>
        <v>Saint-Prex</v>
      </c>
      <c r="C154" s="478">
        <v>6416507.9497518651</v>
      </c>
      <c r="D154" s="246">
        <f>VLOOKUP(B154,Synthèse!B154:F462,5,FALSE)</f>
        <v>8009097.5464090817</v>
      </c>
      <c r="E154" s="349">
        <f t="shared" si="6"/>
        <v>1592589.5966572165</v>
      </c>
      <c r="F154" s="349">
        <v>3564125.9792294009</v>
      </c>
      <c r="G154" s="246">
        <v>4646790.4846986178</v>
      </c>
      <c r="H154" s="349">
        <f t="shared" si="7"/>
        <v>1082664.505469217</v>
      </c>
      <c r="I154" s="349">
        <v>412013.13547020283</v>
      </c>
      <c r="J154" s="246">
        <f>VLOOKUP(B154,'M) Police'!B154:O462,14,FALSE)</f>
        <v>459137.69275855535</v>
      </c>
      <c r="K154" s="349">
        <f t="shared" si="8"/>
        <v>47124.557288352516</v>
      </c>
    </row>
    <row r="155" spans="1:11" x14ac:dyDescent="0.25">
      <c r="A155" s="162">
        <f>+'B) D RI'!A156</f>
        <v>5648</v>
      </c>
      <c r="B155" s="482" t="str">
        <f>+'B) D RI'!B156</f>
        <v>Saint-Sulpice</v>
      </c>
      <c r="C155" s="478">
        <v>7802896.1877138</v>
      </c>
      <c r="D155" s="246">
        <f>VLOOKUP(B155,Synthèse!B155:F463,5,FALSE)</f>
        <v>8731628.5031068176</v>
      </c>
      <c r="E155" s="349">
        <f t="shared" si="6"/>
        <v>928732.3153930176</v>
      </c>
      <c r="F155" s="349">
        <v>3955549.1472158013</v>
      </c>
      <c r="G155" s="246">
        <v>4635652.1499055624</v>
      </c>
      <c r="H155" s="349">
        <f t="shared" si="7"/>
        <v>680103.00268976111</v>
      </c>
      <c r="I155" s="349">
        <v>379175.06068601995</v>
      </c>
      <c r="J155" s="246">
        <f>VLOOKUP(B155,'M) Police'!B155:O463,14,FALSE)</f>
        <v>414934.46510669484</v>
      </c>
      <c r="K155" s="349">
        <f t="shared" si="8"/>
        <v>35759.404420674895</v>
      </c>
    </row>
    <row r="156" spans="1:11" x14ac:dyDescent="0.25">
      <c r="A156" s="162">
        <f>+'B) D RI'!A157</f>
        <v>5649</v>
      </c>
      <c r="B156" s="482" t="str">
        <f>+'B) D RI'!B157</f>
        <v>Tolochenaz</v>
      </c>
      <c r="C156" s="478">
        <v>2185929.7032157662</v>
      </c>
      <c r="D156" s="246">
        <f>VLOOKUP(B156,Synthèse!B156:F464,5,FALSE)</f>
        <v>7562783.8937896071</v>
      </c>
      <c r="E156" s="349">
        <f t="shared" si="6"/>
        <v>5376854.1905738413</v>
      </c>
      <c r="F156" s="349">
        <v>1532257.9200662016</v>
      </c>
      <c r="G156" s="246">
        <v>3216749.3281974969</v>
      </c>
      <c r="H156" s="349">
        <f t="shared" si="7"/>
        <v>1684491.4081312953</v>
      </c>
      <c r="I156" s="349">
        <v>144232.01147085463</v>
      </c>
      <c r="J156" s="246">
        <f>VLOOKUP(B156,'M) Police'!B156:O464,14,FALSE)</f>
        <v>243157.45409115442</v>
      </c>
      <c r="K156" s="349">
        <f t="shared" si="8"/>
        <v>98925.442620299786</v>
      </c>
    </row>
    <row r="157" spans="1:11" x14ac:dyDescent="0.25">
      <c r="A157" s="162">
        <f>+'B) D RI'!A158</f>
        <v>5650</v>
      </c>
      <c r="B157" s="482" t="str">
        <f>+'B) D RI'!B158</f>
        <v>Vaux-sur-Morges</v>
      </c>
      <c r="C157" s="478">
        <v>6151006.4621015824</v>
      </c>
      <c r="D157" s="246">
        <f>VLOOKUP(B157,Synthèse!B157:F465,5,FALSE)</f>
        <v>7281166.733139365</v>
      </c>
      <c r="E157" s="349">
        <f t="shared" si="6"/>
        <v>1130160.2710377825</v>
      </c>
      <c r="F157" s="349">
        <v>2064675.0750422338</v>
      </c>
      <c r="G157" s="246">
        <v>1892458.3665135754</v>
      </c>
      <c r="H157" s="349">
        <f t="shared" si="7"/>
        <v>-172216.70852865838</v>
      </c>
      <c r="I157" s="349">
        <v>167752.96435470335</v>
      </c>
      <c r="J157" s="246">
        <f>VLOOKUP(B157,'M) Police'!B157:O465,14,FALSE)</f>
        <v>145545.03149996692</v>
      </c>
      <c r="K157" s="349">
        <f t="shared" si="8"/>
        <v>-22207.932854736428</v>
      </c>
    </row>
    <row r="158" spans="1:11" x14ac:dyDescent="0.25">
      <c r="A158" s="162">
        <f>+'B) D RI'!A159</f>
        <v>5651</v>
      </c>
      <c r="B158" s="482" t="str">
        <f>+'B) D RI'!B159</f>
        <v>Villars-Sainte-Croix</v>
      </c>
      <c r="C158" s="478">
        <v>850524.19484126242</v>
      </c>
      <c r="D158" s="246">
        <f>VLOOKUP(B158,Synthèse!B158:F466,5,FALSE)</f>
        <v>1007323.586392984</v>
      </c>
      <c r="E158" s="349">
        <f t="shared" si="6"/>
        <v>156799.39155172161</v>
      </c>
      <c r="F158" s="349">
        <v>632869.28788784868</v>
      </c>
      <c r="G158" s="246">
        <v>885135.6120654213</v>
      </c>
      <c r="H158" s="349">
        <f t="shared" si="7"/>
        <v>252266.32417757262</v>
      </c>
      <c r="I158" s="349">
        <v>50776.496970575477</v>
      </c>
      <c r="J158" s="246">
        <f>VLOOKUP(B158,'M) Police'!B158:O466,14,FALSE)</f>
        <v>65644.074142963567</v>
      </c>
      <c r="K158" s="349">
        <f t="shared" si="8"/>
        <v>14867.57717238809</v>
      </c>
    </row>
    <row r="159" spans="1:11" x14ac:dyDescent="0.25">
      <c r="A159" s="162">
        <f>+'B) D RI'!A160</f>
        <v>5652</v>
      </c>
      <c r="B159" s="482" t="str">
        <f>+'B) D RI'!B160</f>
        <v>Villars-sous-Yens</v>
      </c>
      <c r="C159" s="478">
        <v>395310.5962470274</v>
      </c>
      <c r="D159" s="246">
        <f>VLOOKUP(B159,Synthèse!B159:F467,5,FALSE)</f>
        <v>417640.1707500224</v>
      </c>
      <c r="E159" s="349">
        <f t="shared" si="6"/>
        <v>22329.574502995005</v>
      </c>
      <c r="F159" s="349">
        <v>226599.90173411201</v>
      </c>
      <c r="G159" s="246">
        <v>378686.77236732939</v>
      </c>
      <c r="H159" s="349">
        <f t="shared" si="7"/>
        <v>152086.87063321739</v>
      </c>
      <c r="I159" s="349">
        <v>76473.974137917801</v>
      </c>
      <c r="J159" s="246">
        <f>VLOOKUP(B159,'M) Police'!B159:O467,14,FALSE)</f>
        <v>81122.685523428852</v>
      </c>
      <c r="K159" s="349">
        <f t="shared" si="8"/>
        <v>4648.711385511051</v>
      </c>
    </row>
    <row r="160" spans="1:11" x14ac:dyDescent="0.25">
      <c r="A160" s="162">
        <f>+'B) D RI'!A161</f>
        <v>5653</v>
      </c>
      <c r="B160" s="482" t="str">
        <f>+'B) D RI'!B161</f>
        <v>Vufflens-le-Château</v>
      </c>
      <c r="C160" s="478">
        <v>1272400.1544387648</v>
      </c>
      <c r="D160" s="246">
        <f>VLOOKUP(B160,Synthèse!B160:F468,5,FALSE)</f>
        <v>1058185.5629301546</v>
      </c>
      <c r="E160" s="349">
        <f t="shared" si="6"/>
        <v>-214214.59150861017</v>
      </c>
      <c r="F160" s="349">
        <v>960379.31635636371</v>
      </c>
      <c r="G160" s="246">
        <v>948338.6938351572</v>
      </c>
      <c r="H160" s="349">
        <f t="shared" si="7"/>
        <v>-12040.622521206504</v>
      </c>
      <c r="I160" s="349">
        <v>144734.77795013587</v>
      </c>
      <c r="J160" s="246">
        <f>VLOOKUP(B160,'M) Police'!B160:O468,14,FALSE)</f>
        <v>145678.56368193359</v>
      </c>
      <c r="K160" s="349">
        <f t="shared" si="8"/>
        <v>943.78573179771774</v>
      </c>
    </row>
    <row r="161" spans="1:11" x14ac:dyDescent="0.25">
      <c r="A161" s="162">
        <f>+'B) D RI'!A162</f>
        <v>5654</v>
      </c>
      <c r="B161" s="482" t="str">
        <f>+'B) D RI'!B162</f>
        <v>Vullierens</v>
      </c>
      <c r="C161" s="478">
        <v>330656.55214299087</v>
      </c>
      <c r="D161" s="246">
        <f>VLOOKUP(B161,Synthèse!B161:F469,5,FALSE)</f>
        <v>299250.97978558193</v>
      </c>
      <c r="E161" s="349">
        <f t="shared" si="6"/>
        <v>-31405.572357408935</v>
      </c>
      <c r="F161" s="349">
        <v>74349.956220242428</v>
      </c>
      <c r="G161" s="246">
        <v>207437.6983372758</v>
      </c>
      <c r="H161" s="349">
        <f t="shared" si="7"/>
        <v>133087.74211703337</v>
      </c>
      <c r="I161" s="349">
        <v>54475.167423238767</v>
      </c>
      <c r="J161" s="246">
        <f>VLOOKUP(B161,'M) Police'!B161:O469,14,FALSE)</f>
        <v>58206.537150677425</v>
      </c>
      <c r="K161" s="349">
        <f t="shared" si="8"/>
        <v>3731.3697274386577</v>
      </c>
    </row>
    <row r="162" spans="1:11" x14ac:dyDescent="0.25">
      <c r="A162" s="162">
        <f>+'B) D RI'!A163</f>
        <v>5655</v>
      </c>
      <c r="B162" s="482" t="str">
        <f>+'B) D RI'!B163</f>
        <v>Yens</v>
      </c>
      <c r="C162" s="478">
        <v>1473609.4142498518</v>
      </c>
      <c r="D162" s="246">
        <f>VLOOKUP(B162,Synthèse!B162:F470,5,FALSE)</f>
        <v>1492551.0273482199</v>
      </c>
      <c r="E162" s="349">
        <f t="shared" si="6"/>
        <v>18941.613098368049</v>
      </c>
      <c r="F162" s="349">
        <v>1026654.0394029152</v>
      </c>
      <c r="G162" s="246">
        <v>1101728.531859098</v>
      </c>
      <c r="H162" s="349">
        <f t="shared" si="7"/>
        <v>75074.492456182837</v>
      </c>
      <c r="I162" s="349">
        <v>210375.69600032523</v>
      </c>
      <c r="J162" s="246">
        <f>VLOOKUP(B162,'M) Police'!B162:O470,14,FALSE)</f>
        <v>209927.41238585144</v>
      </c>
      <c r="K162" s="349">
        <f t="shared" si="8"/>
        <v>-448.28361447379575</v>
      </c>
    </row>
    <row r="163" spans="1:11" x14ac:dyDescent="0.25">
      <c r="A163" s="162">
        <f>+'B) D RI'!A164</f>
        <v>5661</v>
      </c>
      <c r="B163" s="482" t="str">
        <f>+'B) D RI'!B164</f>
        <v>Boulens</v>
      </c>
      <c r="C163" s="478">
        <v>131886.27233684238</v>
      </c>
      <c r="D163" s="246">
        <f>VLOOKUP(B163,Synthèse!B163:F471,5,FALSE)</f>
        <v>147913.5788401257</v>
      </c>
      <c r="E163" s="349">
        <f t="shared" si="6"/>
        <v>16027.306503283326</v>
      </c>
      <c r="F163" s="349">
        <v>-117581.22451753906</v>
      </c>
      <c r="G163" s="246">
        <v>-79372.920491307901</v>
      </c>
      <c r="H163" s="349">
        <f t="shared" si="7"/>
        <v>38208.304026231155</v>
      </c>
      <c r="I163" s="349">
        <v>23302.965112000293</v>
      </c>
      <c r="J163" s="246">
        <f>VLOOKUP(B163,'M) Police'!B163:O471,14,FALSE)</f>
        <v>28193.006163157734</v>
      </c>
      <c r="K163" s="349">
        <f t="shared" si="8"/>
        <v>4890.041051157441</v>
      </c>
    </row>
    <row r="164" spans="1:11" x14ac:dyDescent="0.25">
      <c r="A164" s="162">
        <f>+'B) D RI'!A165</f>
        <v>5663</v>
      </c>
      <c r="B164" s="482" t="str">
        <f>+'B) D RI'!B165</f>
        <v>Bussy-sur-Moudon</v>
      </c>
      <c r="C164" s="478">
        <v>108372.06402374632</v>
      </c>
      <c r="D164" s="246">
        <f>VLOOKUP(B164,Synthèse!B164:F472,5,FALSE)</f>
        <v>99527.419254055843</v>
      </c>
      <c r="E164" s="349">
        <f t="shared" si="6"/>
        <v>-8844.6447696904797</v>
      </c>
      <c r="F164" s="349">
        <v>-55957.633953924611</v>
      </c>
      <c r="G164" s="246">
        <v>-78193.044709497466</v>
      </c>
      <c r="H164" s="349">
        <f t="shared" si="7"/>
        <v>-22235.410755572855</v>
      </c>
      <c r="I164" s="349">
        <v>16172.56589996702</v>
      </c>
      <c r="J164" s="246">
        <f>VLOOKUP(B164,'M) Police'!B164:O472,14,FALSE)</f>
        <v>17609.665989008547</v>
      </c>
      <c r="K164" s="349">
        <f t="shared" si="8"/>
        <v>1437.1000890415271</v>
      </c>
    </row>
    <row r="165" spans="1:11" x14ac:dyDescent="0.25">
      <c r="A165" s="162">
        <f>+'B) D RI'!A166</f>
        <v>5665</v>
      </c>
      <c r="B165" s="482" t="str">
        <f>+'B) D RI'!B166</f>
        <v>Chavannes-sur-Moudon</v>
      </c>
      <c r="C165" s="478">
        <v>75053.270825670013</v>
      </c>
      <c r="D165" s="246">
        <f>VLOOKUP(B165,Synthèse!B165:F473,5,FALSE)</f>
        <v>77250.561531677609</v>
      </c>
      <c r="E165" s="349">
        <f t="shared" si="6"/>
        <v>2197.2907060075959</v>
      </c>
      <c r="F165" s="349">
        <v>-55244.387561490264</v>
      </c>
      <c r="G165" s="246">
        <v>-35573.619379086682</v>
      </c>
      <c r="H165" s="349">
        <f t="shared" si="7"/>
        <v>19670.768182403583</v>
      </c>
      <c r="I165" s="349">
        <v>15531.697190871733</v>
      </c>
      <c r="J165" s="246">
        <f>VLOOKUP(B165,'M) Police'!B165:O473,14,FALSE)</f>
        <v>15688.927318012775</v>
      </c>
      <c r="K165" s="349">
        <f t="shared" si="8"/>
        <v>157.23012714104152</v>
      </c>
    </row>
    <row r="166" spans="1:11" x14ac:dyDescent="0.25">
      <c r="A166" s="162">
        <f>+'B) D RI'!A167</f>
        <v>5669</v>
      </c>
      <c r="B166" s="482" t="str">
        <f>+'B) D RI'!B167</f>
        <v>Curtilles</v>
      </c>
      <c r="C166" s="478">
        <v>178231.45733208026</v>
      </c>
      <c r="D166" s="246">
        <f>VLOOKUP(B166,Synthèse!B166:F474,5,FALSE)</f>
        <v>168011.0214122546</v>
      </c>
      <c r="E166" s="349">
        <f t="shared" si="6"/>
        <v>-10220.435919825657</v>
      </c>
      <c r="F166" s="349">
        <v>18212.735305625709</v>
      </c>
      <c r="G166" s="246">
        <v>11341.691678964462</v>
      </c>
      <c r="H166" s="349">
        <f t="shared" si="7"/>
        <v>-6871.0436266612469</v>
      </c>
      <c r="I166" s="349">
        <v>27925.931831662579</v>
      </c>
      <c r="J166" s="246">
        <f>VLOOKUP(B166,'M) Police'!B166:O474,14,FALSE)</f>
        <v>27976.88916840162</v>
      </c>
      <c r="K166" s="349">
        <f t="shared" si="8"/>
        <v>50.957336739040329</v>
      </c>
    </row>
    <row r="167" spans="1:11" x14ac:dyDescent="0.25">
      <c r="A167" s="162">
        <f>+'B) D RI'!A168</f>
        <v>5671</v>
      </c>
      <c r="B167" s="482" t="str">
        <f>+'B) D RI'!B168</f>
        <v>Dompierre</v>
      </c>
      <c r="C167" s="478">
        <v>127520.2533972263</v>
      </c>
      <c r="D167" s="246">
        <f>VLOOKUP(B167,Synthèse!B167:F475,5,FALSE)</f>
        <v>95753.120120526219</v>
      </c>
      <c r="E167" s="349">
        <f t="shared" si="6"/>
        <v>-31767.133276700086</v>
      </c>
      <c r="F167" s="349">
        <v>-94426.584833522909</v>
      </c>
      <c r="G167" s="246">
        <v>-96714.372169166541</v>
      </c>
      <c r="H167" s="349">
        <f t="shared" si="7"/>
        <v>-2287.7873356436321</v>
      </c>
      <c r="I167" s="349">
        <v>20011.003927806101</v>
      </c>
      <c r="J167" s="246">
        <f>VLOOKUP(B167,'M) Police'!B167:O475,14,FALSE)</f>
        <v>19802.088183869611</v>
      </c>
      <c r="K167" s="349">
        <f t="shared" si="8"/>
        <v>-208.91574393648989</v>
      </c>
    </row>
    <row r="168" spans="1:11" x14ac:dyDescent="0.25">
      <c r="A168" s="162">
        <f>+'B) D RI'!A169</f>
        <v>5673</v>
      </c>
      <c r="B168" s="482" t="str">
        <f>+'B) D RI'!B169</f>
        <v>Hermenches</v>
      </c>
      <c r="C168" s="478">
        <v>168129.3580227705</v>
      </c>
      <c r="D168" s="246">
        <f>VLOOKUP(B168,Synthèse!B168:F476,5,FALSE)</f>
        <v>138833.99384970081</v>
      </c>
      <c r="E168" s="349">
        <f t="shared" si="6"/>
        <v>-29295.364173069684</v>
      </c>
      <c r="F168" s="349">
        <v>-112525.37444521938</v>
      </c>
      <c r="G168" s="246">
        <v>-107142.7546313175</v>
      </c>
      <c r="H168" s="349">
        <f t="shared" si="7"/>
        <v>5382.6198139018816</v>
      </c>
      <c r="I168" s="349">
        <v>28429.068499489364</v>
      </c>
      <c r="J168" s="246">
        <f>VLOOKUP(B168,'M) Police'!B168:O476,14,FALSE)</f>
        <v>27591.501519165755</v>
      </c>
      <c r="K168" s="349">
        <f t="shared" si="8"/>
        <v>-837.56698032360873</v>
      </c>
    </row>
    <row r="169" spans="1:11" x14ac:dyDescent="0.25">
      <c r="A169" s="162">
        <f>+'B) D RI'!A170</f>
        <v>5674</v>
      </c>
      <c r="B169" s="482" t="str">
        <f>+'B) D RI'!B170</f>
        <v>Lovatens</v>
      </c>
      <c r="C169" s="478">
        <v>53065.586077177053</v>
      </c>
      <c r="D169" s="246">
        <f>VLOOKUP(B169,Synthèse!B169:F477,5,FALSE)</f>
        <v>56932.300148621609</v>
      </c>
      <c r="E169" s="349">
        <f t="shared" si="6"/>
        <v>3866.7140714445559</v>
      </c>
      <c r="F169" s="349">
        <v>-39057.787680901558</v>
      </c>
      <c r="G169" s="246">
        <v>-23933.078912410423</v>
      </c>
      <c r="H169" s="349">
        <f t="shared" si="7"/>
        <v>15124.708768491135</v>
      </c>
      <c r="I169" s="349">
        <v>10744.623924526375</v>
      </c>
      <c r="J169" s="246">
        <f>VLOOKUP(B169,'M) Police'!B169:O477,14,FALSE)</f>
        <v>11229.593348255599</v>
      </c>
      <c r="K169" s="349">
        <f t="shared" si="8"/>
        <v>484.96942372922422</v>
      </c>
    </row>
    <row r="170" spans="1:11" x14ac:dyDescent="0.25">
      <c r="A170" s="162">
        <f>+'B) D RI'!A171</f>
        <v>5675</v>
      </c>
      <c r="B170" s="482" t="str">
        <f>+'B) D RI'!B171</f>
        <v>Lucens</v>
      </c>
      <c r="C170" s="478">
        <v>1882995.1921287351</v>
      </c>
      <c r="D170" s="246">
        <f>VLOOKUP(B170,Synthèse!B170:F478,5,FALSE)</f>
        <v>1619124.3585848331</v>
      </c>
      <c r="E170" s="349">
        <f t="shared" si="6"/>
        <v>-263870.83354390203</v>
      </c>
      <c r="F170" s="349">
        <v>-1290534.077095876</v>
      </c>
      <c r="G170" s="246">
        <v>-1923863.1762271635</v>
      </c>
      <c r="H170" s="349">
        <f t="shared" si="7"/>
        <v>-633329.09913128754</v>
      </c>
      <c r="I170" s="349">
        <v>290053.7040209549</v>
      </c>
      <c r="J170" s="246">
        <f>VLOOKUP(B170,'M) Police'!B170:O478,14,FALSE)</f>
        <v>261272.39901487809</v>
      </c>
      <c r="K170" s="349">
        <f t="shared" si="8"/>
        <v>-28781.305006076815</v>
      </c>
    </row>
    <row r="171" spans="1:11" x14ac:dyDescent="0.25">
      <c r="A171" s="162">
        <f>+'B) D RI'!A172</f>
        <v>5678</v>
      </c>
      <c r="B171" s="482" t="str">
        <f>+'B) D RI'!B172</f>
        <v>Moudon</v>
      </c>
      <c r="C171" s="478">
        <v>2288258.0124914693</v>
      </c>
      <c r="D171" s="246">
        <f>VLOOKUP(B171,Synthèse!B171:F479,5,FALSE)</f>
        <v>2511240.3922734871</v>
      </c>
      <c r="E171" s="349">
        <f t="shared" si="6"/>
        <v>222982.37978201779</v>
      </c>
      <c r="F171" s="349">
        <v>-4114446.6556184134</v>
      </c>
      <c r="G171" s="246">
        <v>-4438316.2398838932</v>
      </c>
      <c r="H171" s="349">
        <f t="shared" si="7"/>
        <v>-323869.58426547982</v>
      </c>
      <c r="I171" s="349">
        <v>387157.94509503129</v>
      </c>
      <c r="J171" s="246">
        <f>VLOOKUP(B171,'M) Police'!B171:O479,14,FALSE)</f>
        <v>366949.91802591085</v>
      </c>
      <c r="K171" s="349">
        <f t="shared" si="8"/>
        <v>-20208.027069120435</v>
      </c>
    </row>
    <row r="172" spans="1:11" x14ac:dyDescent="0.25">
      <c r="A172" s="162">
        <f>+'B) D RI'!A173</f>
        <v>5680</v>
      </c>
      <c r="B172" s="482" t="str">
        <f>+'B) D RI'!B173</f>
        <v>Ogens</v>
      </c>
      <c r="C172" s="478">
        <v>133382.73353730145</v>
      </c>
      <c r="D172" s="246">
        <f>VLOOKUP(B172,Synthèse!B172:F480,5,FALSE)</f>
        <v>129761.95864224093</v>
      </c>
      <c r="E172" s="349">
        <f t="shared" si="6"/>
        <v>-3620.7748950605164</v>
      </c>
      <c r="F172" s="349">
        <v>19340.344982508279</v>
      </c>
      <c r="G172" s="246">
        <v>-57968.158160706917</v>
      </c>
      <c r="H172" s="349">
        <f t="shared" si="7"/>
        <v>-77308.503143215203</v>
      </c>
      <c r="I172" s="349">
        <v>26354.623639561898</v>
      </c>
      <c r="J172" s="246">
        <f>VLOOKUP(B172,'M) Police'!B172:O480,14,FALSE)</f>
        <v>23022.96350323538</v>
      </c>
      <c r="K172" s="349">
        <f t="shared" si="8"/>
        <v>-3331.6601363265181</v>
      </c>
    </row>
    <row r="173" spans="1:11" x14ac:dyDescent="0.25">
      <c r="A173" s="162">
        <f>+'B) D RI'!A174</f>
        <v>5683</v>
      </c>
      <c r="B173" s="482" t="str">
        <f>+'B) D RI'!B174</f>
        <v>Prévonloup</v>
      </c>
      <c r="C173" s="478">
        <v>63833.855209024521</v>
      </c>
      <c r="D173" s="246">
        <f>VLOOKUP(B173,Synthèse!B173:F481,5,FALSE)</f>
        <v>70952.749452332791</v>
      </c>
      <c r="E173" s="349">
        <f t="shared" si="6"/>
        <v>7118.8942433082702</v>
      </c>
      <c r="F173" s="349">
        <v>-53450.600789325137</v>
      </c>
      <c r="G173" s="246">
        <v>-110672.87841624327</v>
      </c>
      <c r="H173" s="349">
        <f t="shared" si="7"/>
        <v>-57222.277626918134</v>
      </c>
      <c r="I173" s="349">
        <v>11570.524141151218</v>
      </c>
      <c r="J173" s="246">
        <f>VLOOKUP(B173,'M) Police'!B173:O481,14,FALSE)</f>
        <v>12017.062945412548</v>
      </c>
      <c r="K173" s="349">
        <f t="shared" si="8"/>
        <v>446.53880426133037</v>
      </c>
    </row>
    <row r="174" spans="1:11" x14ac:dyDescent="0.25">
      <c r="A174" s="162">
        <f>+'B) D RI'!A175</f>
        <v>5684</v>
      </c>
      <c r="B174" s="482" t="str">
        <f>+'B) D RI'!B175</f>
        <v>Rossenges</v>
      </c>
      <c r="C174" s="478">
        <v>40545.860492781874</v>
      </c>
      <c r="D174" s="246">
        <f>VLOOKUP(B174,Synthèse!B174:F482,5,FALSE)</f>
        <v>44083.789649719358</v>
      </c>
      <c r="E174" s="349">
        <f t="shared" si="6"/>
        <v>3537.9291569374836</v>
      </c>
      <c r="F174" s="349">
        <v>38472.628131791906</v>
      </c>
      <c r="G174" s="246">
        <v>48056.031872250082</v>
      </c>
      <c r="H174" s="349">
        <f t="shared" si="7"/>
        <v>9583.4037404581759</v>
      </c>
      <c r="I174" s="349">
        <v>8479.6514282561911</v>
      </c>
      <c r="J174" s="246">
        <f>VLOOKUP(B174,'M) Police'!B174:O482,14,FALSE)</f>
        <v>9070.5946541094563</v>
      </c>
      <c r="K174" s="349">
        <f t="shared" si="8"/>
        <v>590.94322585326518</v>
      </c>
    </row>
    <row r="175" spans="1:11" x14ac:dyDescent="0.25">
      <c r="A175" s="162">
        <f>+'B) D RI'!A176</f>
        <v>5688</v>
      </c>
      <c r="B175" s="482" t="str">
        <f>+'B) D RI'!B176</f>
        <v>Syens</v>
      </c>
      <c r="C175" s="478">
        <v>97745.753439949738</v>
      </c>
      <c r="D175" s="246">
        <f>VLOOKUP(B175,Synthèse!B175:F483,5,FALSE)</f>
        <v>109864.85187984481</v>
      </c>
      <c r="E175" s="349">
        <f t="shared" si="6"/>
        <v>12119.098439895068</v>
      </c>
      <c r="F175" s="349">
        <v>61924.217495239704</v>
      </c>
      <c r="G175" s="246">
        <v>75995.332347092306</v>
      </c>
      <c r="H175" s="349">
        <f t="shared" si="7"/>
        <v>14071.114851852602</v>
      </c>
      <c r="I175" s="349">
        <v>17499.790089323164</v>
      </c>
      <c r="J175" s="246">
        <f>VLOOKUP(B175,'M) Police'!B175:O483,14,FALSE)</f>
        <v>19783.341236732729</v>
      </c>
      <c r="K175" s="349">
        <f t="shared" si="8"/>
        <v>2283.5511474095656</v>
      </c>
    </row>
    <row r="176" spans="1:11" x14ac:dyDescent="0.25">
      <c r="A176" s="162">
        <f>+'B) D RI'!A177</f>
        <v>5690</v>
      </c>
      <c r="B176" s="482" t="str">
        <f>+'B) D RI'!B177</f>
        <v>Villars-le-Comte</v>
      </c>
      <c r="C176" s="478">
        <v>59116.766180211183</v>
      </c>
      <c r="D176" s="246">
        <f>VLOOKUP(B176,Synthèse!B176:F484,5,FALSE)</f>
        <v>65628.854106790837</v>
      </c>
      <c r="E176" s="349">
        <f t="shared" si="6"/>
        <v>6512.0879265796539</v>
      </c>
      <c r="F176" s="349">
        <v>-28722.030284829638</v>
      </c>
      <c r="G176" s="246">
        <v>-5038.0340158416384</v>
      </c>
      <c r="H176" s="349">
        <f t="shared" si="7"/>
        <v>23683.996268987998</v>
      </c>
      <c r="I176" s="349">
        <v>10780.410321871703</v>
      </c>
      <c r="J176" s="246">
        <f>VLOOKUP(B176,'M) Police'!B176:O484,14,FALSE)</f>
        <v>11019.104734696906</v>
      </c>
      <c r="K176" s="349">
        <f t="shared" si="8"/>
        <v>238.69441282520347</v>
      </c>
    </row>
    <row r="177" spans="1:11" x14ac:dyDescent="0.25">
      <c r="A177" s="162">
        <f>+'B) D RI'!A178</f>
        <v>5692</v>
      </c>
      <c r="B177" s="482" t="str">
        <f>+'B) D RI'!B178</f>
        <v>Vucherens</v>
      </c>
      <c r="C177" s="478">
        <v>275397.70615827077</v>
      </c>
      <c r="D177" s="246">
        <f>VLOOKUP(B177,Synthèse!B177:F485,5,FALSE)</f>
        <v>304092.54656227288</v>
      </c>
      <c r="E177" s="349">
        <f t="shared" si="6"/>
        <v>28694.840404002112</v>
      </c>
      <c r="F177" s="349">
        <v>-56504.146733280984</v>
      </c>
      <c r="G177" s="246">
        <v>-1634.4487993022849</v>
      </c>
      <c r="H177" s="349">
        <f t="shared" si="7"/>
        <v>54869.697933978699</v>
      </c>
      <c r="I177" s="349">
        <v>48543.386267961905</v>
      </c>
      <c r="J177" s="246">
        <f>VLOOKUP(B177,'M) Police'!B177:O485,14,FALSE)</f>
        <v>54018.489813220578</v>
      </c>
      <c r="K177" s="349">
        <f t="shared" si="8"/>
        <v>5475.103545258673</v>
      </c>
    </row>
    <row r="178" spans="1:11" x14ac:dyDescent="0.25">
      <c r="A178" s="162">
        <f>+'B) D RI'!A179</f>
        <v>5693</v>
      </c>
      <c r="B178" s="482" t="str">
        <f>+'B) D RI'!B179</f>
        <v>Montanaire</v>
      </c>
      <c r="C178" s="478">
        <v>1169963.6992288388</v>
      </c>
      <c r="D178" s="246">
        <f>VLOOKUP(B178,Synthèse!B178:F486,5,FALSE)</f>
        <v>1294900.3762852028</v>
      </c>
      <c r="E178" s="349">
        <f t="shared" si="6"/>
        <v>124936.67705636402</v>
      </c>
      <c r="F178" s="349">
        <v>-763950.42362724524</v>
      </c>
      <c r="G178" s="246">
        <v>-690199.27636502218</v>
      </c>
      <c r="H178" s="349">
        <f t="shared" si="7"/>
        <v>73751.147262223065</v>
      </c>
      <c r="I178" s="349">
        <v>201992.50783632987</v>
      </c>
      <c r="J178" s="246">
        <f>VLOOKUP(B178,'M) Police'!B178:O486,14,FALSE)</f>
        <v>220681.84326376289</v>
      </c>
      <c r="K178" s="349">
        <f t="shared" si="8"/>
        <v>18689.33542743302</v>
      </c>
    </row>
    <row r="179" spans="1:11" x14ac:dyDescent="0.25">
      <c r="A179" s="162">
        <f>+'B) D RI'!A180</f>
        <v>5701</v>
      </c>
      <c r="B179" s="482" t="str">
        <f>+'B) D RI'!B180</f>
        <v>Arnex-sur-Nyon</v>
      </c>
      <c r="C179" s="478">
        <v>308480.33673344267</v>
      </c>
      <c r="D179" s="246">
        <f>VLOOKUP(B179,Synthèse!B179:F487,5,FALSE)</f>
        <v>280647.04695862008</v>
      </c>
      <c r="E179" s="349">
        <f t="shared" si="6"/>
        <v>-27833.289774822595</v>
      </c>
      <c r="F179" s="349">
        <v>233325.7843892448</v>
      </c>
      <c r="G179" s="246">
        <v>237848.00020186539</v>
      </c>
      <c r="H179" s="349">
        <f t="shared" si="7"/>
        <v>4522.2158126205904</v>
      </c>
      <c r="I179" s="349">
        <v>35947.286707590218</v>
      </c>
      <c r="J179" s="246">
        <f>VLOOKUP(B179,'M) Police'!B179:O487,14,FALSE)</f>
        <v>36749.159502308685</v>
      </c>
      <c r="K179" s="349">
        <f t="shared" si="8"/>
        <v>801.87279471846705</v>
      </c>
    </row>
    <row r="180" spans="1:11" x14ac:dyDescent="0.25">
      <c r="A180" s="162">
        <f>+'B) D RI'!A181</f>
        <v>5702</v>
      </c>
      <c r="B180" s="482" t="str">
        <f>+'B) D RI'!B181</f>
        <v>Arzier-Le Muids</v>
      </c>
      <c r="C180" s="478">
        <v>2585227.2037628544</v>
      </c>
      <c r="D180" s="246">
        <f>VLOOKUP(B180,Synthèse!B180:F488,5,FALSE)</f>
        <v>3105610.6522240806</v>
      </c>
      <c r="E180" s="349">
        <f t="shared" si="6"/>
        <v>520383.44846122619</v>
      </c>
      <c r="F180" s="349">
        <v>1658247.0050087064</v>
      </c>
      <c r="G180" s="246">
        <v>1890673.3054276821</v>
      </c>
      <c r="H180" s="349">
        <f t="shared" si="7"/>
        <v>232426.30041897576</v>
      </c>
      <c r="I180" s="349">
        <v>396303.95587968046</v>
      </c>
      <c r="J180" s="246">
        <f>VLOOKUP(B180,'M) Police'!B180:O488,14,FALSE)</f>
        <v>419874.42300962051</v>
      </c>
      <c r="K180" s="349">
        <f t="shared" si="8"/>
        <v>23570.467129940051</v>
      </c>
    </row>
    <row r="181" spans="1:11" x14ac:dyDescent="0.25">
      <c r="A181" s="162">
        <f>+'B) D RI'!A182</f>
        <v>5703</v>
      </c>
      <c r="B181" s="482" t="str">
        <f>+'B) D RI'!B182</f>
        <v>Bassins</v>
      </c>
      <c r="C181" s="478">
        <v>917472.79492292786</v>
      </c>
      <c r="D181" s="246">
        <f>VLOOKUP(B181,Synthèse!B181:F489,5,FALSE)</f>
        <v>1063444.2852925004</v>
      </c>
      <c r="E181" s="349">
        <f t="shared" si="6"/>
        <v>145971.49036957254</v>
      </c>
      <c r="F181" s="349">
        <v>275544.86812283925</v>
      </c>
      <c r="G181" s="246">
        <v>516086.7897215244</v>
      </c>
      <c r="H181" s="349">
        <f t="shared" si="7"/>
        <v>240541.92159868515</v>
      </c>
      <c r="I181" s="349">
        <v>164485.21920472506</v>
      </c>
      <c r="J181" s="246">
        <f>VLOOKUP(B181,'M) Police'!B181:O489,14,FALSE)</f>
        <v>175703.2557493319</v>
      </c>
      <c r="K181" s="349">
        <f t="shared" si="8"/>
        <v>11218.036544606846</v>
      </c>
    </row>
    <row r="182" spans="1:11" x14ac:dyDescent="0.25">
      <c r="A182" s="162">
        <f>+'B) D RI'!A183</f>
        <v>5704</v>
      </c>
      <c r="B182" s="482" t="str">
        <f>+'B) D RI'!B183</f>
        <v>Begnins</v>
      </c>
      <c r="C182" s="478">
        <v>2516560.5978717194</v>
      </c>
      <c r="D182" s="246">
        <f>VLOOKUP(B182,Synthèse!B182:F490,5,FALSE)</f>
        <v>2839281.8515457679</v>
      </c>
      <c r="E182" s="349">
        <f t="shared" si="6"/>
        <v>322721.25367404846</v>
      </c>
      <c r="F182" s="349">
        <v>1605223.6467982391</v>
      </c>
      <c r="G182" s="246">
        <v>1862177.7667531883</v>
      </c>
      <c r="H182" s="349">
        <f t="shared" si="7"/>
        <v>256954.11995494924</v>
      </c>
      <c r="I182" s="349">
        <v>295704.91249252151</v>
      </c>
      <c r="J182" s="246">
        <f>VLOOKUP(B182,'M) Police'!B182:O490,14,FALSE)</f>
        <v>317304.41438837512</v>
      </c>
      <c r="K182" s="349">
        <f t="shared" si="8"/>
        <v>21599.501895853609</v>
      </c>
    </row>
    <row r="183" spans="1:11" x14ac:dyDescent="0.25">
      <c r="A183" s="162">
        <f>+'B) D RI'!A184</f>
        <v>5705</v>
      </c>
      <c r="B183" s="482" t="str">
        <f>+'B) D RI'!B184</f>
        <v>Bogis-Bossey</v>
      </c>
      <c r="C183" s="478">
        <v>1027861.2754993901</v>
      </c>
      <c r="D183" s="246">
        <f>VLOOKUP(B183,Synthèse!B183:F491,5,FALSE)</f>
        <v>1046933.1125178633</v>
      </c>
      <c r="E183" s="349">
        <f t="shared" si="6"/>
        <v>19071.83701847319</v>
      </c>
      <c r="F183" s="349">
        <v>817969.33763735439</v>
      </c>
      <c r="G183" s="246">
        <v>906240.64062143513</v>
      </c>
      <c r="H183" s="349">
        <f t="shared" si="7"/>
        <v>88271.302984080743</v>
      </c>
      <c r="I183" s="349">
        <v>135275.83135974634</v>
      </c>
      <c r="J183" s="246">
        <f>VLOOKUP(B183,'M) Police'!B183:O491,14,FALSE)</f>
        <v>143686.25909901559</v>
      </c>
      <c r="K183" s="349">
        <f t="shared" si="8"/>
        <v>8410.4277392692456</v>
      </c>
    </row>
    <row r="184" spans="1:11" x14ac:dyDescent="0.25">
      <c r="A184" s="162">
        <f>+'B) D RI'!A185</f>
        <v>5706</v>
      </c>
      <c r="B184" s="482" t="str">
        <f>+'B) D RI'!B185</f>
        <v>Borex</v>
      </c>
      <c r="C184" s="478">
        <v>1389373.4294529746</v>
      </c>
      <c r="D184" s="246">
        <f>VLOOKUP(B184,Synthèse!B184:F492,5,FALSE)</f>
        <v>1420371.9928351932</v>
      </c>
      <c r="E184" s="349">
        <f t="shared" si="6"/>
        <v>30998.563382218592</v>
      </c>
      <c r="F184" s="349">
        <v>1002278.9809589727</v>
      </c>
      <c r="G184" s="246">
        <v>1145564.4349205378</v>
      </c>
      <c r="H184" s="349">
        <f t="shared" si="7"/>
        <v>143285.45396156504</v>
      </c>
      <c r="I184" s="349">
        <v>169568.75250703338</v>
      </c>
      <c r="J184" s="246">
        <f>VLOOKUP(B184,'M) Police'!B184:O492,14,FALSE)</f>
        <v>183459.13003163075</v>
      </c>
      <c r="K184" s="349">
        <f t="shared" si="8"/>
        <v>13890.377524597367</v>
      </c>
    </row>
    <row r="185" spans="1:11" x14ac:dyDescent="0.25">
      <c r="A185" s="162">
        <f>+'B) D RI'!A186</f>
        <v>5707</v>
      </c>
      <c r="B185" s="482" t="str">
        <f>+'B) D RI'!B186</f>
        <v>Chavannes-de-Bogis</v>
      </c>
      <c r="C185" s="478">
        <v>2119290.3274714504</v>
      </c>
      <c r="D185" s="246">
        <f>VLOOKUP(B185,Synthèse!B185:F493,5,FALSE)</f>
        <v>1818979.9657495406</v>
      </c>
      <c r="E185" s="349">
        <f t="shared" si="6"/>
        <v>-300310.36172190984</v>
      </c>
      <c r="F185" s="349">
        <v>1390345.5403197794</v>
      </c>
      <c r="G185" s="246">
        <v>1315677.1359480759</v>
      </c>
      <c r="H185" s="349">
        <f t="shared" si="7"/>
        <v>-74668.404371703509</v>
      </c>
      <c r="I185" s="349">
        <v>209222.11800375767</v>
      </c>
      <c r="J185" s="246">
        <f>VLOOKUP(B185,'M) Police'!B185:O493,14,FALSE)</f>
        <v>212814.49819877706</v>
      </c>
      <c r="K185" s="349">
        <f t="shared" si="8"/>
        <v>3592.3801950193883</v>
      </c>
    </row>
    <row r="186" spans="1:11" x14ac:dyDescent="0.25">
      <c r="A186" s="162">
        <f>+'B) D RI'!A187</f>
        <v>5708</v>
      </c>
      <c r="B186" s="482" t="str">
        <f>+'B) D RI'!B187</f>
        <v>Chavannes-des-Bois</v>
      </c>
      <c r="C186" s="478">
        <v>1543678.2811299604</v>
      </c>
      <c r="D186" s="246">
        <f>VLOOKUP(B186,Synthèse!B186:F494,5,FALSE)</f>
        <v>997108.76903101336</v>
      </c>
      <c r="E186" s="349">
        <f t="shared" si="6"/>
        <v>-546569.51209894707</v>
      </c>
      <c r="F186" s="349">
        <v>985260.67320620629</v>
      </c>
      <c r="G186" s="246">
        <v>944963.20531929471</v>
      </c>
      <c r="H186" s="349">
        <f t="shared" si="7"/>
        <v>-40297.467886911589</v>
      </c>
      <c r="I186" s="349">
        <v>145246.4717444703</v>
      </c>
      <c r="J186" s="246">
        <f>VLOOKUP(B186,'M) Police'!B186:O494,14,FALSE)</f>
        <v>150831.5326989991</v>
      </c>
      <c r="K186" s="349">
        <f t="shared" si="8"/>
        <v>5585.0609545288025</v>
      </c>
    </row>
    <row r="187" spans="1:11" x14ac:dyDescent="0.25">
      <c r="A187" s="162">
        <f>+'B) D RI'!A188</f>
        <v>5709</v>
      </c>
      <c r="B187" s="482" t="str">
        <f>+'B) D RI'!B188</f>
        <v>Chéserex</v>
      </c>
      <c r="C187" s="478">
        <v>2831565.4808029882</v>
      </c>
      <c r="D187" s="246">
        <f>VLOOKUP(B187,Synthèse!B187:F495,5,FALSE)</f>
        <v>1996738.5823028318</v>
      </c>
      <c r="E187" s="349">
        <f t="shared" si="6"/>
        <v>-834826.89850015636</v>
      </c>
      <c r="F187" s="349">
        <v>1711292.0265104866</v>
      </c>
      <c r="G187" s="246">
        <v>1138709.1069428741</v>
      </c>
      <c r="H187" s="349">
        <f t="shared" si="7"/>
        <v>-572582.91956761247</v>
      </c>
      <c r="I187" s="349">
        <v>234485.63451155211</v>
      </c>
      <c r="J187" s="246">
        <f>VLOOKUP(B187,'M) Police'!B187:O495,14,FALSE)</f>
        <v>193167.24656752023</v>
      </c>
      <c r="K187" s="349">
        <f t="shared" si="8"/>
        <v>-41318.387944031885</v>
      </c>
    </row>
    <row r="188" spans="1:11" x14ac:dyDescent="0.25">
      <c r="A188" s="162">
        <f>+'B) D RI'!A189</f>
        <v>5710</v>
      </c>
      <c r="B188" s="482" t="str">
        <f>+'B) D RI'!B189</f>
        <v>Coinsins</v>
      </c>
      <c r="C188" s="478">
        <v>3522028.2619136153</v>
      </c>
      <c r="D188" s="246">
        <f>VLOOKUP(B188,Synthèse!B188:F496,5,FALSE)</f>
        <v>2551997.147994061</v>
      </c>
      <c r="E188" s="349">
        <f t="shared" si="6"/>
        <v>-970031.11391955428</v>
      </c>
      <c r="F188" s="349">
        <v>1411907.7456016261</v>
      </c>
      <c r="G188" s="246">
        <v>1109447.725594854</v>
      </c>
      <c r="H188" s="349">
        <f t="shared" si="7"/>
        <v>-302460.02000677213</v>
      </c>
      <c r="I188" s="349">
        <v>141907.7212885606</v>
      </c>
      <c r="J188" s="246">
        <f>VLOOKUP(B188,'M) Police'!B188:O496,14,FALSE)</f>
        <v>119396.75051276335</v>
      </c>
      <c r="K188" s="349">
        <f t="shared" si="8"/>
        <v>-22510.97077579725</v>
      </c>
    </row>
    <row r="189" spans="1:11" x14ac:dyDescent="0.25">
      <c r="A189" s="162">
        <f>+'B) D RI'!A190</f>
        <v>5711</v>
      </c>
      <c r="B189" s="482" t="str">
        <f>+'B) D RI'!B190</f>
        <v>Commugny</v>
      </c>
      <c r="C189" s="478">
        <v>6106143.9792224057</v>
      </c>
      <c r="D189" s="246">
        <f>VLOOKUP(B189,Synthèse!B189:F497,5,FALSE)</f>
        <v>6207267.3161090948</v>
      </c>
      <c r="E189" s="349">
        <f t="shared" si="6"/>
        <v>101123.33688668907</v>
      </c>
      <c r="F189" s="349">
        <v>3262879.3546492737</v>
      </c>
      <c r="G189" s="246">
        <v>3464849.0958191273</v>
      </c>
      <c r="H189" s="349">
        <f t="shared" si="7"/>
        <v>201969.7411698536</v>
      </c>
      <c r="I189" s="349">
        <v>501963.51629490743</v>
      </c>
      <c r="J189" s="246">
        <f>VLOOKUP(B189,'M) Police'!B189:O497,14,FALSE)</f>
        <v>528584.08202571538</v>
      </c>
      <c r="K189" s="349">
        <f t="shared" si="8"/>
        <v>26620.565730807954</v>
      </c>
    </row>
    <row r="190" spans="1:11" x14ac:dyDescent="0.25">
      <c r="A190" s="162">
        <f>+'B) D RI'!A191</f>
        <v>5712</v>
      </c>
      <c r="B190" s="482" t="str">
        <f>+'B) D RI'!B191</f>
        <v>Coppet</v>
      </c>
      <c r="C190" s="478">
        <v>8970537.3294366933</v>
      </c>
      <c r="D190" s="246">
        <f>VLOOKUP(B190,Synthèse!B190:F498,5,FALSE)</f>
        <v>9018146.988404762</v>
      </c>
      <c r="E190" s="349">
        <f t="shared" si="6"/>
        <v>47609.658968068659</v>
      </c>
      <c r="F190" s="349">
        <v>4151254.8649925534</v>
      </c>
      <c r="G190" s="246">
        <v>4337585.5802487181</v>
      </c>
      <c r="H190" s="349">
        <f t="shared" si="7"/>
        <v>186330.71525616478</v>
      </c>
      <c r="I190" s="349">
        <v>603964.28129213734</v>
      </c>
      <c r="J190" s="246">
        <f>VLOOKUP(B190,'M) Police'!B190:O498,14,FALSE)</f>
        <v>617391.10054214438</v>
      </c>
      <c r="K190" s="349">
        <f t="shared" si="8"/>
        <v>13426.819250007044</v>
      </c>
    </row>
    <row r="191" spans="1:11" x14ac:dyDescent="0.25">
      <c r="A191" s="162">
        <f>+'B) D RI'!A192</f>
        <v>5713</v>
      </c>
      <c r="B191" s="482" t="str">
        <f>+'B) D RI'!B192</f>
        <v>Crans-près-Céligny</v>
      </c>
      <c r="C191" s="478">
        <v>7788570.0674624015</v>
      </c>
      <c r="D191" s="246">
        <f>VLOOKUP(B191,Synthèse!B191:F499,5,FALSE)</f>
        <v>6475939.8620810267</v>
      </c>
      <c r="E191" s="349">
        <f t="shared" si="6"/>
        <v>-1312630.2053813748</v>
      </c>
      <c r="F191" s="349">
        <v>3482596.2300439449</v>
      </c>
      <c r="G191" s="246">
        <v>3254372.3125269404</v>
      </c>
      <c r="H191" s="349">
        <f t="shared" si="7"/>
        <v>-228223.91751700453</v>
      </c>
      <c r="I191" s="349">
        <v>284796.19833712222</v>
      </c>
      <c r="J191" s="246">
        <f>VLOOKUP(B191,'M) Police'!B191:O499,14,FALSE)</f>
        <v>252510.79490788197</v>
      </c>
      <c r="K191" s="349">
        <f t="shared" si="8"/>
        <v>-32285.40342924025</v>
      </c>
    </row>
    <row r="192" spans="1:11" x14ac:dyDescent="0.25">
      <c r="A192" s="162">
        <f>+'B) D RI'!A193</f>
        <v>5714</v>
      </c>
      <c r="B192" s="482" t="str">
        <f>+'B) D RI'!B193</f>
        <v>Crassier</v>
      </c>
      <c r="C192" s="478">
        <v>1585726.6035518255</v>
      </c>
      <c r="D192" s="246">
        <f>VLOOKUP(B192,Synthèse!B192:F500,5,FALSE)</f>
        <v>1838409.4005399602</v>
      </c>
      <c r="E192" s="349">
        <f t="shared" si="6"/>
        <v>252682.79698813474</v>
      </c>
      <c r="F192" s="349">
        <v>1190500.0256235811</v>
      </c>
      <c r="G192" s="246">
        <v>1288334.3844237379</v>
      </c>
      <c r="H192" s="349">
        <f t="shared" si="7"/>
        <v>97834.35880015674</v>
      </c>
      <c r="I192" s="349">
        <v>193253.22844266013</v>
      </c>
      <c r="J192" s="246">
        <f>VLOOKUP(B192,'M) Police'!B192:O500,14,FALSE)</f>
        <v>196873.63646315807</v>
      </c>
      <c r="K192" s="349">
        <f t="shared" si="8"/>
        <v>3620.40802049794</v>
      </c>
    </row>
    <row r="193" spans="1:11" x14ac:dyDescent="0.25">
      <c r="A193" s="162">
        <f>+'B) D RI'!A194</f>
        <v>5715</v>
      </c>
      <c r="B193" s="482" t="str">
        <f>+'B) D RI'!B194</f>
        <v>Duillier</v>
      </c>
      <c r="C193" s="478">
        <v>1291061.4083959269</v>
      </c>
      <c r="D193" s="246">
        <f>VLOOKUP(B193,Synthèse!B193:F501,5,FALSE)</f>
        <v>965303.35985609959</v>
      </c>
      <c r="E193" s="349">
        <f t="shared" si="6"/>
        <v>-325758.04853982734</v>
      </c>
      <c r="F193" s="349">
        <v>968179.8954123772</v>
      </c>
      <c r="G193" s="246">
        <v>972143.18026858638</v>
      </c>
      <c r="H193" s="349">
        <f t="shared" si="7"/>
        <v>3963.2848562091822</v>
      </c>
      <c r="I193" s="349">
        <v>161548.0353477574</v>
      </c>
      <c r="J193" s="246">
        <f>VLOOKUP(B193,'M) Police'!B193:O501,14,FALSE)</f>
        <v>166564.84678103996</v>
      </c>
      <c r="K193" s="349">
        <f t="shared" si="8"/>
        <v>5016.8114332825644</v>
      </c>
    </row>
    <row r="194" spans="1:11" x14ac:dyDescent="0.25">
      <c r="A194" s="162">
        <f>+'B) D RI'!A195</f>
        <v>5716</v>
      </c>
      <c r="B194" s="482" t="str">
        <f>+'B) D RI'!B195</f>
        <v>Eysins</v>
      </c>
      <c r="C194" s="478">
        <v>3243364.386945216</v>
      </c>
      <c r="D194" s="246">
        <f>VLOOKUP(B194,Synthèse!B194:F502,5,FALSE)</f>
        <v>3518507.8266838389</v>
      </c>
      <c r="E194" s="349">
        <f t="shared" si="6"/>
        <v>275143.43973862287</v>
      </c>
      <c r="F194" s="349">
        <v>1828308.6328692448</v>
      </c>
      <c r="G194" s="246">
        <v>1974790.165907915</v>
      </c>
      <c r="H194" s="349">
        <f t="shared" si="7"/>
        <v>146481.5330386702</v>
      </c>
      <c r="I194" s="349">
        <v>275292.83225922915</v>
      </c>
      <c r="J194" s="246">
        <f>VLOOKUP(B194,'M) Police'!B194:O502,14,FALSE)</f>
        <v>291299.92550734582</v>
      </c>
      <c r="K194" s="349">
        <f t="shared" si="8"/>
        <v>16007.093248116667</v>
      </c>
    </row>
    <row r="195" spans="1:11" x14ac:dyDescent="0.25">
      <c r="A195" s="162">
        <f>+'B) D RI'!A196</f>
        <v>5717</v>
      </c>
      <c r="B195" s="482" t="str">
        <f>+'B) D RI'!B196</f>
        <v>Founex</v>
      </c>
      <c r="C195" s="478">
        <v>10015363.673390914</v>
      </c>
      <c r="D195" s="246">
        <f>VLOOKUP(B195,Synthèse!B195:F503,5,FALSE)</f>
        <v>8881760.9510646537</v>
      </c>
      <c r="E195" s="349">
        <f t="shared" si="6"/>
        <v>-1133602.7223262601</v>
      </c>
      <c r="F195" s="349">
        <v>4557169.4724322809</v>
      </c>
      <c r="G195" s="246">
        <v>4480878.4210454645</v>
      </c>
      <c r="H195" s="349">
        <f t="shared" si="7"/>
        <v>-76291.051386816427</v>
      </c>
      <c r="I195" s="349">
        <v>685090.95600173343</v>
      </c>
      <c r="J195" s="246">
        <f>VLOOKUP(B195,'M) Police'!B195:O503,14,FALSE)</f>
        <v>706341.79688315839</v>
      </c>
      <c r="K195" s="349">
        <f t="shared" si="8"/>
        <v>21250.840881424956</v>
      </c>
    </row>
    <row r="196" spans="1:11" x14ac:dyDescent="0.25">
      <c r="A196" s="162">
        <f>+'B) D RI'!A197</f>
        <v>5718</v>
      </c>
      <c r="B196" s="482" t="str">
        <f>+'B) D RI'!B197</f>
        <v>Genolier</v>
      </c>
      <c r="C196" s="478">
        <v>3664523.9038247727</v>
      </c>
      <c r="D196" s="246">
        <f>VLOOKUP(B196,Synthèse!B196:F504,5,FALSE)</f>
        <v>4611814.6087676762</v>
      </c>
      <c r="E196" s="349">
        <f t="shared" si="6"/>
        <v>947290.70494290348</v>
      </c>
      <c r="F196" s="349">
        <v>2119299.1013739696</v>
      </c>
      <c r="G196" s="246">
        <v>2543686.9803708741</v>
      </c>
      <c r="H196" s="349">
        <f t="shared" si="7"/>
        <v>424387.87899690447</v>
      </c>
      <c r="I196" s="349">
        <v>342484.69961632963</v>
      </c>
      <c r="J196" s="246">
        <f>VLOOKUP(B196,'M) Police'!B196:O504,14,FALSE)</f>
        <v>366897.73693733558</v>
      </c>
      <c r="K196" s="349">
        <f t="shared" si="8"/>
        <v>24413.037321005948</v>
      </c>
    </row>
    <row r="197" spans="1:11" x14ac:dyDescent="0.25">
      <c r="A197" s="162">
        <f>+'B) D RI'!A198</f>
        <v>5719</v>
      </c>
      <c r="B197" s="482" t="str">
        <f>+'B) D RI'!B198</f>
        <v>Gingins</v>
      </c>
      <c r="C197" s="478">
        <v>2427738.1463237233</v>
      </c>
      <c r="D197" s="246">
        <f>VLOOKUP(B197,Synthèse!B197:F505,5,FALSE)</f>
        <v>3765629.0145840207</v>
      </c>
      <c r="E197" s="349">
        <f t="shared" si="6"/>
        <v>1337890.8682602975</v>
      </c>
      <c r="F197" s="349">
        <v>1472619.8304760184</v>
      </c>
      <c r="G197" s="246">
        <v>1901071.2917066377</v>
      </c>
      <c r="H197" s="349">
        <f t="shared" si="7"/>
        <v>428451.46123061934</v>
      </c>
      <c r="I197" s="349">
        <v>220538.55677651</v>
      </c>
      <c r="J197" s="246">
        <f>VLOOKUP(B197,'M) Police'!B197:O505,14,FALSE)</f>
        <v>243597.99923870002</v>
      </c>
      <c r="K197" s="349">
        <f t="shared" si="8"/>
        <v>23059.442462190025</v>
      </c>
    </row>
    <row r="198" spans="1:11" x14ac:dyDescent="0.25">
      <c r="A198" s="162">
        <f>+'B) D RI'!A199</f>
        <v>5720</v>
      </c>
      <c r="B198" s="482" t="str">
        <f>+'B) D RI'!B199</f>
        <v>Givrins</v>
      </c>
      <c r="C198" s="478">
        <v>2256585.4687344367</v>
      </c>
      <c r="D198" s="246">
        <f>VLOOKUP(B198,Synthèse!B198:F506,5,FALSE)</f>
        <v>1500983.7034522528</v>
      </c>
      <c r="E198" s="349">
        <f t="shared" si="6"/>
        <v>-755601.76528218389</v>
      </c>
      <c r="F198" s="349">
        <v>1241783.0849649291</v>
      </c>
      <c r="G198" s="246">
        <v>1118366.043353779</v>
      </c>
      <c r="H198" s="349">
        <f t="shared" si="7"/>
        <v>-123417.04161115014</v>
      </c>
      <c r="I198" s="349">
        <v>180871.77814769692</v>
      </c>
      <c r="J198" s="246">
        <f>VLOOKUP(B198,'M) Police'!B198:O506,14,FALSE)</f>
        <v>170388.78972844838</v>
      </c>
      <c r="K198" s="349">
        <f t="shared" si="8"/>
        <v>-10482.988419248548</v>
      </c>
    </row>
    <row r="199" spans="1:11" x14ac:dyDescent="0.25">
      <c r="A199" s="162">
        <f>+'B) D RI'!A200</f>
        <v>5721</v>
      </c>
      <c r="B199" s="482" t="str">
        <f>+'B) D RI'!B200</f>
        <v>Gland</v>
      </c>
      <c r="C199" s="478">
        <v>11052446.063227879</v>
      </c>
      <c r="D199" s="246">
        <f>VLOOKUP(B199,Synthèse!B199:F507,5,FALSE)</f>
        <v>12945226.622092666</v>
      </c>
      <c r="E199" s="349">
        <f t="shared" ref="E199:E262" si="9">+D199-C199</f>
        <v>1892780.5588647872</v>
      </c>
      <c r="F199" s="349">
        <v>2979765.8441017084</v>
      </c>
      <c r="G199" s="246">
        <v>3392369.8669964103</v>
      </c>
      <c r="H199" s="349">
        <f t="shared" ref="H199:H262" si="10">+G199-F199</f>
        <v>412604.02289470192</v>
      </c>
      <c r="I199" s="349">
        <v>1782986.4326868826</v>
      </c>
      <c r="J199" s="246">
        <f>VLOOKUP(B199,'M) Police'!B199:O507,14,FALSE)</f>
        <v>1856686.1519915534</v>
      </c>
      <c r="K199" s="349">
        <f t="shared" ref="K199:K262" si="11">+J199-I199</f>
        <v>73699.719304670813</v>
      </c>
    </row>
    <row r="200" spans="1:11" x14ac:dyDescent="0.25">
      <c r="A200" s="162">
        <f>+'B) D RI'!A201</f>
        <v>5722</v>
      </c>
      <c r="B200" s="482" t="str">
        <f>+'B) D RI'!B201</f>
        <v>Grens</v>
      </c>
      <c r="C200" s="478">
        <v>412627.17655559327</v>
      </c>
      <c r="D200" s="246">
        <f>VLOOKUP(B200,Synthèse!B200:F508,5,FALSE)</f>
        <v>482148.924654615</v>
      </c>
      <c r="E200" s="349">
        <f t="shared" si="9"/>
        <v>69521.74809902173</v>
      </c>
      <c r="F200" s="349">
        <v>378396.58566453634</v>
      </c>
      <c r="G200" s="246">
        <v>412420.67835652403</v>
      </c>
      <c r="H200" s="349">
        <f t="shared" si="10"/>
        <v>34024.092691987695</v>
      </c>
      <c r="I200" s="349">
        <v>62215.513299844271</v>
      </c>
      <c r="J200" s="246">
        <f>VLOOKUP(B200,'M) Police'!B200:O508,14,FALSE)</f>
        <v>63127.421425235909</v>
      </c>
      <c r="K200" s="349">
        <f t="shared" si="11"/>
        <v>911.90812539163744</v>
      </c>
    </row>
    <row r="201" spans="1:11" x14ac:dyDescent="0.25">
      <c r="A201" s="162">
        <f>+'B) D RI'!A202</f>
        <v>5723</v>
      </c>
      <c r="B201" s="482" t="str">
        <f>+'B) D RI'!B202</f>
        <v>Mies</v>
      </c>
      <c r="C201" s="478">
        <v>8095204.627054086</v>
      </c>
      <c r="D201" s="246">
        <f>VLOOKUP(B201,Synthèse!B201:F509,5,FALSE)</f>
        <v>15194332.995138463</v>
      </c>
      <c r="E201" s="349">
        <f t="shared" si="9"/>
        <v>7099128.3680843767</v>
      </c>
      <c r="F201" s="349">
        <v>3509132.3032205678</v>
      </c>
      <c r="G201" s="246">
        <v>5463878.7181169353</v>
      </c>
      <c r="H201" s="349">
        <f t="shared" si="10"/>
        <v>1954746.4148963676</v>
      </c>
      <c r="I201" s="349">
        <v>430577.6993339014</v>
      </c>
      <c r="J201" s="246">
        <f>VLOOKUP(B201,'M) Police'!B201:O509,14,FALSE)</f>
        <v>573061.16989167884</v>
      </c>
      <c r="K201" s="349">
        <f t="shared" si="11"/>
        <v>142483.47055777744</v>
      </c>
    </row>
    <row r="202" spans="1:11" x14ac:dyDescent="0.25">
      <c r="A202" s="162">
        <f>+'B) D RI'!A203</f>
        <v>5724</v>
      </c>
      <c r="B202" s="482" t="str">
        <f>+'B) D RI'!B203</f>
        <v>Nyon</v>
      </c>
      <c r="C202" s="478">
        <v>30949377.893902253</v>
      </c>
      <c r="D202" s="246">
        <f>VLOOKUP(B202,Synthèse!B202:F510,5,FALSE)</f>
        <v>28764022.981017608</v>
      </c>
      <c r="E202" s="349">
        <f t="shared" si="9"/>
        <v>-2185354.9128846452</v>
      </c>
      <c r="F202" s="349">
        <v>9403856.9949212614</v>
      </c>
      <c r="G202" s="246">
        <v>7631898.3669898761</v>
      </c>
      <c r="H202" s="349">
        <f t="shared" si="10"/>
        <v>-1771958.6279313853</v>
      </c>
      <c r="I202" s="349">
        <v>1750825.2507682983</v>
      </c>
      <c r="J202" s="246">
        <f>VLOOKUP(B202,'M) Police'!B202:O510,14,FALSE)</f>
        <v>1582721.3728438234</v>
      </c>
      <c r="K202" s="349">
        <f t="shared" si="11"/>
        <v>-168103.87792447489</v>
      </c>
    </row>
    <row r="203" spans="1:11" x14ac:dyDescent="0.25">
      <c r="A203" s="162">
        <f>+'B) D RI'!A204</f>
        <v>5725</v>
      </c>
      <c r="B203" s="482" t="str">
        <f>+'B) D RI'!B204</f>
        <v>Prangins</v>
      </c>
      <c r="C203" s="478">
        <v>6585361.2292803526</v>
      </c>
      <c r="D203" s="246">
        <f>VLOOKUP(B203,Synthèse!B203:F511,5,FALSE)</f>
        <v>6582484.5492756665</v>
      </c>
      <c r="E203" s="349">
        <f t="shared" si="9"/>
        <v>-2876.6800046861172</v>
      </c>
      <c r="F203" s="349">
        <v>3631683.7312863888</v>
      </c>
      <c r="G203" s="246">
        <v>3863928.2455772958</v>
      </c>
      <c r="H203" s="349">
        <f t="shared" si="10"/>
        <v>232244.51429090695</v>
      </c>
      <c r="I203" s="349">
        <v>354376.25764330523</v>
      </c>
      <c r="J203" s="246">
        <f>VLOOKUP(B203,'M) Police'!B203:O511,14,FALSE)</f>
        <v>348016.42897660605</v>
      </c>
      <c r="K203" s="349">
        <f t="shared" si="11"/>
        <v>-6359.8286666991771</v>
      </c>
    </row>
    <row r="204" spans="1:11" x14ac:dyDescent="0.25">
      <c r="A204" s="162">
        <f>+'B) D RI'!A205</f>
        <v>5726</v>
      </c>
      <c r="B204" s="482" t="str">
        <f>+'B) D RI'!B205</f>
        <v>La Rippe</v>
      </c>
      <c r="C204" s="478">
        <v>1142309.8257116869</v>
      </c>
      <c r="D204" s="246">
        <f>VLOOKUP(B204,Synthèse!B204:F512,5,FALSE)</f>
        <v>1026537.4361890843</v>
      </c>
      <c r="E204" s="349">
        <f t="shared" si="9"/>
        <v>-115772.38952260255</v>
      </c>
      <c r="F204" s="349">
        <v>986643.34011541563</v>
      </c>
      <c r="G204" s="246">
        <v>895877.02160180814</v>
      </c>
      <c r="H204" s="349">
        <f t="shared" si="10"/>
        <v>-90766.31851360749</v>
      </c>
      <c r="I204" s="349">
        <v>174514.16133195965</v>
      </c>
      <c r="J204" s="246">
        <f>VLOOKUP(B204,'M) Police'!B204:O512,14,FALSE)</f>
        <v>170846.33750841921</v>
      </c>
      <c r="K204" s="349">
        <f t="shared" si="11"/>
        <v>-3667.8238235404424</v>
      </c>
    </row>
    <row r="205" spans="1:11" x14ac:dyDescent="0.25">
      <c r="A205" s="162">
        <f>+'B) D RI'!A206</f>
        <v>5727</v>
      </c>
      <c r="B205" s="482" t="str">
        <f>+'B) D RI'!B206</f>
        <v>Saint-Cergue</v>
      </c>
      <c r="C205" s="478">
        <v>1787141.8483030512</v>
      </c>
      <c r="D205" s="246">
        <f>VLOOKUP(B205,Synthèse!B205:F513,5,FALSE)</f>
        <v>1849548.039450109</v>
      </c>
      <c r="E205" s="349">
        <f t="shared" si="9"/>
        <v>62406.191147057805</v>
      </c>
      <c r="F205" s="349">
        <v>721495.58598478558</v>
      </c>
      <c r="G205" s="246">
        <v>707585.44119071378</v>
      </c>
      <c r="H205" s="349">
        <f t="shared" si="10"/>
        <v>-13910.144794071792</v>
      </c>
      <c r="I205" s="349">
        <v>295047.24464790046</v>
      </c>
      <c r="J205" s="246">
        <f>VLOOKUP(B205,'M) Police'!B205:O513,14,FALSE)</f>
        <v>311195.02984953433</v>
      </c>
      <c r="K205" s="349">
        <f t="shared" si="11"/>
        <v>16147.785201633873</v>
      </c>
    </row>
    <row r="206" spans="1:11" x14ac:dyDescent="0.25">
      <c r="A206" s="162">
        <f>+'B) D RI'!A207</f>
        <v>5728</v>
      </c>
      <c r="B206" s="482" t="str">
        <f>+'B) D RI'!B207</f>
        <v>Signy-Avenex</v>
      </c>
      <c r="C206" s="478">
        <v>801728.54781464487</v>
      </c>
      <c r="D206" s="246">
        <f>VLOOKUP(B206,Synthèse!B206:F514,5,FALSE)</f>
        <v>865786.15202256362</v>
      </c>
      <c r="E206" s="349">
        <f t="shared" si="9"/>
        <v>64057.604207918746</v>
      </c>
      <c r="F206" s="349">
        <v>544309.0482057092</v>
      </c>
      <c r="G206" s="246">
        <v>634577.64703331061</v>
      </c>
      <c r="H206" s="349">
        <f t="shared" si="10"/>
        <v>90268.59882760141</v>
      </c>
      <c r="I206" s="349">
        <v>83470.664469229785</v>
      </c>
      <c r="J206" s="246">
        <f>VLOOKUP(B206,'M) Police'!B206:O514,14,FALSE)</f>
        <v>95205.506184744198</v>
      </c>
      <c r="K206" s="349">
        <f t="shared" si="11"/>
        <v>11734.841715514412</v>
      </c>
    </row>
    <row r="207" spans="1:11" x14ac:dyDescent="0.25">
      <c r="A207" s="162">
        <f>+'B) D RI'!A208</f>
        <v>5729</v>
      </c>
      <c r="B207" s="482" t="str">
        <f>+'B) D RI'!B208</f>
        <v>Tannay</v>
      </c>
      <c r="C207" s="478">
        <v>3758973.5658648908</v>
      </c>
      <c r="D207" s="246">
        <f>VLOOKUP(B207,Synthèse!B207:F515,5,FALSE)</f>
        <v>5306054.6151741222</v>
      </c>
      <c r="E207" s="349">
        <f t="shared" si="9"/>
        <v>1547081.0493092313</v>
      </c>
      <c r="F207" s="349">
        <v>2004033.471929128</v>
      </c>
      <c r="G207" s="246">
        <v>2454960.0123541495</v>
      </c>
      <c r="H207" s="349">
        <f t="shared" si="10"/>
        <v>450926.54042502143</v>
      </c>
      <c r="I207" s="349">
        <v>285680.8224117572</v>
      </c>
      <c r="J207" s="246">
        <f>VLOOKUP(B207,'M) Police'!B207:O515,14,FALSE)</f>
        <v>321577.44266641908</v>
      </c>
      <c r="K207" s="349">
        <f t="shared" si="11"/>
        <v>35896.620254661888</v>
      </c>
    </row>
    <row r="208" spans="1:11" x14ac:dyDescent="0.25">
      <c r="A208" s="162">
        <f>+'B) D RI'!A209</f>
        <v>5730</v>
      </c>
      <c r="B208" s="482" t="str">
        <f>+'B) D RI'!B209</f>
        <v>Trélex</v>
      </c>
      <c r="C208" s="478">
        <v>3938365.0373841785</v>
      </c>
      <c r="D208" s="246">
        <f>VLOOKUP(B208,Synthèse!B208:F516,5,FALSE)</f>
        <v>2346118.9873624584</v>
      </c>
      <c r="E208" s="349">
        <f t="shared" si="9"/>
        <v>-1592246.0500217201</v>
      </c>
      <c r="F208" s="349">
        <v>2124684.6970745269</v>
      </c>
      <c r="G208" s="246">
        <v>1560094.6451357822</v>
      </c>
      <c r="H208" s="349">
        <f t="shared" si="10"/>
        <v>-564590.05193874473</v>
      </c>
      <c r="I208" s="349">
        <v>288471.7754974463</v>
      </c>
      <c r="J208" s="246">
        <f>VLOOKUP(B208,'M) Police'!B208:O516,14,FALSE)</f>
        <v>243103.40322338563</v>
      </c>
      <c r="K208" s="349">
        <f t="shared" si="11"/>
        <v>-45368.372274060675</v>
      </c>
    </row>
    <row r="209" spans="1:11" x14ac:dyDescent="0.25">
      <c r="A209" s="162">
        <f>+'B) D RI'!A210</f>
        <v>5731</v>
      </c>
      <c r="B209" s="482" t="str">
        <f>+'B) D RI'!B210</f>
        <v>Le Vaud</v>
      </c>
      <c r="C209" s="478">
        <v>872324.31997431803</v>
      </c>
      <c r="D209" s="246">
        <f>VLOOKUP(B209,Synthèse!B209:F517,5,FALSE)</f>
        <v>946813.68987342319</v>
      </c>
      <c r="E209" s="349">
        <f t="shared" si="9"/>
        <v>74489.369899105164</v>
      </c>
      <c r="F209" s="349">
        <v>330944.570127949</v>
      </c>
      <c r="G209" s="246">
        <v>493295.2801559096</v>
      </c>
      <c r="H209" s="349">
        <f t="shared" si="10"/>
        <v>162350.71002796059</v>
      </c>
      <c r="I209" s="349">
        <v>149107.69426043163</v>
      </c>
      <c r="J209" s="246">
        <f>VLOOKUP(B209,'M) Police'!B209:O517,14,FALSE)</f>
        <v>158403.48789238214</v>
      </c>
      <c r="K209" s="349">
        <f t="shared" si="11"/>
        <v>9295.7936319505097</v>
      </c>
    </row>
    <row r="210" spans="1:11" x14ac:dyDescent="0.25">
      <c r="A210" s="162">
        <f>+'B) D RI'!A211</f>
        <v>5732</v>
      </c>
      <c r="B210" s="482" t="str">
        <f>+'B) D RI'!B211</f>
        <v>Vich</v>
      </c>
      <c r="C210" s="478">
        <v>1446886.7119681616</v>
      </c>
      <c r="D210" s="246">
        <f>VLOOKUP(B210,Synthèse!B210:F518,5,FALSE)</f>
        <v>1386853.1800851633</v>
      </c>
      <c r="E210" s="349">
        <f t="shared" si="9"/>
        <v>-60033.531882998301</v>
      </c>
      <c r="F210" s="349">
        <v>937623.45458474394</v>
      </c>
      <c r="G210" s="246">
        <v>296797.83143855666</v>
      </c>
      <c r="H210" s="349">
        <f t="shared" si="10"/>
        <v>-640825.62314618728</v>
      </c>
      <c r="I210" s="349">
        <v>148691.53263412468</v>
      </c>
      <c r="J210" s="246">
        <f>VLOOKUP(B210,'M) Police'!B210:O518,14,FALSE)</f>
        <v>165190.29211589048</v>
      </c>
      <c r="K210" s="349">
        <f t="shared" si="11"/>
        <v>16498.759481765795</v>
      </c>
    </row>
    <row r="211" spans="1:11" x14ac:dyDescent="0.25">
      <c r="A211" s="162">
        <f>+'B) D RI'!A212</f>
        <v>5741</v>
      </c>
      <c r="B211" s="482" t="str">
        <f>+'B) D RI'!B212</f>
        <v>L'Abergement</v>
      </c>
      <c r="C211" s="478">
        <v>124764.22785456685</v>
      </c>
      <c r="D211" s="246">
        <f>VLOOKUP(B211,Synthèse!B211:F519,5,FALSE)</f>
        <v>131701.5711203611</v>
      </c>
      <c r="E211" s="349">
        <f t="shared" si="9"/>
        <v>6937.3432657942467</v>
      </c>
      <c r="F211" s="349">
        <v>-83287.136445397657</v>
      </c>
      <c r="G211" s="246">
        <v>-89030.035499577338</v>
      </c>
      <c r="H211" s="349">
        <f t="shared" si="10"/>
        <v>-5742.8990541796811</v>
      </c>
      <c r="I211" s="349">
        <v>22509.748607531168</v>
      </c>
      <c r="J211" s="246">
        <f>VLOOKUP(B211,'M) Police'!B211:O519,14,FALSE)</f>
        <v>20654.49610640181</v>
      </c>
      <c r="K211" s="349">
        <f t="shared" si="11"/>
        <v>-1855.2525011293583</v>
      </c>
    </row>
    <row r="212" spans="1:11" x14ac:dyDescent="0.25">
      <c r="A212" s="162">
        <f>+'B) D RI'!A213</f>
        <v>5742</v>
      </c>
      <c r="B212" s="482" t="str">
        <f>+'B) D RI'!B213</f>
        <v>Agiez</v>
      </c>
      <c r="C212" s="478">
        <v>147868.00441222131</v>
      </c>
      <c r="D212" s="246">
        <f>VLOOKUP(B212,Synthèse!B212:F520,5,FALSE)</f>
        <v>178587.69917752672</v>
      </c>
      <c r="E212" s="349">
        <f t="shared" si="9"/>
        <v>30719.694765305409</v>
      </c>
      <c r="F212" s="349">
        <v>14210.032420789379</v>
      </c>
      <c r="G212" s="246">
        <v>26585.232760977749</v>
      </c>
      <c r="H212" s="349">
        <f t="shared" si="10"/>
        <v>12375.20034018837</v>
      </c>
      <c r="I212" s="349">
        <v>29757.427520010402</v>
      </c>
      <c r="J212" s="246">
        <f>VLOOKUP(B212,'M) Police'!B212:O520,14,FALSE)</f>
        <v>29366.277755731244</v>
      </c>
      <c r="K212" s="349">
        <f t="shared" si="11"/>
        <v>-391.14976427915826</v>
      </c>
    </row>
    <row r="213" spans="1:11" x14ac:dyDescent="0.25">
      <c r="A213" s="162">
        <f>+'B) D RI'!A214</f>
        <v>5743</v>
      </c>
      <c r="B213" s="482" t="str">
        <f>+'B) D RI'!B214</f>
        <v>Arnex-sur-Orbe</v>
      </c>
      <c r="C213" s="478">
        <v>311392.30298334977</v>
      </c>
      <c r="D213" s="246">
        <f>VLOOKUP(B213,Synthèse!B213:F521,5,FALSE)</f>
        <v>349654.81215632847</v>
      </c>
      <c r="E213" s="349">
        <f t="shared" si="9"/>
        <v>38262.509172978695</v>
      </c>
      <c r="F213" s="349">
        <v>-8763.2344224505869</v>
      </c>
      <c r="G213" s="246">
        <v>-78205.309427001353</v>
      </c>
      <c r="H213" s="349">
        <f t="shared" si="10"/>
        <v>-69442.075004550774</v>
      </c>
      <c r="I213" s="349">
        <v>55973.023402599691</v>
      </c>
      <c r="J213" s="246">
        <f>VLOOKUP(B213,'M) Police'!B213:O521,14,FALSE)</f>
        <v>55132.922846092115</v>
      </c>
      <c r="K213" s="349">
        <f t="shared" si="11"/>
        <v>-840.10055650757567</v>
      </c>
    </row>
    <row r="214" spans="1:11" x14ac:dyDescent="0.25">
      <c r="A214" s="162">
        <f>+'B) D RI'!A215</f>
        <v>5744</v>
      </c>
      <c r="B214" s="482" t="str">
        <f>+'B) D RI'!B215</f>
        <v>Ballaigues</v>
      </c>
      <c r="C214" s="478">
        <v>1098975.0407234184</v>
      </c>
      <c r="D214" s="246">
        <f>VLOOKUP(B214,Synthèse!B214:F522,5,FALSE)</f>
        <v>1371784.3811454633</v>
      </c>
      <c r="E214" s="349">
        <f t="shared" si="9"/>
        <v>272809.34042204497</v>
      </c>
      <c r="F214" s="349">
        <v>453309.44220041984</v>
      </c>
      <c r="G214" s="246">
        <v>692506.57471047249</v>
      </c>
      <c r="H214" s="349">
        <f t="shared" si="10"/>
        <v>239197.13251005264</v>
      </c>
      <c r="I214" s="349">
        <v>161934.93429881794</v>
      </c>
      <c r="J214" s="246">
        <f>VLOOKUP(B214,'M) Police'!B214:O522,14,FALSE)</f>
        <v>169752.20358903354</v>
      </c>
      <c r="K214" s="349">
        <f t="shared" si="11"/>
        <v>7817.2692902155977</v>
      </c>
    </row>
    <row r="215" spans="1:11" x14ac:dyDescent="0.25">
      <c r="A215" s="162">
        <f>+'B) D RI'!A216</f>
        <v>5745</v>
      </c>
      <c r="B215" s="482" t="str">
        <f>+'B) D RI'!B216</f>
        <v>Baulmes</v>
      </c>
      <c r="C215" s="478">
        <v>519988.36446226499</v>
      </c>
      <c r="D215" s="246">
        <f>VLOOKUP(B215,Synthèse!B215:F523,5,FALSE)</f>
        <v>479833.56832664274</v>
      </c>
      <c r="E215" s="349">
        <f t="shared" si="9"/>
        <v>-40154.796135622251</v>
      </c>
      <c r="F215" s="349">
        <v>-342555.83449266944</v>
      </c>
      <c r="G215" s="246">
        <v>-345991.73201351834</v>
      </c>
      <c r="H215" s="349">
        <f t="shared" si="10"/>
        <v>-3435.8975208488991</v>
      </c>
      <c r="I215" s="349">
        <v>88920.880831823801</v>
      </c>
      <c r="J215" s="246">
        <f>VLOOKUP(B215,'M) Police'!B215:O523,14,FALSE)</f>
        <v>80188.094552091221</v>
      </c>
      <c r="K215" s="349">
        <f t="shared" si="11"/>
        <v>-8732.7862797325797</v>
      </c>
    </row>
    <row r="216" spans="1:11" x14ac:dyDescent="0.25">
      <c r="A216" s="162">
        <f>+'B) D RI'!A217</f>
        <v>5746</v>
      </c>
      <c r="B216" s="482" t="str">
        <f>+'B) D RI'!B217</f>
        <v>Bavois</v>
      </c>
      <c r="C216" s="478">
        <v>439401.07500116469</v>
      </c>
      <c r="D216" s="246">
        <f>VLOOKUP(B216,Synthèse!B216:F524,5,FALSE)</f>
        <v>473736.33254514833</v>
      </c>
      <c r="E216" s="349">
        <f t="shared" si="9"/>
        <v>34335.257543983636</v>
      </c>
      <c r="F216" s="349">
        <v>-198621.99203681154</v>
      </c>
      <c r="G216" s="246">
        <v>-127035.74362912375</v>
      </c>
      <c r="H216" s="349">
        <f t="shared" si="10"/>
        <v>71586.248407687788</v>
      </c>
      <c r="I216" s="349">
        <v>75698.972656544633</v>
      </c>
      <c r="J216" s="246">
        <f>VLOOKUP(B216,'M) Police'!B216:O524,14,FALSE)</f>
        <v>79986.718631639815</v>
      </c>
      <c r="K216" s="349">
        <f t="shared" si="11"/>
        <v>4287.7459750951821</v>
      </c>
    </row>
    <row r="217" spans="1:11" x14ac:dyDescent="0.25">
      <c r="A217" s="162">
        <f>+'B) D RI'!A218</f>
        <v>5747</v>
      </c>
      <c r="B217" s="482" t="str">
        <f>+'B) D RI'!B218</f>
        <v>Bofflens</v>
      </c>
      <c r="C217" s="478">
        <v>87334.711014053464</v>
      </c>
      <c r="D217" s="246">
        <f>VLOOKUP(B217,Synthèse!B217:F525,5,FALSE)</f>
        <v>81697.960968204206</v>
      </c>
      <c r="E217" s="349">
        <f t="shared" si="9"/>
        <v>-5636.7500458492577</v>
      </c>
      <c r="F217" s="349">
        <v>11702.77128084677</v>
      </c>
      <c r="G217" s="246">
        <v>15706.683730767279</v>
      </c>
      <c r="H217" s="349">
        <f t="shared" si="10"/>
        <v>4003.91244992051</v>
      </c>
      <c r="I217" s="349">
        <v>16574.179037580048</v>
      </c>
      <c r="J217" s="246">
        <f>VLOOKUP(B217,'M) Police'!B217:O525,14,FALSE)</f>
        <v>16743.3842912814</v>
      </c>
      <c r="K217" s="349">
        <f t="shared" si="11"/>
        <v>169.20525370135147</v>
      </c>
    </row>
    <row r="218" spans="1:11" x14ac:dyDescent="0.25">
      <c r="A218" s="162">
        <f>+'B) D RI'!A219</f>
        <v>5748</v>
      </c>
      <c r="B218" s="482" t="str">
        <f>+'B) D RI'!B219</f>
        <v>Bretonnières</v>
      </c>
      <c r="C218" s="478">
        <v>121384.86712763886</v>
      </c>
      <c r="D218" s="246">
        <f>VLOOKUP(B218,Synthèse!B218:F526,5,FALSE)</f>
        <v>224340.86024347559</v>
      </c>
      <c r="E218" s="349">
        <f t="shared" si="9"/>
        <v>102955.99311583673</v>
      </c>
      <c r="F218" s="349">
        <v>-60050.031430242088</v>
      </c>
      <c r="G218" s="246">
        <v>-8336.953226770318</v>
      </c>
      <c r="H218" s="349">
        <f t="shared" si="10"/>
        <v>51713.07820347177</v>
      </c>
      <c r="I218" s="349">
        <v>19638.068941715217</v>
      </c>
      <c r="J218" s="246">
        <f>VLOOKUP(B218,'M) Police'!B218:O526,14,FALSE)</f>
        <v>23875.249915586544</v>
      </c>
      <c r="K218" s="349">
        <f t="shared" si="11"/>
        <v>4237.1809738713273</v>
      </c>
    </row>
    <row r="219" spans="1:11" x14ac:dyDescent="0.25">
      <c r="A219" s="162">
        <f>+'B) D RI'!A220</f>
        <v>5749</v>
      </c>
      <c r="B219" s="482" t="str">
        <f>+'B) D RI'!B220</f>
        <v>Chavornay</v>
      </c>
      <c r="C219" s="478">
        <v>2262350.7448085584</v>
      </c>
      <c r="D219" s="246">
        <f>VLOOKUP(B219,Synthèse!B219:F527,5,FALSE)</f>
        <v>2486586.8798103984</v>
      </c>
      <c r="E219" s="349">
        <f t="shared" si="9"/>
        <v>224236.13500184007</v>
      </c>
      <c r="F219" s="349">
        <v>-1495689.2401666769</v>
      </c>
      <c r="G219" s="246">
        <v>-1459622.9814593145</v>
      </c>
      <c r="H219" s="349">
        <f t="shared" si="10"/>
        <v>36066.25870736246</v>
      </c>
      <c r="I219" s="349">
        <v>396344.40735227708</v>
      </c>
      <c r="J219" s="246">
        <f>VLOOKUP(B219,'M) Police'!B219:O527,14,FALSE)</f>
        <v>421189.62175265339</v>
      </c>
      <c r="K219" s="349">
        <f t="shared" si="11"/>
        <v>24845.21440037631</v>
      </c>
    </row>
    <row r="220" spans="1:11" x14ac:dyDescent="0.25">
      <c r="A220" s="162">
        <f>+'B) D RI'!A221</f>
        <v>5750</v>
      </c>
      <c r="B220" s="482" t="str">
        <f>+'B) D RI'!B221</f>
        <v>Les Clées</v>
      </c>
      <c r="C220" s="478">
        <v>73584.683406702039</v>
      </c>
      <c r="D220" s="246">
        <f>VLOOKUP(B220,Synthèse!B220:F528,5,FALSE)</f>
        <v>86234.962199050438</v>
      </c>
      <c r="E220" s="349">
        <f t="shared" si="9"/>
        <v>12650.278792348399</v>
      </c>
      <c r="F220" s="349">
        <v>-64812.679675402032</v>
      </c>
      <c r="G220" s="246">
        <v>-10132.981402637895</v>
      </c>
      <c r="H220" s="349">
        <f t="shared" si="10"/>
        <v>54679.698272764137</v>
      </c>
      <c r="I220" s="349">
        <v>14073.163396701866</v>
      </c>
      <c r="J220" s="246">
        <f>VLOOKUP(B220,'M) Police'!B220:O528,14,FALSE)</f>
        <v>15864.638371180601</v>
      </c>
      <c r="K220" s="349">
        <f t="shared" si="11"/>
        <v>1791.474974478735</v>
      </c>
    </row>
    <row r="221" spans="1:11" x14ac:dyDescent="0.25">
      <c r="A221" s="162">
        <f>+'B) D RI'!A222</f>
        <v>5752</v>
      </c>
      <c r="B221" s="482" t="str">
        <f>+'B) D RI'!B222</f>
        <v>Croy</v>
      </c>
      <c r="C221" s="478">
        <v>243221.05909964745</v>
      </c>
      <c r="D221" s="246">
        <f>VLOOKUP(B221,Synthèse!B221:F529,5,FALSE)</f>
        <v>190603.58927053402</v>
      </c>
      <c r="E221" s="349">
        <f t="shared" si="9"/>
        <v>-52617.469829113426</v>
      </c>
      <c r="F221" s="349">
        <v>-134367.84827125017</v>
      </c>
      <c r="G221" s="246">
        <v>-51199.847889446566</v>
      </c>
      <c r="H221" s="349">
        <f t="shared" si="10"/>
        <v>83168.000381803606</v>
      </c>
      <c r="I221" s="349">
        <v>41896.086331234357</v>
      </c>
      <c r="J221" s="246">
        <f>VLOOKUP(B221,'M) Police'!B221:O529,14,FALSE)</f>
        <v>34980.389557213515</v>
      </c>
      <c r="K221" s="349">
        <f t="shared" si="11"/>
        <v>-6915.696774020842</v>
      </c>
    </row>
    <row r="222" spans="1:11" x14ac:dyDescent="0.25">
      <c r="A222" s="162">
        <f>+'B) D RI'!A223</f>
        <v>5754</v>
      </c>
      <c r="B222" s="482" t="str">
        <f>+'B) D RI'!B223</f>
        <v>Juriens</v>
      </c>
      <c r="C222" s="478">
        <v>119394.06790567972</v>
      </c>
      <c r="D222" s="246">
        <f>VLOOKUP(B222,Synthèse!B222:F530,5,FALSE)</f>
        <v>126729.78733424401</v>
      </c>
      <c r="E222" s="349">
        <f t="shared" si="9"/>
        <v>7335.7194285642909</v>
      </c>
      <c r="F222" s="349">
        <v>-112698.1073376791</v>
      </c>
      <c r="G222" s="246">
        <v>-77127.066088575419</v>
      </c>
      <c r="H222" s="349">
        <f t="shared" si="10"/>
        <v>35571.041249103684</v>
      </c>
      <c r="I222" s="349">
        <v>20702.687124639517</v>
      </c>
      <c r="J222" s="246">
        <f>VLOOKUP(B222,'M) Police'!B222:O530,14,FALSE)</f>
        <v>25444.049059583034</v>
      </c>
      <c r="K222" s="349">
        <f t="shared" si="11"/>
        <v>4741.3619349435176</v>
      </c>
    </row>
    <row r="223" spans="1:11" x14ac:dyDescent="0.25">
      <c r="A223" s="162">
        <f>+'B) D RI'!A224</f>
        <v>5755</v>
      </c>
      <c r="B223" s="482" t="str">
        <f>+'B) D RI'!B224</f>
        <v>Lignerolle</v>
      </c>
      <c r="C223" s="478">
        <v>179489.16426014414</v>
      </c>
      <c r="D223" s="246">
        <f>VLOOKUP(B223,Synthèse!B223:F531,5,FALSE)</f>
        <v>164714.17439963049</v>
      </c>
      <c r="E223" s="349">
        <f t="shared" si="9"/>
        <v>-14774.989860513655</v>
      </c>
      <c r="F223" s="349">
        <v>-386925.41260430578</v>
      </c>
      <c r="G223" s="246">
        <v>-273478.06899768801</v>
      </c>
      <c r="H223" s="349">
        <f t="shared" si="10"/>
        <v>113447.34360661777</v>
      </c>
      <c r="I223" s="349">
        <v>28447.925283172219</v>
      </c>
      <c r="J223" s="246">
        <f>VLOOKUP(B223,'M) Police'!B223:O531,14,FALSE)</f>
        <v>29026.403056349904</v>
      </c>
      <c r="K223" s="349">
        <f t="shared" si="11"/>
        <v>578.47777317768487</v>
      </c>
    </row>
    <row r="224" spans="1:11" x14ac:dyDescent="0.25">
      <c r="A224" s="162">
        <f>+'B) D RI'!A225</f>
        <v>5756</v>
      </c>
      <c r="B224" s="482" t="str">
        <f>+'B) D RI'!B225</f>
        <v>Montcherand</v>
      </c>
      <c r="C224" s="478">
        <v>263544.77071191696</v>
      </c>
      <c r="D224" s="246">
        <f>VLOOKUP(B224,Synthèse!B224:F532,5,FALSE)</f>
        <v>305093.69649804628</v>
      </c>
      <c r="E224" s="349">
        <f t="shared" si="9"/>
        <v>41548.925786129315</v>
      </c>
      <c r="F224" s="349">
        <v>53801.802796226686</v>
      </c>
      <c r="G224" s="246">
        <v>201654.29646286275</v>
      </c>
      <c r="H224" s="349">
        <f t="shared" si="10"/>
        <v>147852.49366663606</v>
      </c>
      <c r="I224" s="349">
        <v>19879.567879319759</v>
      </c>
      <c r="J224" s="246">
        <f>VLOOKUP(B224,'M) Police'!B224:O532,14,FALSE)</f>
        <v>23243.851055625997</v>
      </c>
      <c r="K224" s="349">
        <f t="shared" si="11"/>
        <v>3364.2831763062386</v>
      </c>
    </row>
    <row r="225" spans="1:11" x14ac:dyDescent="0.25">
      <c r="A225" s="162">
        <f>+'B) D RI'!A226</f>
        <v>5757</v>
      </c>
      <c r="B225" s="482" t="str">
        <f>+'B) D RI'!B226</f>
        <v>Orbe</v>
      </c>
      <c r="C225" s="478">
        <v>4500300.8506862083</v>
      </c>
      <c r="D225" s="246">
        <f>VLOOKUP(B225,Synthèse!B225:F533,5,FALSE)</f>
        <v>4321235.9480329342</v>
      </c>
      <c r="E225" s="349">
        <f t="shared" si="9"/>
        <v>-179064.90265327413</v>
      </c>
      <c r="F225" s="349">
        <v>-2454727.8258272894</v>
      </c>
      <c r="G225" s="246">
        <v>-3199896.9721854767</v>
      </c>
      <c r="H225" s="349">
        <f t="shared" si="10"/>
        <v>-745169.14635818731</v>
      </c>
      <c r="I225" s="349">
        <v>282495.66430381843</v>
      </c>
      <c r="J225" s="246">
        <f>VLOOKUP(B225,'M) Police'!B225:O533,14,FALSE)</f>
        <v>255702.14167509385</v>
      </c>
      <c r="K225" s="349">
        <f t="shared" si="11"/>
        <v>-26793.522628724575</v>
      </c>
    </row>
    <row r="226" spans="1:11" x14ac:dyDescent="0.25">
      <c r="A226" s="162">
        <f>+'B) D RI'!A227</f>
        <v>5758</v>
      </c>
      <c r="B226" s="482" t="str">
        <f>+'B) D RI'!B227</f>
        <v>La Praz</v>
      </c>
      <c r="C226" s="478">
        <v>66315.441727133613</v>
      </c>
      <c r="D226" s="246">
        <f>VLOOKUP(B226,Synthèse!B226:F534,5,FALSE)</f>
        <v>74885.359072156352</v>
      </c>
      <c r="E226" s="349">
        <f t="shared" si="9"/>
        <v>8569.917345022739</v>
      </c>
      <c r="F226" s="349">
        <v>-65034.329842509418</v>
      </c>
      <c r="G226" s="246">
        <v>-82983.826312042016</v>
      </c>
      <c r="H226" s="349">
        <f t="shared" si="10"/>
        <v>-17949.496469532598</v>
      </c>
      <c r="I226" s="349">
        <v>12388.276157611899</v>
      </c>
      <c r="J226" s="246">
        <f>VLOOKUP(B226,'M) Police'!B226:O534,14,FALSE)</f>
        <v>9907.5646488245402</v>
      </c>
      <c r="K226" s="349">
        <f t="shared" si="11"/>
        <v>-2480.711508787359</v>
      </c>
    </row>
    <row r="227" spans="1:11" x14ac:dyDescent="0.25">
      <c r="A227" s="162">
        <f>+'B) D RI'!A228</f>
        <v>5759</v>
      </c>
      <c r="B227" s="482" t="str">
        <f>+'B) D RI'!B228</f>
        <v>Premier</v>
      </c>
      <c r="C227" s="478">
        <v>81212.521702802289</v>
      </c>
      <c r="D227" s="246">
        <f>VLOOKUP(B227,Synthèse!B227:F535,5,FALSE)</f>
        <v>90572.846933108929</v>
      </c>
      <c r="E227" s="349">
        <f t="shared" si="9"/>
        <v>9360.3252303066402</v>
      </c>
      <c r="F227" s="349">
        <v>-71135.601804580918</v>
      </c>
      <c r="G227" s="246">
        <v>-84698.05037492713</v>
      </c>
      <c r="H227" s="349">
        <f t="shared" si="10"/>
        <v>-13562.448570346212</v>
      </c>
      <c r="I227" s="349">
        <v>14607.278032813674</v>
      </c>
      <c r="J227" s="246">
        <f>VLOOKUP(B227,'M) Police'!B227:O535,14,FALSE)</f>
        <v>14698.146372996158</v>
      </c>
      <c r="K227" s="349">
        <f t="shared" si="11"/>
        <v>90.868340182483735</v>
      </c>
    </row>
    <row r="228" spans="1:11" x14ac:dyDescent="0.25">
      <c r="A228" s="162">
        <f>+'B) D RI'!A229</f>
        <v>5760</v>
      </c>
      <c r="B228" s="482" t="str">
        <f>+'B) D RI'!B229</f>
        <v>Rances</v>
      </c>
      <c r="C228" s="478">
        <v>203291.77336548912</v>
      </c>
      <c r="D228" s="246">
        <f>VLOOKUP(B228,Synthèse!B228:F536,5,FALSE)</f>
        <v>180440.33287868102</v>
      </c>
      <c r="E228" s="349">
        <f t="shared" si="9"/>
        <v>-22851.440486808104</v>
      </c>
      <c r="F228" s="349">
        <v>-206582.13094335844</v>
      </c>
      <c r="G228" s="246">
        <v>-371314.85090311838</v>
      </c>
      <c r="H228" s="349">
        <f t="shared" si="10"/>
        <v>-164732.71995975994</v>
      </c>
      <c r="I228" s="349">
        <v>36812.643950876489</v>
      </c>
      <c r="J228" s="246">
        <f>VLOOKUP(B228,'M) Police'!B228:O536,14,FALSE)</f>
        <v>32232.011793555223</v>
      </c>
      <c r="K228" s="349">
        <f t="shared" si="11"/>
        <v>-4580.6321573212663</v>
      </c>
    </row>
    <row r="229" spans="1:11" x14ac:dyDescent="0.25">
      <c r="A229" s="162">
        <f>+'B) D RI'!A230</f>
        <v>5761</v>
      </c>
      <c r="B229" s="482" t="str">
        <f>+'B) D RI'!B230</f>
        <v>Romainmôtier-Envy</v>
      </c>
      <c r="C229" s="478">
        <v>218894.16937877104</v>
      </c>
      <c r="D229" s="246">
        <f>VLOOKUP(B229,Synthèse!B229:F537,5,FALSE)</f>
        <v>251761.2741865399</v>
      </c>
      <c r="E229" s="349">
        <f t="shared" si="9"/>
        <v>32867.104807768861</v>
      </c>
      <c r="F229" s="349">
        <v>-184095.86199013871</v>
      </c>
      <c r="G229" s="246">
        <v>-199023.90138349214</v>
      </c>
      <c r="H229" s="349">
        <f t="shared" si="10"/>
        <v>-14928.039393353421</v>
      </c>
      <c r="I229" s="349">
        <v>35966.767529179167</v>
      </c>
      <c r="J229" s="246">
        <f>VLOOKUP(B229,'M) Police'!B229:O537,14,FALSE)</f>
        <v>39831.668520524901</v>
      </c>
      <c r="K229" s="349">
        <f t="shared" si="11"/>
        <v>3864.9009913457339</v>
      </c>
    </row>
    <row r="230" spans="1:11" x14ac:dyDescent="0.25">
      <c r="A230" s="162">
        <f>+'B) D RI'!A231</f>
        <v>5762</v>
      </c>
      <c r="B230" s="482" t="str">
        <f>+'B) D RI'!B231</f>
        <v>Sergey</v>
      </c>
      <c r="C230" s="478">
        <v>49445.562021432983</v>
      </c>
      <c r="D230" s="246">
        <f>VLOOKUP(B230,Synthèse!B230:F538,5,FALSE)</f>
        <v>63858.700165224014</v>
      </c>
      <c r="E230" s="349">
        <f t="shared" si="9"/>
        <v>14413.138143791031</v>
      </c>
      <c r="F230" s="349">
        <v>-48485.91856132244</v>
      </c>
      <c r="G230" s="246">
        <v>8911.7150481699973</v>
      </c>
      <c r="H230" s="349">
        <f t="shared" si="10"/>
        <v>57397.633609492434</v>
      </c>
      <c r="I230" s="349">
        <v>9929.9642954999035</v>
      </c>
      <c r="J230" s="246">
        <f>VLOOKUP(B230,'M) Police'!B230:O538,14,FALSE)</f>
        <v>12617.402674274561</v>
      </c>
      <c r="K230" s="349">
        <f t="shared" si="11"/>
        <v>2687.4383787746574</v>
      </c>
    </row>
    <row r="231" spans="1:11" x14ac:dyDescent="0.25">
      <c r="A231" s="162">
        <f>+'B) D RI'!A232</f>
        <v>5763</v>
      </c>
      <c r="B231" s="482" t="str">
        <f>+'B) D RI'!B232</f>
        <v>Valeyres-sous-Rances</v>
      </c>
      <c r="C231" s="478">
        <v>307764.98864502372</v>
      </c>
      <c r="D231" s="246">
        <f>VLOOKUP(B231,Synthèse!B231:F539,5,FALSE)</f>
        <v>339463.93086287304</v>
      </c>
      <c r="E231" s="349">
        <f t="shared" si="9"/>
        <v>31698.942217849311</v>
      </c>
      <c r="F231" s="349">
        <v>-66441.759268129972</v>
      </c>
      <c r="G231" s="246">
        <v>54676.948746811715</v>
      </c>
      <c r="H231" s="349">
        <f t="shared" si="10"/>
        <v>121118.70801494169</v>
      </c>
      <c r="I231" s="349">
        <v>51536.521741748824</v>
      </c>
      <c r="J231" s="246">
        <f>VLOOKUP(B231,'M) Police'!B231:O539,14,FALSE)</f>
        <v>62247.829739515262</v>
      </c>
      <c r="K231" s="349">
        <f t="shared" si="11"/>
        <v>10711.307997766438</v>
      </c>
    </row>
    <row r="232" spans="1:11" x14ac:dyDescent="0.25">
      <c r="A232" s="162">
        <f>+'B) D RI'!A233</f>
        <v>5764</v>
      </c>
      <c r="B232" s="482" t="str">
        <f>+'B) D RI'!B233</f>
        <v>Vallorbe</v>
      </c>
      <c r="C232" s="478">
        <v>2225024.065690083</v>
      </c>
      <c r="D232" s="246">
        <f>VLOOKUP(B232,Synthèse!B232:F540,5,FALSE)</f>
        <v>2032940.1633834571</v>
      </c>
      <c r="E232" s="349">
        <f t="shared" si="9"/>
        <v>-192083.90230662585</v>
      </c>
      <c r="F232" s="349">
        <v>-2734454.5755595006</v>
      </c>
      <c r="G232" s="246">
        <v>-3557803.1270707184</v>
      </c>
      <c r="H232" s="349">
        <f t="shared" si="10"/>
        <v>-823348.55151121784</v>
      </c>
      <c r="I232" s="349">
        <v>271307.81657611748</v>
      </c>
      <c r="J232" s="246">
        <f>VLOOKUP(B232,'M) Police'!B232:O540,14,FALSE)</f>
        <v>258484.37550441906</v>
      </c>
      <c r="K232" s="349">
        <f t="shared" si="11"/>
        <v>-12823.441071698413</v>
      </c>
    </row>
    <row r="233" spans="1:11" x14ac:dyDescent="0.25">
      <c r="A233" s="162">
        <f>+'B) D RI'!A234</f>
        <v>5765</v>
      </c>
      <c r="B233" s="482" t="str">
        <f>+'B) D RI'!B234</f>
        <v>Vaulion</v>
      </c>
      <c r="C233" s="478">
        <v>202026.61431023435</v>
      </c>
      <c r="D233" s="246">
        <f>VLOOKUP(B233,Synthèse!B233:F541,5,FALSE)</f>
        <v>167988.21464778448</v>
      </c>
      <c r="E233" s="349">
        <f t="shared" si="9"/>
        <v>-34038.399662449869</v>
      </c>
      <c r="F233" s="349">
        <v>-365286.08652285289</v>
      </c>
      <c r="G233" s="246">
        <v>-349770.73467409634</v>
      </c>
      <c r="H233" s="349">
        <f t="shared" si="10"/>
        <v>15515.351848756545</v>
      </c>
      <c r="I233" s="349">
        <v>29709.414371230003</v>
      </c>
      <c r="J233" s="246">
        <f>VLOOKUP(B233,'M) Police'!B233:O541,14,FALSE)</f>
        <v>29668.242868939778</v>
      </c>
      <c r="K233" s="349">
        <f t="shared" si="11"/>
        <v>-41.171502290224453</v>
      </c>
    </row>
    <row r="234" spans="1:11" x14ac:dyDescent="0.25">
      <c r="A234" s="162">
        <f>+'B) D RI'!A235</f>
        <v>5766</v>
      </c>
      <c r="B234" s="482" t="str">
        <f>+'B) D RI'!B235</f>
        <v>Vuiteboeuf</v>
      </c>
      <c r="C234" s="478">
        <v>220235.52413524041</v>
      </c>
      <c r="D234" s="246">
        <f>VLOOKUP(B234,Synthèse!B234:F542,5,FALSE)</f>
        <v>241647.72267559939</v>
      </c>
      <c r="E234" s="349">
        <f t="shared" si="9"/>
        <v>21412.198540358979</v>
      </c>
      <c r="F234" s="349">
        <v>-213782.90077681121</v>
      </c>
      <c r="G234" s="246">
        <v>-199201.93209473902</v>
      </c>
      <c r="H234" s="349">
        <f t="shared" si="10"/>
        <v>14580.968682072184</v>
      </c>
      <c r="I234" s="349">
        <v>36964.04037124462</v>
      </c>
      <c r="J234" s="246">
        <f>VLOOKUP(B234,'M) Police'!B234:O542,14,FALSE)</f>
        <v>40361.46011742211</v>
      </c>
      <c r="K234" s="349">
        <f t="shared" si="11"/>
        <v>3397.4197461774893</v>
      </c>
    </row>
    <row r="235" spans="1:11" x14ac:dyDescent="0.25">
      <c r="A235" s="162">
        <f>+'B) D RI'!A236</f>
        <v>5785</v>
      </c>
      <c r="B235" s="482" t="str">
        <f>+'B) D RI'!B236</f>
        <v>Corcelles-le-Jorat</v>
      </c>
      <c r="C235" s="478">
        <v>211182.65157050273</v>
      </c>
      <c r="D235" s="246">
        <f>VLOOKUP(B235,Synthèse!B235:F543,5,FALSE)</f>
        <v>264866.27870905271</v>
      </c>
      <c r="E235" s="349">
        <f t="shared" si="9"/>
        <v>53683.627138549986</v>
      </c>
      <c r="F235" s="349">
        <v>-72946.327037109964</v>
      </c>
      <c r="G235" s="246">
        <v>105686.52128174085</v>
      </c>
      <c r="H235" s="349">
        <f t="shared" si="10"/>
        <v>178632.8483188508</v>
      </c>
      <c r="I235" s="349">
        <v>39445.855479399557</v>
      </c>
      <c r="J235" s="246">
        <f>VLOOKUP(B235,'M) Police'!B235:O543,14,FALSE)</f>
        <v>47730.314766527903</v>
      </c>
      <c r="K235" s="349">
        <f t="shared" si="11"/>
        <v>8284.4592871283457</v>
      </c>
    </row>
    <row r="236" spans="1:11" x14ac:dyDescent="0.25">
      <c r="A236" s="162">
        <f>+'B) D RI'!A237</f>
        <v>5788</v>
      </c>
      <c r="B236" s="482" t="str">
        <f>+'B) D RI'!B237</f>
        <v>Essertes</v>
      </c>
      <c r="C236" s="478">
        <v>183364.16799234782</v>
      </c>
      <c r="D236" s="246">
        <f>VLOOKUP(B236,Synthèse!B236:F544,5,FALSE)</f>
        <v>235411.52447845467</v>
      </c>
      <c r="E236" s="349">
        <f t="shared" si="9"/>
        <v>52047.356486106844</v>
      </c>
      <c r="F236" s="349">
        <v>37595.791469529882</v>
      </c>
      <c r="G236" s="246">
        <v>83425.954225098452</v>
      </c>
      <c r="H236" s="349">
        <f t="shared" si="10"/>
        <v>45830.16275556857</v>
      </c>
      <c r="I236" s="349">
        <v>33233.7295218605</v>
      </c>
      <c r="J236" s="246">
        <f>VLOOKUP(B236,'M) Police'!B236:O544,14,FALSE)</f>
        <v>35893.823565530925</v>
      </c>
      <c r="K236" s="349">
        <f t="shared" si="11"/>
        <v>2660.0940436704259</v>
      </c>
    </row>
    <row r="237" spans="1:11" x14ac:dyDescent="0.25">
      <c r="A237" s="162">
        <f>+'B) D RI'!A238</f>
        <v>5790</v>
      </c>
      <c r="B237" s="482" t="str">
        <f>+'B) D RI'!B238</f>
        <v>Maracon</v>
      </c>
      <c r="C237" s="478">
        <v>295622.0782696298</v>
      </c>
      <c r="D237" s="246">
        <f>VLOOKUP(B237,Synthèse!B237:F545,5,FALSE)</f>
        <v>237511.6860228951</v>
      </c>
      <c r="E237" s="349">
        <f t="shared" si="9"/>
        <v>-58110.3922467347</v>
      </c>
      <c r="F237" s="349">
        <v>-100998.58988021259</v>
      </c>
      <c r="G237" s="246">
        <v>-147762.76540321513</v>
      </c>
      <c r="H237" s="349">
        <f t="shared" si="10"/>
        <v>-46764.175523002545</v>
      </c>
      <c r="I237" s="349">
        <v>38642.677486393201</v>
      </c>
      <c r="J237" s="246">
        <f>VLOOKUP(B237,'M) Police'!B237:O545,14,FALSE)</f>
        <v>37284.563240371936</v>
      </c>
      <c r="K237" s="349">
        <f t="shared" si="11"/>
        <v>-1358.114246021265</v>
      </c>
    </row>
    <row r="238" spans="1:11" x14ac:dyDescent="0.25">
      <c r="A238" s="162">
        <f>+'B) D RI'!A239</f>
        <v>5792</v>
      </c>
      <c r="B238" s="482" t="str">
        <f>+'B) D RI'!B239</f>
        <v>Montpreveyres</v>
      </c>
      <c r="C238" s="478">
        <v>325395.3453943698</v>
      </c>
      <c r="D238" s="246">
        <f>VLOOKUP(B238,Synthèse!B238:F546,5,FALSE)</f>
        <v>324249.03204841894</v>
      </c>
      <c r="E238" s="349">
        <f t="shared" si="9"/>
        <v>-1146.3133459508535</v>
      </c>
      <c r="F238" s="349">
        <v>-20217.431336787937</v>
      </c>
      <c r="G238" s="246">
        <v>-101912.78859694776</v>
      </c>
      <c r="H238" s="349">
        <f t="shared" si="10"/>
        <v>-81695.357260159828</v>
      </c>
      <c r="I238" s="349">
        <v>61195.588426140326</v>
      </c>
      <c r="J238" s="246">
        <f>VLOOKUP(B238,'M) Police'!B238:O546,14,FALSE)</f>
        <v>54127.577326825631</v>
      </c>
      <c r="K238" s="349">
        <f t="shared" si="11"/>
        <v>-7068.0110993146955</v>
      </c>
    </row>
    <row r="239" spans="1:11" x14ac:dyDescent="0.25">
      <c r="A239" s="162">
        <f>+'B) D RI'!A240</f>
        <v>5798</v>
      </c>
      <c r="B239" s="482" t="str">
        <f>+'B) D RI'!B240</f>
        <v>Ropraz</v>
      </c>
      <c r="C239" s="478">
        <v>191754.87095531469</v>
      </c>
      <c r="D239" s="246">
        <f>VLOOKUP(B239,Synthèse!B239:F547,5,FALSE)</f>
        <v>264744.90352427377</v>
      </c>
      <c r="E239" s="349">
        <f t="shared" si="9"/>
        <v>72990.032568959083</v>
      </c>
      <c r="F239" s="349">
        <v>-148121.91150853701</v>
      </c>
      <c r="G239" s="246">
        <v>-8295.615475348779</v>
      </c>
      <c r="H239" s="349">
        <f t="shared" si="10"/>
        <v>139826.29603318824</v>
      </c>
      <c r="I239" s="349">
        <v>30911.354047076238</v>
      </c>
      <c r="J239" s="246">
        <f>VLOOKUP(B239,'M) Police'!B239:O547,14,FALSE)</f>
        <v>43916.435136881679</v>
      </c>
      <c r="K239" s="349">
        <f t="shared" si="11"/>
        <v>13005.081089805441</v>
      </c>
    </row>
    <row r="240" spans="1:11" x14ac:dyDescent="0.25">
      <c r="A240" s="162">
        <f>+'B) D RI'!A241</f>
        <v>5799</v>
      </c>
      <c r="B240" s="482" t="str">
        <f>+'B) D RI'!B241</f>
        <v>Servion</v>
      </c>
      <c r="C240" s="478">
        <v>1041372.6790878657</v>
      </c>
      <c r="D240" s="246">
        <f>VLOOKUP(B240,Synthèse!B240:F548,5,FALSE)</f>
        <v>1110739.9246754455</v>
      </c>
      <c r="E240" s="349">
        <f t="shared" si="9"/>
        <v>69367.24558757979</v>
      </c>
      <c r="F240" s="349">
        <v>-308195.29506179696</v>
      </c>
      <c r="G240" s="246">
        <v>246127.39377256428</v>
      </c>
      <c r="H240" s="349">
        <f t="shared" si="10"/>
        <v>554322.68883436127</v>
      </c>
      <c r="I240" s="349">
        <v>161692.97520912095</v>
      </c>
      <c r="J240" s="246">
        <f>VLOOKUP(B240,'M) Police'!B240:O548,14,FALSE)</f>
        <v>202949.88443269226</v>
      </c>
      <c r="K240" s="349">
        <f t="shared" si="11"/>
        <v>41256.909223571303</v>
      </c>
    </row>
    <row r="241" spans="1:11" x14ac:dyDescent="0.25">
      <c r="A241" s="162">
        <f>+'B) D RI'!A242</f>
        <v>5803</v>
      </c>
      <c r="B241" s="482" t="str">
        <f>+'B) D RI'!B242</f>
        <v>Vulliens</v>
      </c>
      <c r="C241" s="478">
        <v>281986.55631341483</v>
      </c>
      <c r="D241" s="246">
        <f>VLOOKUP(B241,Synthèse!B241:F549,5,FALSE)</f>
        <v>279215.43554320635</v>
      </c>
      <c r="E241" s="349">
        <f t="shared" si="9"/>
        <v>-2771.1207702084794</v>
      </c>
      <c r="F241" s="349">
        <v>-87686.711279017516</v>
      </c>
      <c r="G241" s="246">
        <v>42520.30486206933</v>
      </c>
      <c r="H241" s="349">
        <f t="shared" si="10"/>
        <v>130207.01614108685</v>
      </c>
      <c r="I241" s="349">
        <v>40403.577273046991</v>
      </c>
      <c r="J241" s="246">
        <f>VLOOKUP(B241,'M) Police'!B241:O549,14,FALSE)</f>
        <v>48629.653174160238</v>
      </c>
      <c r="K241" s="349">
        <f t="shared" si="11"/>
        <v>8226.0759011132468</v>
      </c>
    </row>
    <row r="242" spans="1:11" x14ac:dyDescent="0.25">
      <c r="A242" s="162">
        <f>+'B) D RI'!A243</f>
        <v>5804</v>
      </c>
      <c r="B242" s="482" t="str">
        <f>+'B) D RI'!B243</f>
        <v>Jorat-Menthue</v>
      </c>
      <c r="C242" s="478">
        <v>755636.67805854103</v>
      </c>
      <c r="D242" s="246">
        <f>VLOOKUP(B242,Synthèse!B242:F550,5,FALSE)</f>
        <v>827870.83574876795</v>
      </c>
      <c r="E242" s="349">
        <f t="shared" si="9"/>
        <v>72234.157690226915</v>
      </c>
      <c r="F242" s="349">
        <v>-460403.35689583037</v>
      </c>
      <c r="G242" s="246">
        <v>-432264.69071254833</v>
      </c>
      <c r="H242" s="349">
        <f t="shared" si="10"/>
        <v>28138.666183282039</v>
      </c>
      <c r="I242" s="349">
        <v>131224.63420202729</v>
      </c>
      <c r="J242" s="246">
        <f>VLOOKUP(B242,'M) Police'!B242:O550,14,FALSE)</f>
        <v>145336.07321300838</v>
      </c>
      <c r="K242" s="349">
        <f t="shared" si="11"/>
        <v>14111.439010981092</v>
      </c>
    </row>
    <row r="243" spans="1:11" x14ac:dyDescent="0.25">
      <c r="A243" s="162">
        <f>+'B) D RI'!A244</f>
        <v>5805</v>
      </c>
      <c r="B243" s="482" t="str">
        <f>+'B) D RI'!B244</f>
        <v>Oron</v>
      </c>
      <c r="C243" s="478">
        <v>2735670.5198557889</v>
      </c>
      <c r="D243" s="246">
        <f>VLOOKUP(B243,Synthèse!B243:F551,5,FALSE)</f>
        <v>2676047.4748714445</v>
      </c>
      <c r="E243" s="349">
        <f t="shared" si="9"/>
        <v>-59623.044984344393</v>
      </c>
      <c r="F243" s="349">
        <v>-1845130.4145042542</v>
      </c>
      <c r="G243" s="246">
        <v>-2111126.4694420514</v>
      </c>
      <c r="H243" s="349">
        <f t="shared" si="10"/>
        <v>-265996.05493779713</v>
      </c>
      <c r="I243" s="349">
        <v>465300.65226635942</v>
      </c>
      <c r="J243" s="246">
        <f>VLOOKUP(B243,'M) Police'!B243:O551,14,FALSE)</f>
        <v>454941.13398129155</v>
      </c>
      <c r="K243" s="349">
        <f t="shared" si="11"/>
        <v>-10359.518285067868</v>
      </c>
    </row>
    <row r="244" spans="1:11" x14ac:dyDescent="0.25">
      <c r="A244" s="162">
        <f>+'B) D RI'!A245</f>
        <v>5806</v>
      </c>
      <c r="B244" s="482" t="str">
        <f>+'B) D RI'!B245</f>
        <v>Jorat-Mézières</v>
      </c>
      <c r="C244" s="478">
        <v>1508674.9304982913</v>
      </c>
      <c r="D244" s="246">
        <f>VLOOKUP(B244,Synthèse!B244:F552,5,FALSE)</f>
        <v>1543554.7027185629</v>
      </c>
      <c r="E244" s="349">
        <f t="shared" si="9"/>
        <v>34879.77222027164</v>
      </c>
      <c r="F244" s="349">
        <v>-734364.17199606681</v>
      </c>
      <c r="G244" s="246">
        <v>-432264.59758396511</v>
      </c>
      <c r="H244" s="349">
        <f t="shared" si="10"/>
        <v>302099.57441210171</v>
      </c>
      <c r="I244" s="349">
        <v>266015.76241591736</v>
      </c>
      <c r="J244" s="246">
        <f>VLOOKUP(B244,'M) Police'!B244:O552,14,FALSE)</f>
        <v>266149.15956178197</v>
      </c>
      <c r="K244" s="349">
        <f t="shared" si="11"/>
        <v>133.39714586461196</v>
      </c>
    </row>
    <row r="245" spans="1:11" x14ac:dyDescent="0.25">
      <c r="A245" s="162">
        <f>+'B) D RI'!A246</f>
        <v>5812</v>
      </c>
      <c r="B245" s="482" t="str">
        <f>+'B) D RI'!B246</f>
        <v>Champtauroz</v>
      </c>
      <c r="C245" s="478">
        <v>55110.423186755273</v>
      </c>
      <c r="D245" s="246">
        <f>VLOOKUP(B245,Synthèse!B245:F553,5,FALSE)</f>
        <v>49924.327134521453</v>
      </c>
      <c r="E245" s="349">
        <f t="shared" si="9"/>
        <v>-5186.096052233821</v>
      </c>
      <c r="F245" s="349">
        <v>-84929.569588585291</v>
      </c>
      <c r="G245" s="246">
        <v>-83184.410351968749</v>
      </c>
      <c r="H245" s="349">
        <f t="shared" si="10"/>
        <v>1745.1592366165423</v>
      </c>
      <c r="I245" s="349">
        <v>7711.8087607143543</v>
      </c>
      <c r="J245" s="246">
        <f>VLOOKUP(B245,'M) Police'!B245:O553,14,FALSE)</f>
        <v>7399.191254008234</v>
      </c>
      <c r="K245" s="349">
        <f t="shared" si="11"/>
        <v>-312.61750670612037</v>
      </c>
    </row>
    <row r="246" spans="1:11" x14ac:dyDescent="0.25">
      <c r="A246" s="162">
        <f>+'B) D RI'!A247</f>
        <v>5813</v>
      </c>
      <c r="B246" s="482" t="str">
        <f>+'B) D RI'!B247</f>
        <v>Chevroux</v>
      </c>
      <c r="C246" s="478">
        <v>213150.78206427876</v>
      </c>
      <c r="D246" s="246">
        <f>VLOOKUP(B246,Synthèse!B246:F554,5,FALSE)</f>
        <v>277670.89785740804</v>
      </c>
      <c r="E246" s="349">
        <f t="shared" si="9"/>
        <v>64520.115793129284</v>
      </c>
      <c r="F246" s="349">
        <v>20302.167538674323</v>
      </c>
      <c r="G246" s="246">
        <v>32510.244059001558</v>
      </c>
      <c r="H246" s="349">
        <f t="shared" si="10"/>
        <v>12208.076520327235</v>
      </c>
      <c r="I246" s="349">
        <v>36751.202071124157</v>
      </c>
      <c r="J246" s="246">
        <f>VLOOKUP(B246,'M) Police'!B246:O554,14,FALSE)</f>
        <v>40905.896418421107</v>
      </c>
      <c r="K246" s="349">
        <f t="shared" si="11"/>
        <v>4154.6943472969506</v>
      </c>
    </row>
    <row r="247" spans="1:11" x14ac:dyDescent="0.25">
      <c r="A247" s="162">
        <f>+'B) D RI'!A248</f>
        <v>5816</v>
      </c>
      <c r="B247" s="482" t="str">
        <f>+'B) D RI'!B248</f>
        <v>Corcelles-près-Payerne</v>
      </c>
      <c r="C247" s="478">
        <v>1062635.0502406014</v>
      </c>
      <c r="D247" s="246">
        <f>VLOOKUP(B247,Synthèse!B247:F555,5,FALSE)</f>
        <v>1028848.2769847336</v>
      </c>
      <c r="E247" s="349">
        <f t="shared" si="9"/>
        <v>-33786.773255867767</v>
      </c>
      <c r="F247" s="349">
        <v>-727411.94858426834</v>
      </c>
      <c r="G247" s="246">
        <v>-879533.77251153125</v>
      </c>
      <c r="H247" s="349">
        <f t="shared" si="10"/>
        <v>-152121.82392726291</v>
      </c>
      <c r="I247" s="349">
        <v>169220.75785318005</v>
      </c>
      <c r="J247" s="246">
        <f>VLOOKUP(B247,'M) Police'!B247:O555,14,FALSE)</f>
        <v>178104.08879155116</v>
      </c>
      <c r="K247" s="349">
        <f t="shared" si="11"/>
        <v>8883.3309383711021</v>
      </c>
    </row>
    <row r="248" spans="1:11" x14ac:dyDescent="0.25">
      <c r="A248" s="162">
        <f>+'B) D RI'!A249</f>
        <v>5817</v>
      </c>
      <c r="B248" s="482" t="str">
        <f>+'B) D RI'!B249</f>
        <v>Grandcour</v>
      </c>
      <c r="C248" s="478">
        <v>364465.47620807576</v>
      </c>
      <c r="D248" s="246">
        <f>VLOOKUP(B248,Synthèse!B248:F556,5,FALSE)</f>
        <v>397309.38300139492</v>
      </c>
      <c r="E248" s="349">
        <f t="shared" si="9"/>
        <v>32843.906793319155</v>
      </c>
      <c r="F248" s="349">
        <v>-223420.26677826152</v>
      </c>
      <c r="G248" s="246">
        <v>-228601.64853924961</v>
      </c>
      <c r="H248" s="349">
        <f t="shared" si="10"/>
        <v>-5181.3817609880934</v>
      </c>
      <c r="I248" s="349">
        <v>67163.107435752027</v>
      </c>
      <c r="J248" s="246">
        <f>VLOOKUP(B248,'M) Police'!B248:O556,14,FALSE)</f>
        <v>69279.436182257137</v>
      </c>
      <c r="K248" s="349">
        <f t="shared" si="11"/>
        <v>2116.3287465051108</v>
      </c>
    </row>
    <row r="249" spans="1:11" x14ac:dyDescent="0.25">
      <c r="A249" s="162">
        <f>+'B) D RI'!A250</f>
        <v>5819</v>
      </c>
      <c r="B249" s="482" t="str">
        <f>+'B) D RI'!B250</f>
        <v>Henniez</v>
      </c>
      <c r="C249" s="478">
        <v>228552.31022968539</v>
      </c>
      <c r="D249" s="246">
        <f>VLOOKUP(B249,Synthèse!B249:F557,5,FALSE)</f>
        <v>258546.23857148798</v>
      </c>
      <c r="E249" s="349">
        <f t="shared" si="9"/>
        <v>29993.928341802588</v>
      </c>
      <c r="F249" s="349">
        <v>105473.26434972631</v>
      </c>
      <c r="G249" s="246">
        <v>170653.93400591539</v>
      </c>
      <c r="H249" s="349">
        <f t="shared" si="10"/>
        <v>65180.669656189086</v>
      </c>
      <c r="I249" s="349">
        <v>41603.212594214492</v>
      </c>
      <c r="J249" s="246">
        <f>VLOOKUP(B249,'M) Police'!B249:O557,14,FALSE)</f>
        <v>45818.163646767338</v>
      </c>
      <c r="K249" s="349">
        <f t="shared" si="11"/>
        <v>4214.9510525528458</v>
      </c>
    </row>
    <row r="250" spans="1:11" x14ac:dyDescent="0.25">
      <c r="A250" s="162">
        <f>+'B) D RI'!A251</f>
        <v>5821</v>
      </c>
      <c r="B250" s="482" t="str">
        <f>+'B) D RI'!B251</f>
        <v>Missy</v>
      </c>
      <c r="C250" s="478">
        <v>162114.09053757269</v>
      </c>
      <c r="D250" s="246">
        <f>VLOOKUP(B250,Synthèse!B250:F558,5,FALSE)</f>
        <v>121378.18226160484</v>
      </c>
      <c r="E250" s="349">
        <f t="shared" si="9"/>
        <v>-40735.908275967842</v>
      </c>
      <c r="F250" s="349">
        <v>-138059.79068362658</v>
      </c>
      <c r="G250" s="246">
        <v>-77840.446063023206</v>
      </c>
      <c r="H250" s="349">
        <f t="shared" si="10"/>
        <v>60219.34462060337</v>
      </c>
      <c r="I250" s="349">
        <v>23279.074825363659</v>
      </c>
      <c r="J250" s="246">
        <f>VLOOKUP(B250,'M) Police'!B250:O558,14,FALSE)</f>
        <v>23352.578284262167</v>
      </c>
      <c r="K250" s="349">
        <f t="shared" si="11"/>
        <v>73.503458898507233</v>
      </c>
    </row>
    <row r="251" spans="1:11" x14ac:dyDescent="0.25">
      <c r="A251" s="162">
        <f>+'B) D RI'!A252</f>
        <v>5822</v>
      </c>
      <c r="B251" s="482" t="str">
        <f>+'B) D RI'!B252</f>
        <v>Payerne</v>
      </c>
      <c r="C251" s="478">
        <v>4169309.6142388908</v>
      </c>
      <c r="D251" s="246">
        <f>VLOOKUP(B251,Synthèse!B251:F559,5,FALSE)</f>
        <v>4411743.234723418</v>
      </c>
      <c r="E251" s="349">
        <f t="shared" si="9"/>
        <v>242433.6204845272</v>
      </c>
      <c r="F251" s="349">
        <v>-5536667.775996523</v>
      </c>
      <c r="G251" s="246">
        <v>-5653938.4739095988</v>
      </c>
      <c r="H251" s="349">
        <f t="shared" si="10"/>
        <v>-117270.6979130758</v>
      </c>
      <c r="I251" s="349">
        <v>714599.15344259061</v>
      </c>
      <c r="J251" s="246">
        <f>VLOOKUP(B251,'M) Police'!B251:O559,14,FALSE)</f>
        <v>760173.83106664615</v>
      </c>
      <c r="K251" s="349">
        <f t="shared" si="11"/>
        <v>45574.677624055534</v>
      </c>
    </row>
    <row r="252" spans="1:11" x14ac:dyDescent="0.25">
      <c r="A252" s="162">
        <f>+'B) D RI'!A253</f>
        <v>5827</v>
      </c>
      <c r="B252" s="482" t="str">
        <f>+'B) D RI'!B253</f>
        <v>Trey</v>
      </c>
      <c r="C252" s="478">
        <v>127602.19692773039</v>
      </c>
      <c r="D252" s="246">
        <f>VLOOKUP(B252,Synthèse!B252:F560,5,FALSE)</f>
        <v>116664.19303053818</v>
      </c>
      <c r="E252" s="349">
        <f t="shared" si="9"/>
        <v>-10938.003897192204</v>
      </c>
      <c r="F252" s="349">
        <v>-69067.228357780783</v>
      </c>
      <c r="G252" s="246">
        <v>-86900.534305601235</v>
      </c>
      <c r="H252" s="349">
        <f t="shared" si="10"/>
        <v>-17833.305947820452</v>
      </c>
      <c r="I252" s="349">
        <v>21032.939865394648</v>
      </c>
      <c r="J252" s="246">
        <f>VLOOKUP(B252,'M) Police'!B252:O560,14,FALSE)</f>
        <v>20996.878430317069</v>
      </c>
      <c r="K252" s="349">
        <f t="shared" si="11"/>
        <v>-36.061435077579517</v>
      </c>
    </row>
    <row r="253" spans="1:11" x14ac:dyDescent="0.25">
      <c r="A253" s="162">
        <f>+'B) D RI'!A254</f>
        <v>5828</v>
      </c>
      <c r="B253" s="482" t="str">
        <f>+'B) D RI'!B254</f>
        <v>Treytorrens (Payerne)</v>
      </c>
      <c r="C253" s="478">
        <v>41317.405842686196</v>
      </c>
      <c r="D253" s="246">
        <f>VLOOKUP(B253,Synthèse!B253:F561,5,FALSE)</f>
        <v>52259.784046705681</v>
      </c>
      <c r="E253" s="349">
        <f t="shared" si="9"/>
        <v>10942.378204019486</v>
      </c>
      <c r="F253" s="349">
        <v>-109264.52302975371</v>
      </c>
      <c r="G253" s="246">
        <v>-111995.34857228224</v>
      </c>
      <c r="H253" s="349">
        <f t="shared" si="10"/>
        <v>-2730.8255425285315</v>
      </c>
      <c r="I253" s="349">
        <v>6816.2265701182077</v>
      </c>
      <c r="J253" s="246">
        <f>VLOOKUP(B253,'M) Police'!B253:O561,14,FALSE)</f>
        <v>7047.3117761786525</v>
      </c>
      <c r="K253" s="349">
        <f t="shared" si="11"/>
        <v>231.08520606044476</v>
      </c>
    </row>
    <row r="254" spans="1:11" x14ac:dyDescent="0.25">
      <c r="A254" s="162">
        <f>+'B) D RI'!A255</f>
        <v>5830</v>
      </c>
      <c r="B254" s="482" t="str">
        <f>+'B) D RI'!B255</f>
        <v>Villarzel</v>
      </c>
      <c r="C254" s="478">
        <v>174653.18413551888</v>
      </c>
      <c r="D254" s="246">
        <f>VLOOKUP(B254,Synthèse!B254:F562,5,FALSE)</f>
        <v>189395.0059925564</v>
      </c>
      <c r="E254" s="349">
        <f t="shared" si="9"/>
        <v>14741.821857037517</v>
      </c>
      <c r="F254" s="349">
        <v>-156873.53128339536</v>
      </c>
      <c r="G254" s="246">
        <v>-161133.49277095275</v>
      </c>
      <c r="H254" s="349">
        <f t="shared" si="10"/>
        <v>-4259.9614875573898</v>
      </c>
      <c r="I254" s="349">
        <v>32842.795850217917</v>
      </c>
      <c r="J254" s="246">
        <f>VLOOKUP(B254,'M) Police'!B254:O562,14,FALSE)</f>
        <v>32707.681997203996</v>
      </c>
      <c r="K254" s="349">
        <f t="shared" si="11"/>
        <v>-135.11385301392147</v>
      </c>
    </row>
    <row r="255" spans="1:11" x14ac:dyDescent="0.25">
      <c r="A255" s="162">
        <f>+'B) D RI'!A256</f>
        <v>5831</v>
      </c>
      <c r="B255" s="482" t="str">
        <f>+'B) D RI'!B256</f>
        <v>Valbroye</v>
      </c>
      <c r="C255" s="478">
        <v>1320926.2060486958</v>
      </c>
      <c r="D255" s="246">
        <f>VLOOKUP(B255,Synthèse!B255:F563,5,FALSE)</f>
        <v>1577211.5950761423</v>
      </c>
      <c r="E255" s="349">
        <f t="shared" si="9"/>
        <v>256285.38902744651</v>
      </c>
      <c r="F255" s="349">
        <v>-1058639.1123535901</v>
      </c>
      <c r="G255" s="246">
        <v>-1069778.2358180271</v>
      </c>
      <c r="H255" s="349">
        <f t="shared" si="10"/>
        <v>-11139.123464436969</v>
      </c>
      <c r="I255" s="349">
        <v>250061.56259914546</v>
      </c>
      <c r="J255" s="246">
        <f>VLOOKUP(B255,'M) Police'!B255:O563,14,FALSE)</f>
        <v>257536.84592891642</v>
      </c>
      <c r="K255" s="349">
        <f t="shared" si="11"/>
        <v>7475.2833297709585</v>
      </c>
    </row>
    <row r="256" spans="1:11" x14ac:dyDescent="0.25">
      <c r="A256" s="162">
        <f>+'B) D RI'!A257</f>
        <v>5841</v>
      </c>
      <c r="B256" s="482" t="str">
        <f>+'B) D RI'!B257</f>
        <v>Château-d'Oex</v>
      </c>
      <c r="C256" s="478">
        <v>2264776.8234358197</v>
      </c>
      <c r="D256" s="246">
        <f>VLOOKUP(B256,Synthèse!B256:F564,5,FALSE)</f>
        <v>2258793.9366498915</v>
      </c>
      <c r="E256" s="349">
        <f t="shared" si="9"/>
        <v>-5982.88678592816</v>
      </c>
      <c r="F256" s="349">
        <v>-1931433.4874705961</v>
      </c>
      <c r="G256" s="246">
        <v>-2204891.6387133272</v>
      </c>
      <c r="H256" s="349">
        <f t="shared" si="10"/>
        <v>-273458.15124273114</v>
      </c>
      <c r="I256" s="349">
        <v>337698.14481833554</v>
      </c>
      <c r="J256" s="246">
        <f>VLOOKUP(B256,'M) Police'!B256:O564,14,FALSE)</f>
        <v>341828.85560976085</v>
      </c>
      <c r="K256" s="349">
        <f t="shared" si="11"/>
        <v>4130.7107914253138</v>
      </c>
    </row>
    <row r="257" spans="1:11" x14ac:dyDescent="0.25">
      <c r="A257" s="162">
        <f>+'B) D RI'!A258</f>
        <v>5842</v>
      </c>
      <c r="B257" s="482" t="str">
        <f>+'B) D RI'!B258</f>
        <v>Rossinière</v>
      </c>
      <c r="C257" s="478">
        <v>290042.11110291479</v>
      </c>
      <c r="D257" s="246">
        <f>VLOOKUP(B257,Synthèse!B257:F565,5,FALSE)</f>
        <v>231191.31582834601</v>
      </c>
      <c r="E257" s="349">
        <f t="shared" si="9"/>
        <v>-58850.79527456878</v>
      </c>
      <c r="F257" s="349">
        <v>-238947.48576823901</v>
      </c>
      <c r="G257" s="246">
        <v>-434428.52978535829</v>
      </c>
      <c r="H257" s="349">
        <f t="shared" si="10"/>
        <v>-195481.04401711927</v>
      </c>
      <c r="I257" s="349">
        <v>53267.390454619228</v>
      </c>
      <c r="J257" s="246">
        <f>VLOOKUP(B257,'M) Police'!B257:O565,14,FALSE)</f>
        <v>38494.287107117256</v>
      </c>
      <c r="K257" s="349">
        <f t="shared" si="11"/>
        <v>-14773.103347501972</v>
      </c>
    </row>
    <row r="258" spans="1:11" x14ac:dyDescent="0.25">
      <c r="A258" s="162">
        <f>+'B) D RI'!A259</f>
        <v>5843</v>
      </c>
      <c r="B258" s="482" t="str">
        <f>+'B) D RI'!B259</f>
        <v>Rougemont</v>
      </c>
      <c r="C258" s="478">
        <v>3695996.2193898303</v>
      </c>
      <c r="D258" s="246">
        <f>VLOOKUP(B258,Synthèse!B258:F566,5,FALSE)</f>
        <v>2909434.7932680594</v>
      </c>
      <c r="E258" s="349">
        <f t="shared" si="9"/>
        <v>-786561.42612177087</v>
      </c>
      <c r="F258" s="349">
        <v>402536.15268044826</v>
      </c>
      <c r="G258" s="246">
        <v>442036.52035241283</v>
      </c>
      <c r="H258" s="349">
        <f t="shared" si="10"/>
        <v>39500.367671964574</v>
      </c>
      <c r="I258" s="349">
        <v>180704.18106023764</v>
      </c>
      <c r="J258" s="246">
        <f>VLOOKUP(B258,'M) Police'!B258:O566,14,FALSE)</f>
        <v>171125.93656250104</v>
      </c>
      <c r="K258" s="349">
        <f t="shared" si="11"/>
        <v>-9578.2444977365958</v>
      </c>
    </row>
    <row r="259" spans="1:11" x14ac:dyDescent="0.25">
      <c r="A259" s="162">
        <f>+'B) D RI'!A260</f>
        <v>5851</v>
      </c>
      <c r="B259" s="482" t="str">
        <f>+'B) D RI'!B260</f>
        <v>Allaman</v>
      </c>
      <c r="C259" s="478">
        <v>259486.8399465734</v>
      </c>
      <c r="D259" s="246">
        <f>VLOOKUP(B259,Synthèse!B259:F567,5,FALSE)</f>
        <v>549256.64069992374</v>
      </c>
      <c r="E259" s="349">
        <f t="shared" si="9"/>
        <v>289769.80075335037</v>
      </c>
      <c r="F259" s="349">
        <v>428939.32093269844</v>
      </c>
      <c r="G259" s="246">
        <v>467975.44367501611</v>
      </c>
      <c r="H259" s="349">
        <f t="shared" si="10"/>
        <v>39036.122742317675</v>
      </c>
      <c r="I259" s="349">
        <v>67059.332460924721</v>
      </c>
      <c r="J259" s="246">
        <f>VLOOKUP(B259,'M) Police'!B259:O567,14,FALSE)</f>
        <v>72423.332788450323</v>
      </c>
      <c r="K259" s="349">
        <f t="shared" si="11"/>
        <v>5364.0003275256022</v>
      </c>
    </row>
    <row r="260" spans="1:11" x14ac:dyDescent="0.25">
      <c r="A260" s="162">
        <f>+'B) D RI'!A261</f>
        <v>5852</v>
      </c>
      <c r="B260" s="482" t="str">
        <f>+'B) D RI'!B261</f>
        <v>Bursinel</v>
      </c>
      <c r="C260" s="478">
        <v>719615.0239188245</v>
      </c>
      <c r="D260" s="246">
        <f>VLOOKUP(B260,Synthèse!B260:F568,5,FALSE)</f>
        <v>2344579.778131438</v>
      </c>
      <c r="E260" s="349">
        <f t="shared" si="9"/>
        <v>1624964.7542126135</v>
      </c>
      <c r="F260" s="349">
        <v>498495.15513099241</v>
      </c>
      <c r="G260" s="246">
        <v>-134149.22930141026</v>
      </c>
      <c r="H260" s="349">
        <f t="shared" si="10"/>
        <v>-632644.38443240267</v>
      </c>
      <c r="I260" s="349">
        <v>81080.76795698989</v>
      </c>
      <c r="J260" s="246">
        <f>VLOOKUP(B260,'M) Police'!B260:O568,14,FALSE)</f>
        <v>86383.664905797559</v>
      </c>
      <c r="K260" s="349">
        <f t="shared" si="11"/>
        <v>5302.8969488076691</v>
      </c>
    </row>
    <row r="261" spans="1:11" x14ac:dyDescent="0.25">
      <c r="A261" s="162">
        <f>+'B) D RI'!A262</f>
        <v>5853</v>
      </c>
      <c r="B261" s="482" t="str">
        <f>+'B) D RI'!B262</f>
        <v>Bursins</v>
      </c>
      <c r="C261" s="478">
        <v>725937.544674312</v>
      </c>
      <c r="D261" s="246">
        <f>VLOOKUP(B261,Synthèse!B261:F569,5,FALSE)</f>
        <v>694536.66913378134</v>
      </c>
      <c r="E261" s="349">
        <f t="shared" si="9"/>
        <v>-31400.875540530658</v>
      </c>
      <c r="F261" s="349">
        <v>611913.22557465313</v>
      </c>
      <c r="G261" s="246">
        <v>587333.68781522091</v>
      </c>
      <c r="H261" s="349">
        <f t="shared" si="10"/>
        <v>-24579.53775943222</v>
      </c>
      <c r="I261" s="349">
        <v>115186.33749149571</v>
      </c>
      <c r="J261" s="246">
        <f>VLOOKUP(B261,'M) Police'!B261:O569,14,FALSE)</f>
        <v>109015.51581041703</v>
      </c>
      <c r="K261" s="349">
        <f t="shared" si="11"/>
        <v>-6170.8216810786835</v>
      </c>
    </row>
    <row r="262" spans="1:11" x14ac:dyDescent="0.25">
      <c r="A262" s="162">
        <f>+'B) D RI'!A263</f>
        <v>5854</v>
      </c>
      <c r="B262" s="482" t="str">
        <f>+'B) D RI'!B263</f>
        <v>Burtigny</v>
      </c>
      <c r="C262" s="478">
        <v>170139.90895594915</v>
      </c>
      <c r="D262" s="246">
        <f>VLOOKUP(B262,Synthèse!B262:F570,5,FALSE)</f>
        <v>222075.7620058399</v>
      </c>
      <c r="E262" s="349">
        <f t="shared" si="9"/>
        <v>51935.853049890749</v>
      </c>
      <c r="F262" s="349">
        <v>-3254.5281743289961</v>
      </c>
      <c r="G262" s="246">
        <v>-44818.518628583166</v>
      </c>
      <c r="H262" s="349">
        <f t="shared" si="10"/>
        <v>-41563.99045425417</v>
      </c>
      <c r="I262" s="349">
        <v>32681.815710241703</v>
      </c>
      <c r="J262" s="246">
        <f>VLOOKUP(B262,'M) Police'!B262:O570,14,FALSE)</f>
        <v>31581.631781573251</v>
      </c>
      <c r="K262" s="349">
        <f t="shared" si="11"/>
        <v>-1100.1839286684517</v>
      </c>
    </row>
    <row r="263" spans="1:11" x14ac:dyDescent="0.25">
      <c r="A263" s="162">
        <f>+'B) D RI'!A264</f>
        <v>5855</v>
      </c>
      <c r="B263" s="482" t="str">
        <f>+'B) D RI'!B264</f>
        <v>Dully</v>
      </c>
      <c r="C263" s="478">
        <v>2016908.7754379725</v>
      </c>
      <c r="D263" s="246">
        <f>VLOOKUP(B263,Synthèse!B263:F571,5,FALSE)</f>
        <v>2084153.716862442</v>
      </c>
      <c r="E263" s="349">
        <f t="shared" ref="E263:E314" si="12">+D263-C263</f>
        <v>67244.941424469464</v>
      </c>
      <c r="F263" s="349">
        <v>982683.29557653971</v>
      </c>
      <c r="G263" s="246">
        <v>1137311.8417564367</v>
      </c>
      <c r="H263" s="349">
        <f t="shared" ref="H263:H314" si="13">+G263-F263</f>
        <v>154628.54617989704</v>
      </c>
      <c r="I263" s="349">
        <v>129361.29064704881</v>
      </c>
      <c r="J263" s="246">
        <f>VLOOKUP(B263,'M) Police'!B263:O571,14,FALSE)</f>
        <v>135737.35351418011</v>
      </c>
      <c r="K263" s="349">
        <f t="shared" ref="K263:K314" si="14">+J263-I263</f>
        <v>6376.0628671313025</v>
      </c>
    </row>
    <row r="264" spans="1:11" x14ac:dyDescent="0.25">
      <c r="A264" s="162">
        <f>+'B) D RI'!A265</f>
        <v>5856</v>
      </c>
      <c r="B264" s="482" t="str">
        <f>+'B) D RI'!B265</f>
        <v>Essertines-sur-Rolle</v>
      </c>
      <c r="C264" s="478">
        <v>465521.53463067469</v>
      </c>
      <c r="D264" s="246">
        <f>VLOOKUP(B264,Synthèse!B264:F572,5,FALSE)</f>
        <v>675911.81201400934</v>
      </c>
      <c r="E264" s="349">
        <f t="shared" si="12"/>
        <v>210390.27738333464</v>
      </c>
      <c r="F264" s="349">
        <v>369381.40704680252</v>
      </c>
      <c r="G264" s="246">
        <v>556694.84941757109</v>
      </c>
      <c r="H264" s="349">
        <f t="shared" si="13"/>
        <v>187313.44237076858</v>
      </c>
      <c r="I264" s="349">
        <v>91164.220186661551</v>
      </c>
      <c r="J264" s="246">
        <f>VLOOKUP(B264,'M) Police'!B264:O572,14,FALSE)</f>
        <v>102592.60345104386</v>
      </c>
      <c r="K264" s="349">
        <f t="shared" si="14"/>
        <v>11428.383264382312</v>
      </c>
    </row>
    <row r="265" spans="1:11" x14ac:dyDescent="0.25">
      <c r="A265" s="162">
        <f>+'B) D RI'!A266</f>
        <v>5857</v>
      </c>
      <c r="B265" s="482" t="str">
        <f>+'B) D RI'!B266</f>
        <v>Gilly</v>
      </c>
      <c r="C265" s="478">
        <v>1215268.5056396956</v>
      </c>
      <c r="D265" s="246">
        <f>VLOOKUP(B265,Synthèse!B265:F573,5,FALSE)</f>
        <v>1524335.2528728312</v>
      </c>
      <c r="E265" s="349">
        <f t="shared" si="12"/>
        <v>309066.74723313563</v>
      </c>
      <c r="F265" s="349">
        <v>890869.37230024731</v>
      </c>
      <c r="G265" s="246">
        <v>1199421.1275816322</v>
      </c>
      <c r="H265" s="349">
        <f t="shared" si="13"/>
        <v>308551.75528138492</v>
      </c>
      <c r="I265" s="349">
        <v>170516.32670576146</v>
      </c>
      <c r="J265" s="246">
        <f>VLOOKUP(B265,'M) Police'!B265:O573,14,FALSE)</f>
        <v>205444.72737127994</v>
      </c>
      <c r="K265" s="349">
        <f t="shared" si="14"/>
        <v>34928.400665518478</v>
      </c>
    </row>
    <row r="266" spans="1:11" x14ac:dyDescent="0.25">
      <c r="A266" s="162">
        <f>+'B) D RI'!A267</f>
        <v>5858</v>
      </c>
      <c r="B266" s="482" t="str">
        <f>+'B) D RI'!B267</f>
        <v>Luins</v>
      </c>
      <c r="C266" s="478">
        <v>551402.88407283893</v>
      </c>
      <c r="D266" s="246">
        <f>VLOOKUP(B266,Synthèse!B266:F574,5,FALSE)</f>
        <v>577926.26690094743</v>
      </c>
      <c r="E266" s="349">
        <f t="shared" si="12"/>
        <v>26523.382828108501</v>
      </c>
      <c r="F266" s="349">
        <v>561789.65265463036</v>
      </c>
      <c r="G266" s="246">
        <v>570841.88569599763</v>
      </c>
      <c r="H266" s="349">
        <f t="shared" si="13"/>
        <v>9052.2330413672607</v>
      </c>
      <c r="I266" s="349">
        <v>98687.857226805994</v>
      </c>
      <c r="J266" s="246">
        <f>VLOOKUP(B266,'M) Police'!B266:O574,14,FALSE)</f>
        <v>94728.212087715103</v>
      </c>
      <c r="K266" s="349">
        <f t="shared" si="14"/>
        <v>-3959.6451390908915</v>
      </c>
    </row>
    <row r="267" spans="1:11" x14ac:dyDescent="0.25">
      <c r="A267" s="162">
        <f>+'B) D RI'!A268</f>
        <v>5859</v>
      </c>
      <c r="B267" s="482" t="str">
        <f>+'B) D RI'!B268</f>
        <v>Mont-sur-Rolle</v>
      </c>
      <c r="C267" s="478">
        <v>2695754.6348074907</v>
      </c>
      <c r="D267" s="246">
        <f>VLOOKUP(B267,Synthèse!B267:F575,5,FALSE)</f>
        <v>2656389.0476101865</v>
      </c>
      <c r="E267" s="349">
        <f t="shared" si="12"/>
        <v>-39365.587197304238</v>
      </c>
      <c r="F267" s="349">
        <v>2065899.1819168939</v>
      </c>
      <c r="G267" s="246">
        <v>1843857.0459612901</v>
      </c>
      <c r="H267" s="349">
        <f t="shared" si="13"/>
        <v>-222042.13595560379</v>
      </c>
      <c r="I267" s="349">
        <v>415843.60083507549</v>
      </c>
      <c r="J267" s="246">
        <f>VLOOKUP(B267,'M) Police'!B267:O575,14,FALSE)</f>
        <v>402560.87112972792</v>
      </c>
      <c r="K267" s="349">
        <f t="shared" si="14"/>
        <v>-13282.729705347563</v>
      </c>
    </row>
    <row r="268" spans="1:11" x14ac:dyDescent="0.25">
      <c r="A268" s="162">
        <f>+'B) D RI'!A269</f>
        <v>5860</v>
      </c>
      <c r="B268" s="482" t="str">
        <f>+'B) D RI'!B269</f>
        <v>Perroy</v>
      </c>
      <c r="C268" s="478">
        <v>1900239.5185544812</v>
      </c>
      <c r="D268" s="246">
        <f>VLOOKUP(B268,Synthèse!B268:F576,5,FALSE)</f>
        <v>1690277.1915649003</v>
      </c>
      <c r="E268" s="349">
        <f t="shared" si="12"/>
        <v>-209962.32698958088</v>
      </c>
      <c r="F268" s="349">
        <v>1343866.657784583</v>
      </c>
      <c r="G268" s="246">
        <v>1331532.1701616733</v>
      </c>
      <c r="H268" s="349">
        <f t="shared" si="13"/>
        <v>-12334.487622909714</v>
      </c>
      <c r="I268" s="349">
        <v>239756.79189362252</v>
      </c>
      <c r="J268" s="246">
        <f>VLOOKUP(B268,'M) Police'!B268:O576,14,FALSE)</f>
        <v>238371.06730928161</v>
      </c>
      <c r="K268" s="349">
        <f t="shared" si="14"/>
        <v>-1385.7245843409037</v>
      </c>
    </row>
    <row r="269" spans="1:11" x14ac:dyDescent="0.25">
      <c r="A269" s="162">
        <f>+'B) D RI'!A270</f>
        <v>5861</v>
      </c>
      <c r="B269" s="482" t="str">
        <f>+'B) D RI'!B270</f>
        <v>Rolle</v>
      </c>
      <c r="C269" s="478">
        <v>14422371.823142283</v>
      </c>
      <c r="D269" s="246">
        <f>VLOOKUP(B269,Synthèse!B269:F577,5,FALSE)</f>
        <v>24962418.042191312</v>
      </c>
      <c r="E269" s="349">
        <f t="shared" si="12"/>
        <v>10540046.219049029</v>
      </c>
      <c r="F269" s="349">
        <v>6595172.7120496193</v>
      </c>
      <c r="G269" s="246">
        <v>9893345.9531137645</v>
      </c>
      <c r="H269" s="349">
        <f t="shared" si="13"/>
        <v>3298173.2410641452</v>
      </c>
      <c r="I269" s="349">
        <v>1168259.9017410786</v>
      </c>
      <c r="J269" s="246">
        <f>VLOOKUP(B269,'M) Police'!B269:O577,14,FALSE)</f>
        <v>1368650.9775476237</v>
      </c>
      <c r="K269" s="349">
        <f t="shared" si="14"/>
        <v>200391.07580654509</v>
      </c>
    </row>
    <row r="270" spans="1:11" x14ac:dyDescent="0.25">
      <c r="A270" s="162">
        <f>+'B) D RI'!A271</f>
        <v>5862</v>
      </c>
      <c r="B270" s="482" t="str">
        <f>+'B) D RI'!B271</f>
        <v>Tartegnin</v>
      </c>
      <c r="C270" s="478">
        <v>169809.61784825468</v>
      </c>
      <c r="D270" s="246">
        <f>VLOOKUP(B270,Synthèse!B270:F578,5,FALSE)</f>
        <v>232523.04855051017</v>
      </c>
      <c r="E270" s="349">
        <f t="shared" si="12"/>
        <v>62713.430702255486</v>
      </c>
      <c r="F270" s="349">
        <v>158723.671672747</v>
      </c>
      <c r="G270" s="246">
        <v>166986.39084230445</v>
      </c>
      <c r="H270" s="349">
        <f t="shared" si="13"/>
        <v>8262.7191695574438</v>
      </c>
      <c r="I270" s="349">
        <v>32326.541310830409</v>
      </c>
      <c r="J270" s="246">
        <f>VLOOKUP(B270,'M) Police'!B270:O578,14,FALSE)</f>
        <v>33325.189662845733</v>
      </c>
      <c r="K270" s="349">
        <f t="shared" si="14"/>
        <v>998.64835201532333</v>
      </c>
    </row>
    <row r="271" spans="1:11" x14ac:dyDescent="0.25">
      <c r="A271" s="162">
        <f>+'B) D RI'!A272</f>
        <v>5863</v>
      </c>
      <c r="B271" s="482" t="str">
        <f>+'B) D RI'!B272</f>
        <v>Vinzel</v>
      </c>
      <c r="C271" s="478">
        <v>579822.98056570045</v>
      </c>
      <c r="D271" s="246">
        <f>VLOOKUP(B271,Synthèse!B271:F579,5,FALSE)</f>
        <v>397973.77172962966</v>
      </c>
      <c r="E271" s="349">
        <f t="shared" si="12"/>
        <v>-181849.20883607079</v>
      </c>
      <c r="F271" s="349">
        <v>411325.33411595691</v>
      </c>
      <c r="G271" s="246">
        <v>100576.62848284142</v>
      </c>
      <c r="H271" s="349">
        <f t="shared" si="13"/>
        <v>-310748.70563311549</v>
      </c>
      <c r="I271" s="349">
        <v>61747.687319530996</v>
      </c>
      <c r="J271" s="246">
        <f>VLOOKUP(B271,'M) Police'!B271:O579,14,FALSE)</f>
        <v>59685.822956488933</v>
      </c>
      <c r="K271" s="349">
        <f t="shared" si="14"/>
        <v>-2061.8643630420629</v>
      </c>
    </row>
    <row r="272" spans="1:11" x14ac:dyDescent="0.25">
      <c r="A272" s="162">
        <f>+'B) D RI'!A273</f>
        <v>5871</v>
      </c>
      <c r="B272" s="482" t="str">
        <f>+'B) D RI'!B273</f>
        <v>L'Abbaye</v>
      </c>
      <c r="C272" s="478">
        <v>1021715.5931318658</v>
      </c>
      <c r="D272" s="246">
        <f>VLOOKUP(B272,Synthèse!B272:F580,5,FALSE)</f>
        <v>1057505.6338549205</v>
      </c>
      <c r="E272" s="349">
        <f t="shared" si="12"/>
        <v>35790.04072305467</v>
      </c>
      <c r="F272" s="349">
        <v>43010.202229365881</v>
      </c>
      <c r="G272" s="246">
        <v>-197861.35475223942</v>
      </c>
      <c r="H272" s="349">
        <f t="shared" si="13"/>
        <v>-240871.5569816053</v>
      </c>
      <c r="I272" s="349">
        <v>158711.86424097535</v>
      </c>
      <c r="J272" s="246">
        <f>VLOOKUP(B272,'M) Police'!B272:O580,14,FALSE)</f>
        <v>148612.20872157309</v>
      </c>
      <c r="K272" s="349">
        <f t="shared" si="14"/>
        <v>-10099.655519402266</v>
      </c>
    </row>
    <row r="273" spans="1:11" x14ac:dyDescent="0.25">
      <c r="A273" s="162">
        <f>+'B) D RI'!A274</f>
        <v>5872</v>
      </c>
      <c r="B273" s="482" t="str">
        <f>+'B) D RI'!B274</f>
        <v>Le Chenit</v>
      </c>
      <c r="C273" s="478">
        <v>7742738.7646780843</v>
      </c>
      <c r="D273" s="246">
        <f>VLOOKUP(B273,Synthèse!B273:F581,5,FALSE)</f>
        <v>5186913.4260983104</v>
      </c>
      <c r="E273" s="349">
        <f t="shared" si="12"/>
        <v>-2555825.3385797739</v>
      </c>
      <c r="F273" s="349">
        <v>2674800.3788861148</v>
      </c>
      <c r="G273" s="246">
        <v>749613.09231890272</v>
      </c>
      <c r="H273" s="349">
        <f t="shared" si="13"/>
        <v>-1925187.2865672121</v>
      </c>
      <c r="I273" s="349">
        <v>791062.50762480777</v>
      </c>
      <c r="J273" s="246">
        <f>VLOOKUP(B273,'M) Police'!B273:O581,14,FALSE)</f>
        <v>673506.29957458761</v>
      </c>
      <c r="K273" s="349">
        <f t="shared" si="14"/>
        <v>-117556.20805022016</v>
      </c>
    </row>
    <row r="274" spans="1:11" x14ac:dyDescent="0.25">
      <c r="A274" s="162">
        <f>+'B) D RI'!A275</f>
        <v>5873</v>
      </c>
      <c r="B274" s="482" t="str">
        <f>+'B) D RI'!B275</f>
        <v>Le Lieu</v>
      </c>
      <c r="C274" s="478">
        <v>899214.06752455817</v>
      </c>
      <c r="D274" s="246">
        <f>VLOOKUP(B274,Synthèse!B274:F582,5,FALSE)</f>
        <v>783809.7338766756</v>
      </c>
      <c r="E274" s="349">
        <f t="shared" si="12"/>
        <v>-115404.33364788257</v>
      </c>
      <c r="F274" s="349">
        <v>-201775.19018378097</v>
      </c>
      <c r="G274" s="246">
        <v>-291503.12831739493</v>
      </c>
      <c r="H274" s="349">
        <f t="shared" si="13"/>
        <v>-89727.938133613963</v>
      </c>
      <c r="I274" s="349">
        <v>113297.44083346875</v>
      </c>
      <c r="J274" s="246">
        <f>VLOOKUP(B274,'M) Police'!B274:O582,14,FALSE)</f>
        <v>104192.43627298072</v>
      </c>
      <c r="K274" s="349">
        <f t="shared" si="14"/>
        <v>-9105.0045604880288</v>
      </c>
    </row>
    <row r="275" spans="1:11" x14ac:dyDescent="0.25">
      <c r="A275" s="162">
        <f>+'B) D RI'!A276</f>
        <v>5881</v>
      </c>
      <c r="B275" s="482" t="str">
        <f>+'B) D RI'!B276</f>
        <v>Blonay</v>
      </c>
      <c r="C275" s="478">
        <v>6752946.9340828806</v>
      </c>
      <c r="D275" s="246">
        <f>VLOOKUP(B275,Synthèse!B275:F583,5,FALSE)</f>
        <v>5748071.2252428075</v>
      </c>
      <c r="E275" s="349">
        <f t="shared" si="12"/>
        <v>-1004875.7088400731</v>
      </c>
      <c r="F275" s="349">
        <v>3196750.6545908786</v>
      </c>
      <c r="G275" s="246">
        <v>2922758.6317141</v>
      </c>
      <c r="H275" s="349">
        <f t="shared" si="13"/>
        <v>-273992.02287677862</v>
      </c>
      <c r="I275" s="349">
        <v>465259.8581291372</v>
      </c>
      <c r="J275" s="246">
        <f>VLOOKUP(B275,'M) Police'!B275:O583,14,FALSE)</f>
        <v>421746.75305583363</v>
      </c>
      <c r="K275" s="349">
        <f t="shared" si="14"/>
        <v>-43513.105073303566</v>
      </c>
    </row>
    <row r="276" spans="1:11" x14ac:dyDescent="0.25">
      <c r="A276" s="162">
        <f>+'B) D RI'!A277</f>
        <v>5882</v>
      </c>
      <c r="B276" s="482" t="str">
        <f>+'B) D RI'!B277</f>
        <v>Chardonne</v>
      </c>
      <c r="C276" s="478">
        <v>3362905.8311888771</v>
      </c>
      <c r="D276" s="246">
        <f>VLOOKUP(B276,Synthèse!B276:F584,5,FALSE)</f>
        <v>3645811.0051283855</v>
      </c>
      <c r="E276" s="349">
        <f t="shared" si="12"/>
        <v>282905.17393950839</v>
      </c>
      <c r="F276" s="349">
        <v>1954685.6910913435</v>
      </c>
      <c r="G276" s="246">
        <v>1874829.643293201</v>
      </c>
      <c r="H276" s="349">
        <f t="shared" si="13"/>
        <v>-79856.047798142536</v>
      </c>
      <c r="I276" s="349">
        <v>216973.26009454884</v>
      </c>
      <c r="J276" s="246">
        <f>VLOOKUP(B276,'M) Police'!B276:O584,14,FALSE)</f>
        <v>195404.52353372151</v>
      </c>
      <c r="K276" s="349">
        <f t="shared" si="14"/>
        <v>-21568.736560827325</v>
      </c>
    </row>
    <row r="277" spans="1:11" x14ac:dyDescent="0.25">
      <c r="A277" s="162">
        <f>+'B) D RI'!A278</f>
        <v>5883</v>
      </c>
      <c r="B277" s="482" t="str">
        <f>+'B) D RI'!B278</f>
        <v>Corseaux</v>
      </c>
      <c r="C277" s="478">
        <v>3308667.3333433392</v>
      </c>
      <c r="D277" s="246">
        <f>VLOOKUP(B277,Synthèse!B277:F585,5,FALSE)</f>
        <v>3209910.8178310189</v>
      </c>
      <c r="E277" s="349">
        <f t="shared" si="12"/>
        <v>-98756.515512320213</v>
      </c>
      <c r="F277" s="349">
        <v>2066330.7036244911</v>
      </c>
      <c r="G277" s="246">
        <v>2144738.8198742815</v>
      </c>
      <c r="H277" s="349">
        <f t="shared" si="13"/>
        <v>78408.116249790415</v>
      </c>
      <c r="I277" s="349">
        <v>185712.9112081207</v>
      </c>
      <c r="J277" s="246">
        <f>VLOOKUP(B277,'M) Police'!B277:O585,14,FALSE)</f>
        <v>180594.48896930867</v>
      </c>
      <c r="K277" s="349">
        <f t="shared" si="14"/>
        <v>-5118.4222388120252</v>
      </c>
    </row>
    <row r="278" spans="1:11" x14ac:dyDescent="0.25">
      <c r="A278" s="162">
        <f>+'B) D RI'!A279</f>
        <v>5884</v>
      </c>
      <c r="B278" s="482" t="str">
        <f>+'B) D RI'!B279</f>
        <v>Corsier-sur-Vevey</v>
      </c>
      <c r="C278" s="478">
        <v>2397892.6701575411</v>
      </c>
      <c r="D278" s="246">
        <f>VLOOKUP(B278,Synthèse!B278:F586,5,FALSE)</f>
        <v>2403202.4686434856</v>
      </c>
      <c r="E278" s="349">
        <f t="shared" si="12"/>
        <v>5309.7984859445132</v>
      </c>
      <c r="F278" s="349">
        <v>449416.21420158003</v>
      </c>
      <c r="G278" s="246">
        <v>81104.642250287812</v>
      </c>
      <c r="H278" s="349">
        <f t="shared" si="13"/>
        <v>-368311.57195129222</v>
      </c>
      <c r="I278" s="349">
        <v>177715.57868384081</v>
      </c>
      <c r="J278" s="246">
        <f>VLOOKUP(B278,'M) Police'!B278:O586,14,FALSE)</f>
        <v>163808.28488263747</v>
      </c>
      <c r="K278" s="349">
        <f t="shared" si="14"/>
        <v>-13907.293801203341</v>
      </c>
    </row>
    <row r="279" spans="1:11" x14ac:dyDescent="0.25">
      <c r="A279" s="162">
        <f>+'B) D RI'!A280</f>
        <v>5885</v>
      </c>
      <c r="B279" s="482" t="str">
        <f>+'B) D RI'!B280</f>
        <v>Jongny</v>
      </c>
      <c r="C279" s="478">
        <v>3763976.242696329</v>
      </c>
      <c r="D279" s="246">
        <f>VLOOKUP(B279,Synthèse!B279:F587,5,FALSE)</f>
        <v>1920754.1638495026</v>
      </c>
      <c r="E279" s="349">
        <f t="shared" si="12"/>
        <v>-1843222.0788468265</v>
      </c>
      <c r="F279" s="349">
        <v>2003241.7792394238</v>
      </c>
      <c r="G279" s="246">
        <v>1396519.9884173945</v>
      </c>
      <c r="H279" s="349">
        <f t="shared" si="13"/>
        <v>-606721.79082202935</v>
      </c>
      <c r="I279" s="349">
        <v>164165.45244438469</v>
      </c>
      <c r="J279" s="246">
        <f>VLOOKUP(B279,'M) Police'!B279:O587,14,FALSE)</f>
        <v>114461.84786994489</v>
      </c>
      <c r="K279" s="349">
        <f t="shared" si="14"/>
        <v>-49703.6045744398</v>
      </c>
    </row>
    <row r="280" spans="1:11" x14ac:dyDescent="0.25">
      <c r="A280" s="162">
        <f>+'B) D RI'!A281</f>
        <v>5886</v>
      </c>
      <c r="B280" s="482" t="str">
        <f>+'B) D RI'!B281</f>
        <v>Montreux</v>
      </c>
      <c r="C280" s="478">
        <v>24219736.620690692</v>
      </c>
      <c r="D280" s="246">
        <f>VLOOKUP(B280,Synthèse!B280:F588,5,FALSE)</f>
        <v>25078674.876560818</v>
      </c>
      <c r="E280" s="349">
        <f t="shared" si="12"/>
        <v>858938.25587012619</v>
      </c>
      <c r="F280" s="349">
        <v>-6016777.6233979249</v>
      </c>
      <c r="G280" s="246">
        <v>-7617481.4238234479</v>
      </c>
      <c r="H280" s="349">
        <f t="shared" si="13"/>
        <v>-1600703.800425523</v>
      </c>
      <c r="I280" s="349">
        <v>1494359.9388995066</v>
      </c>
      <c r="J280" s="246">
        <f>VLOOKUP(B280,'M) Police'!B280:O588,14,FALSE)</f>
        <v>1401173.7026047534</v>
      </c>
      <c r="K280" s="349">
        <f t="shared" si="14"/>
        <v>-93186.236294753151</v>
      </c>
    </row>
    <row r="281" spans="1:11" x14ac:dyDescent="0.25">
      <c r="A281" s="162">
        <f>+'B) D RI'!A282</f>
        <v>5888</v>
      </c>
      <c r="B281" s="482" t="str">
        <f>+'B) D RI'!B282</f>
        <v>Saint-Légier-La Chiésaz</v>
      </c>
      <c r="C281" s="478">
        <v>6283471.154677582</v>
      </c>
      <c r="D281" s="246">
        <f>VLOOKUP(B281,Synthèse!B281:F589,5,FALSE)</f>
        <v>5574925.4082159344</v>
      </c>
      <c r="E281" s="349">
        <f t="shared" si="12"/>
        <v>-708545.74646164756</v>
      </c>
      <c r="F281" s="349">
        <v>2103563.2095291782</v>
      </c>
      <c r="G281" s="246">
        <v>3234233.1509210188</v>
      </c>
      <c r="H281" s="349">
        <f t="shared" si="13"/>
        <v>1130669.9413918406</v>
      </c>
      <c r="I281" s="349">
        <v>409085.58129181108</v>
      </c>
      <c r="J281" s="246">
        <f>VLOOKUP(B281,'M) Police'!B281:O589,14,FALSE)</f>
        <v>363264.56558236392</v>
      </c>
      <c r="K281" s="349">
        <f t="shared" si="14"/>
        <v>-45821.015709447151</v>
      </c>
    </row>
    <row r="282" spans="1:11" x14ac:dyDescent="0.25">
      <c r="A282" s="162">
        <f>+'B) D RI'!A283</f>
        <v>5889</v>
      </c>
      <c r="B282" s="482" t="str">
        <f>+'B) D RI'!B283</f>
        <v>La Tour-de-Peilz</v>
      </c>
      <c r="C282" s="478">
        <v>10241335.868968729</v>
      </c>
      <c r="D282" s="246">
        <f>VLOOKUP(B282,Synthèse!B282:F590,5,FALSE)</f>
        <v>12032528.117789729</v>
      </c>
      <c r="E282" s="349">
        <f t="shared" si="12"/>
        <v>1791192.2488209996</v>
      </c>
      <c r="F282" s="349">
        <v>4774601.8210934866</v>
      </c>
      <c r="G282" s="246">
        <v>5781459.3969478477</v>
      </c>
      <c r="H282" s="349">
        <f t="shared" si="13"/>
        <v>1006857.5758543611</v>
      </c>
      <c r="I282" s="349">
        <v>792244.93179597391</v>
      </c>
      <c r="J282" s="246">
        <f>VLOOKUP(B282,'M) Police'!B282:O590,14,FALSE)</f>
        <v>823610.00501648535</v>
      </c>
      <c r="K282" s="349">
        <f t="shared" si="14"/>
        <v>31365.073220511433</v>
      </c>
    </row>
    <row r="283" spans="1:11" x14ac:dyDescent="0.25">
      <c r="A283" s="162">
        <f>+'B) D RI'!A284</f>
        <v>5890</v>
      </c>
      <c r="B283" s="482" t="str">
        <f>+'B) D RI'!B284</f>
        <v>Vevey</v>
      </c>
      <c r="C283" s="478">
        <v>16659803.696335582</v>
      </c>
      <c r="D283" s="246">
        <f>VLOOKUP(B283,Synthèse!B283:F591,5,FALSE)</f>
        <v>17723171.761181466</v>
      </c>
      <c r="E283" s="349">
        <f t="shared" si="12"/>
        <v>1063368.0648458842</v>
      </c>
      <c r="F283" s="349">
        <v>2155063.2442039773</v>
      </c>
      <c r="G283" s="246">
        <v>1636450.1396876681</v>
      </c>
      <c r="H283" s="349">
        <f t="shared" si="13"/>
        <v>-518613.10451630922</v>
      </c>
      <c r="I283" s="349">
        <v>1237962.8032935481</v>
      </c>
      <c r="J283" s="246">
        <f>VLOOKUP(B283,'M) Police'!B283:O591,14,FALSE)</f>
        <v>1211831.1123917019</v>
      </c>
      <c r="K283" s="349">
        <f t="shared" si="14"/>
        <v>-26131.690901846159</v>
      </c>
    </row>
    <row r="284" spans="1:11" x14ac:dyDescent="0.25">
      <c r="A284" s="162">
        <f>+'B) D RI'!A285</f>
        <v>5891</v>
      </c>
      <c r="B284" s="482" t="str">
        <f>+'B) D RI'!B285</f>
        <v>Veytaux</v>
      </c>
      <c r="C284" s="478">
        <v>691099.89007926383</v>
      </c>
      <c r="D284" s="246">
        <f>VLOOKUP(B284,Synthèse!B284:F592,5,FALSE)</f>
        <v>650631.80512564851</v>
      </c>
      <c r="E284" s="349">
        <f t="shared" si="12"/>
        <v>-40468.084953615326</v>
      </c>
      <c r="F284" s="349">
        <v>269820.63267178944</v>
      </c>
      <c r="G284" s="246">
        <v>190872.61406777363</v>
      </c>
      <c r="H284" s="349">
        <f t="shared" si="13"/>
        <v>-78948.018604015815</v>
      </c>
      <c r="I284" s="349">
        <v>50019.543515450787</v>
      </c>
      <c r="J284" s="246">
        <f>VLOOKUP(B284,'M) Police'!B284:O592,14,FALSE)</f>
        <v>43737.883307588083</v>
      </c>
      <c r="K284" s="349">
        <f t="shared" si="14"/>
        <v>-6281.6602078627038</v>
      </c>
    </row>
    <row r="285" spans="1:11" x14ac:dyDescent="0.25">
      <c r="A285" s="162">
        <f>+'B) D RI'!A286</f>
        <v>5902</v>
      </c>
      <c r="B285" s="482" t="str">
        <f>+'B) D RI'!B286</f>
        <v>Belmont-sur-Yverdon</v>
      </c>
      <c r="C285" s="478">
        <v>190830.72362434235</v>
      </c>
      <c r="D285" s="246">
        <f>VLOOKUP(B285,Synthèse!B285:F593,5,FALSE)</f>
        <v>180448.27157552022</v>
      </c>
      <c r="E285" s="349">
        <f t="shared" si="12"/>
        <v>-10382.452048822131</v>
      </c>
      <c r="F285" s="349">
        <v>-207228.31866916583</v>
      </c>
      <c r="G285" s="246">
        <v>-360031.35609423916</v>
      </c>
      <c r="H285" s="349">
        <f t="shared" si="13"/>
        <v>-152803.03742507333</v>
      </c>
      <c r="I285" s="349">
        <v>27605.638379802695</v>
      </c>
      <c r="J285" s="246">
        <f>VLOOKUP(B285,'M) Police'!B285:O593,14,FALSE)</f>
        <v>30739.51347279421</v>
      </c>
      <c r="K285" s="349">
        <f t="shared" si="14"/>
        <v>3133.875092991515</v>
      </c>
    </row>
    <row r="286" spans="1:11" x14ac:dyDescent="0.25">
      <c r="A286" s="162">
        <f>+'B) D RI'!A287</f>
        <v>5903</v>
      </c>
      <c r="B286" s="482" t="str">
        <f>+'B) D RI'!B287</f>
        <v>Bioley-Magnoux</v>
      </c>
      <c r="C286" s="478">
        <v>139357.60802374769</v>
      </c>
      <c r="D286" s="246">
        <f>VLOOKUP(B286,Synthèse!B286:F594,5,FALSE)</f>
        <v>105284.85473750488</v>
      </c>
      <c r="E286" s="349">
        <f t="shared" si="12"/>
        <v>-34072.753286242805</v>
      </c>
      <c r="F286" s="349">
        <v>-133011.63349042664</v>
      </c>
      <c r="G286" s="246">
        <v>-281451.43381331989</v>
      </c>
      <c r="H286" s="349">
        <f t="shared" si="13"/>
        <v>-148439.80032289325</v>
      </c>
      <c r="I286" s="349">
        <v>19403.73128306296</v>
      </c>
      <c r="J286" s="246">
        <f>VLOOKUP(B286,'M) Police'!B286:O594,14,FALSE)</f>
        <v>18477.623088097178</v>
      </c>
      <c r="K286" s="349">
        <f t="shared" si="14"/>
        <v>-926.10819496578188</v>
      </c>
    </row>
    <row r="287" spans="1:11" x14ac:dyDescent="0.25">
      <c r="A287" s="162">
        <f>+'B) D RI'!A288</f>
        <v>5904</v>
      </c>
      <c r="B287" s="482" t="str">
        <f>+'B) D RI'!B288</f>
        <v>Chamblon</v>
      </c>
      <c r="C287" s="478">
        <v>388790.22587649943</v>
      </c>
      <c r="D287" s="246">
        <f>VLOOKUP(B287,Synthèse!B287:F595,5,FALSE)</f>
        <v>377471.1613365697</v>
      </c>
      <c r="E287" s="349">
        <f t="shared" si="12"/>
        <v>-11319.064539929735</v>
      </c>
      <c r="F287" s="349">
        <v>234275.44662547149</v>
      </c>
      <c r="G287" s="246">
        <v>310888.34053482197</v>
      </c>
      <c r="H287" s="349">
        <f t="shared" si="13"/>
        <v>76612.893909350474</v>
      </c>
      <c r="I287" s="349">
        <v>27078.125606600428</v>
      </c>
      <c r="J287" s="246">
        <f>VLOOKUP(B287,'M) Police'!B287:O595,14,FALSE)</f>
        <v>26970.877678338467</v>
      </c>
      <c r="K287" s="349">
        <f t="shared" si="14"/>
        <v>-107.24792826196062</v>
      </c>
    </row>
    <row r="288" spans="1:11" x14ac:dyDescent="0.25">
      <c r="A288" s="162">
        <f>+'B) D RI'!A289</f>
        <v>5905</v>
      </c>
      <c r="B288" s="482" t="str">
        <f>+'B) D RI'!B289</f>
        <v>Champvent</v>
      </c>
      <c r="C288" s="478">
        <v>330811.46450766723</v>
      </c>
      <c r="D288" s="246">
        <f>VLOOKUP(B288,Synthèse!B288:F596,5,FALSE)</f>
        <v>407523.94432475348</v>
      </c>
      <c r="E288" s="349">
        <f t="shared" si="12"/>
        <v>76712.479817086249</v>
      </c>
      <c r="F288" s="349">
        <v>6737.0509463474446</v>
      </c>
      <c r="G288" s="246">
        <v>163393.51398943493</v>
      </c>
      <c r="H288" s="349">
        <f t="shared" si="13"/>
        <v>156656.46304308748</v>
      </c>
      <c r="I288" s="349">
        <v>58483.157145480072</v>
      </c>
      <c r="J288" s="246">
        <f>VLOOKUP(B288,'M) Police'!B288:O596,14,FALSE)</f>
        <v>72744.827844047031</v>
      </c>
      <c r="K288" s="349">
        <f t="shared" si="14"/>
        <v>14261.670698566959</v>
      </c>
    </row>
    <row r="289" spans="1:11" x14ac:dyDescent="0.25">
      <c r="A289" s="162">
        <f>+'B) D RI'!A290</f>
        <v>5907</v>
      </c>
      <c r="B289" s="482" t="str">
        <f>+'B) D RI'!B290</f>
        <v>Chavannes-le-Chêne</v>
      </c>
      <c r="C289" s="478">
        <v>128147.69426044248</v>
      </c>
      <c r="D289" s="246">
        <f>VLOOKUP(B289,Synthèse!B289:F597,5,FALSE)</f>
        <v>136408.32817437782</v>
      </c>
      <c r="E289" s="349">
        <f t="shared" si="12"/>
        <v>8260.6339139353368</v>
      </c>
      <c r="F289" s="349">
        <v>-115480.65101237349</v>
      </c>
      <c r="G289" s="246">
        <v>-61137.287539512326</v>
      </c>
      <c r="H289" s="349">
        <f t="shared" si="13"/>
        <v>54343.363472861165</v>
      </c>
      <c r="I289" s="349">
        <v>22275.863824178228</v>
      </c>
      <c r="J289" s="246">
        <f>VLOOKUP(B289,'M) Police'!B289:O597,14,FALSE)</f>
        <v>26993.653759795987</v>
      </c>
      <c r="K289" s="349">
        <f t="shared" si="14"/>
        <v>4717.7899356177586</v>
      </c>
    </row>
    <row r="290" spans="1:11" x14ac:dyDescent="0.25">
      <c r="A290" s="162">
        <f>+'B) D RI'!A291</f>
        <v>5908</v>
      </c>
      <c r="B290" s="482" t="str">
        <f>+'B) D RI'!B291</f>
        <v>Chêne-Pâquier</v>
      </c>
      <c r="C290" s="478">
        <v>51957.450934555243</v>
      </c>
      <c r="D290" s="246">
        <f>VLOOKUP(B290,Synthèse!B290:F598,5,FALSE)</f>
        <v>42736.095836480359</v>
      </c>
      <c r="E290" s="349">
        <f t="shared" si="12"/>
        <v>-9221.3550980748842</v>
      </c>
      <c r="F290" s="349">
        <v>-53574.593831717626</v>
      </c>
      <c r="G290" s="246">
        <v>-82659.142374624556</v>
      </c>
      <c r="H290" s="349">
        <f t="shared" si="13"/>
        <v>-29084.54854290693</v>
      </c>
      <c r="I290" s="349">
        <v>9294.891241364563</v>
      </c>
      <c r="J290" s="246">
        <f>VLOOKUP(B290,'M) Police'!B290:O598,14,FALSE)</f>
        <v>8506.5869476428288</v>
      </c>
      <c r="K290" s="349">
        <f t="shared" si="14"/>
        <v>-788.30429372173421</v>
      </c>
    </row>
    <row r="291" spans="1:11" x14ac:dyDescent="0.25">
      <c r="A291" s="162">
        <f>+'B) D RI'!A292</f>
        <v>5909</v>
      </c>
      <c r="B291" s="482" t="str">
        <f>+'B) D RI'!B292</f>
        <v>Cheseaux-Noréaz</v>
      </c>
      <c r="C291" s="478">
        <v>406380.73136600503</v>
      </c>
      <c r="D291" s="246">
        <f>VLOOKUP(B291,Synthèse!B291:F599,5,FALSE)</f>
        <v>557264.46159392199</v>
      </c>
      <c r="E291" s="349">
        <f t="shared" si="12"/>
        <v>150883.73022791697</v>
      </c>
      <c r="F291" s="349">
        <v>96688.18470286025</v>
      </c>
      <c r="G291" s="246">
        <v>262707.837228227</v>
      </c>
      <c r="H291" s="349">
        <f t="shared" si="13"/>
        <v>166019.65252536675</v>
      </c>
      <c r="I291" s="349">
        <v>30422.76210877367</v>
      </c>
      <c r="J291" s="246">
        <f>VLOOKUP(B291,'M) Police'!B291:O599,14,FALSE)</f>
        <v>34730.389836731541</v>
      </c>
      <c r="K291" s="349">
        <f t="shared" si="14"/>
        <v>4307.6277279578717</v>
      </c>
    </row>
    <row r="292" spans="1:11" x14ac:dyDescent="0.25">
      <c r="A292" s="162">
        <f>+'B) D RI'!A293</f>
        <v>5910</v>
      </c>
      <c r="B292" s="482" t="str">
        <f>+'B) D RI'!B293</f>
        <v>Cronay</v>
      </c>
      <c r="C292" s="478">
        <v>213177.19716723659</v>
      </c>
      <c r="D292" s="246">
        <f>VLOOKUP(B292,Synthèse!B292:F600,5,FALSE)</f>
        <v>156298.52928537357</v>
      </c>
      <c r="E292" s="349">
        <f t="shared" si="12"/>
        <v>-56878.667881863017</v>
      </c>
      <c r="F292" s="349">
        <v>-88056.126470634917</v>
      </c>
      <c r="G292" s="246">
        <v>-110834.66965332709</v>
      </c>
      <c r="H292" s="349">
        <f t="shared" si="13"/>
        <v>-22778.54318269217</v>
      </c>
      <c r="I292" s="349">
        <v>33583.63044916057</v>
      </c>
      <c r="J292" s="246">
        <f>VLOOKUP(B292,'M) Police'!B292:O600,14,FALSE)</f>
        <v>31522.957681583932</v>
      </c>
      <c r="K292" s="349">
        <f t="shared" si="14"/>
        <v>-2060.6727675766379</v>
      </c>
    </row>
    <row r="293" spans="1:11" x14ac:dyDescent="0.25">
      <c r="A293" s="162">
        <f>+'B) D RI'!A294</f>
        <v>5911</v>
      </c>
      <c r="B293" s="482" t="str">
        <f>+'B) D RI'!B294</f>
        <v>Cuarny</v>
      </c>
      <c r="C293" s="478">
        <v>105657.94440990532</v>
      </c>
      <c r="D293" s="246">
        <f>VLOOKUP(B293,Synthèse!B293:F601,5,FALSE)</f>
        <v>111533.89084132623</v>
      </c>
      <c r="E293" s="349">
        <f t="shared" si="12"/>
        <v>5875.9464314209035</v>
      </c>
      <c r="F293" s="349">
        <v>27049.244475584979</v>
      </c>
      <c r="G293" s="246">
        <v>-5246.4403862014951</v>
      </c>
      <c r="H293" s="349">
        <f t="shared" si="13"/>
        <v>-32295.684861786474</v>
      </c>
      <c r="I293" s="349">
        <v>22047.914947464793</v>
      </c>
      <c r="J293" s="246">
        <f>VLOOKUP(B293,'M) Police'!B293:O601,14,FALSE)</f>
        <v>22135.513967543702</v>
      </c>
      <c r="K293" s="349">
        <f t="shared" si="14"/>
        <v>87.599020078909234</v>
      </c>
    </row>
    <row r="294" spans="1:11" x14ac:dyDescent="0.25">
      <c r="A294" s="162">
        <f>+'B) D RI'!A295</f>
        <v>5912</v>
      </c>
      <c r="B294" s="482" t="str">
        <f>+'B) D RI'!B295</f>
        <v>Démoret</v>
      </c>
      <c r="C294" s="478">
        <v>99041.721153174556</v>
      </c>
      <c r="D294" s="246">
        <f>VLOOKUP(B294,Synthèse!B294:F602,5,FALSE)</f>
        <v>55029.746675149378</v>
      </c>
      <c r="E294" s="349">
        <f t="shared" si="12"/>
        <v>-44011.974478025179</v>
      </c>
      <c r="F294" s="349">
        <v>-45400.456090050284</v>
      </c>
      <c r="G294" s="246">
        <v>-57320.025397632839</v>
      </c>
      <c r="H294" s="349">
        <f t="shared" si="13"/>
        <v>-11919.569307582555</v>
      </c>
      <c r="I294" s="349">
        <v>10134.234875236983</v>
      </c>
      <c r="J294" s="246">
        <f>VLOOKUP(B294,'M) Police'!B294:O602,14,FALSE)</f>
        <v>9868.2414591717716</v>
      </c>
      <c r="K294" s="349">
        <f t="shared" si="14"/>
        <v>-265.99341606521193</v>
      </c>
    </row>
    <row r="295" spans="1:11" x14ac:dyDescent="0.25">
      <c r="A295" s="162">
        <f>+'B) D RI'!A296</f>
        <v>5913</v>
      </c>
      <c r="B295" s="482" t="str">
        <f>+'B) D RI'!B296</f>
        <v>Donneloye</v>
      </c>
      <c r="C295" s="478">
        <v>422534.05479061027</v>
      </c>
      <c r="D295" s="246">
        <f>VLOOKUP(B295,Synthèse!B295:F603,5,FALSE)</f>
        <v>348454.26859279501</v>
      </c>
      <c r="E295" s="349">
        <f t="shared" si="12"/>
        <v>-74079.786197815265</v>
      </c>
      <c r="F295" s="349">
        <v>101857.4890142295</v>
      </c>
      <c r="G295" s="246">
        <v>-171083.21575354008</v>
      </c>
      <c r="H295" s="349">
        <f t="shared" si="13"/>
        <v>-272940.70476776955</v>
      </c>
      <c r="I295" s="349">
        <v>74684.952442065784</v>
      </c>
      <c r="J295" s="246">
        <f>VLOOKUP(B295,'M) Police'!B295:O603,14,FALSE)</f>
        <v>62616.084459536665</v>
      </c>
      <c r="K295" s="349">
        <f t="shared" si="14"/>
        <v>-12068.867982529118</v>
      </c>
    </row>
    <row r="296" spans="1:11" x14ac:dyDescent="0.25">
      <c r="A296" s="162">
        <f>+'B) D RI'!A297</f>
        <v>5914</v>
      </c>
      <c r="B296" s="482" t="str">
        <f>+'B) D RI'!B297</f>
        <v>Ependes</v>
      </c>
      <c r="C296" s="478">
        <v>144111.80625584919</v>
      </c>
      <c r="D296" s="246">
        <f>VLOOKUP(B296,Synthèse!B296:F604,5,FALSE)</f>
        <v>168994.49585355975</v>
      </c>
      <c r="E296" s="349">
        <f t="shared" si="12"/>
        <v>24882.68959771056</v>
      </c>
      <c r="F296" s="349">
        <v>-45838.571751055482</v>
      </c>
      <c r="G296" s="246">
        <v>-55212.090958569985</v>
      </c>
      <c r="H296" s="349">
        <f t="shared" si="13"/>
        <v>-9373.5192075145023</v>
      </c>
      <c r="I296" s="349">
        <v>11746.971348967612</v>
      </c>
      <c r="J296" s="246">
        <f>VLOOKUP(B296,'M) Police'!B296:O604,14,FALSE)</f>
        <v>12414.152581541934</v>
      </c>
      <c r="K296" s="349">
        <f t="shared" si="14"/>
        <v>667.18123257432126</v>
      </c>
    </row>
    <row r="297" spans="1:11" x14ac:dyDescent="0.25">
      <c r="A297" s="162">
        <f>+'B) D RI'!A298</f>
        <v>5919</v>
      </c>
      <c r="B297" s="482" t="str">
        <f>+'B) D RI'!B298</f>
        <v>Mathod</v>
      </c>
      <c r="C297" s="478">
        <v>258624.95987134543</v>
      </c>
      <c r="D297" s="246">
        <f>VLOOKUP(B297,Synthèse!B297:F605,5,FALSE)</f>
        <v>252298.00716047914</v>
      </c>
      <c r="E297" s="349">
        <f t="shared" si="12"/>
        <v>-6326.9527108662878</v>
      </c>
      <c r="F297" s="349">
        <v>-35284.952155826031</v>
      </c>
      <c r="G297" s="246">
        <v>-250600.49158537018</v>
      </c>
      <c r="H297" s="349">
        <f t="shared" si="13"/>
        <v>-215315.53942954415</v>
      </c>
      <c r="I297" s="349">
        <v>21829.471343757454</v>
      </c>
      <c r="J297" s="246">
        <f>VLOOKUP(B297,'M) Police'!B297:O605,14,FALSE)</f>
        <v>19832.872630687922</v>
      </c>
      <c r="K297" s="349">
        <f t="shared" si="14"/>
        <v>-1996.5987130695321</v>
      </c>
    </row>
    <row r="298" spans="1:11" x14ac:dyDescent="0.25">
      <c r="A298" s="162">
        <f>+'B) D RI'!A299</f>
        <v>5921</v>
      </c>
      <c r="B298" s="482" t="str">
        <f>+'B) D RI'!B299</f>
        <v>Molondin</v>
      </c>
      <c r="C298" s="478">
        <v>108780.37627750231</v>
      </c>
      <c r="D298" s="246">
        <f>VLOOKUP(B298,Synthèse!B298:F606,5,FALSE)</f>
        <v>93480.087931515431</v>
      </c>
      <c r="E298" s="349">
        <f t="shared" si="12"/>
        <v>-15300.288345986875</v>
      </c>
      <c r="F298" s="349">
        <v>-114739.3955756088</v>
      </c>
      <c r="G298" s="246">
        <v>-88413.251817817509</v>
      </c>
      <c r="H298" s="349">
        <f t="shared" si="13"/>
        <v>26326.143757791287</v>
      </c>
      <c r="I298" s="349">
        <v>15810.151500667293</v>
      </c>
      <c r="J298" s="246">
        <f>VLOOKUP(B298,'M) Police'!B298:O606,14,FALSE)</f>
        <v>16888.215328743128</v>
      </c>
      <c r="K298" s="349">
        <f t="shared" si="14"/>
        <v>1078.0638280758358</v>
      </c>
    </row>
    <row r="299" spans="1:11" x14ac:dyDescent="0.25">
      <c r="A299" s="162">
        <f>+'B) D RI'!A300</f>
        <v>5922</v>
      </c>
      <c r="B299" s="482" t="str">
        <f>+'B) D RI'!B300</f>
        <v>Montagny-près-Yverdon</v>
      </c>
      <c r="C299" s="478">
        <v>1252799.7224090502</v>
      </c>
      <c r="D299" s="246">
        <f>VLOOKUP(B299,Synthèse!B299:F607,5,FALSE)</f>
        <v>1000181.9108635731</v>
      </c>
      <c r="E299" s="349">
        <f t="shared" si="12"/>
        <v>-252617.81154547713</v>
      </c>
      <c r="F299" s="349">
        <v>803050.01554522954</v>
      </c>
      <c r="G299" s="246">
        <v>613303.6478094979</v>
      </c>
      <c r="H299" s="349">
        <f t="shared" si="13"/>
        <v>-189746.36773573165</v>
      </c>
      <c r="I299" s="349">
        <v>127889.97529009491</v>
      </c>
      <c r="J299" s="246">
        <f>VLOOKUP(B299,'M) Police'!B299:O607,14,FALSE)</f>
        <v>119042.91338011363</v>
      </c>
      <c r="K299" s="349">
        <f t="shared" si="14"/>
        <v>-8847.0619099812757</v>
      </c>
    </row>
    <row r="300" spans="1:11" x14ac:dyDescent="0.25">
      <c r="A300" s="162">
        <f>+'B) D RI'!A301</f>
        <v>5923</v>
      </c>
      <c r="B300" s="482" t="str">
        <f>+'B) D RI'!B301</f>
        <v>Oppens</v>
      </c>
      <c r="C300" s="478">
        <v>103186.21932670099</v>
      </c>
      <c r="D300" s="246">
        <f>VLOOKUP(B300,Synthèse!B300:F608,5,FALSE)</f>
        <v>79893.877619510255</v>
      </c>
      <c r="E300" s="349">
        <f t="shared" si="12"/>
        <v>-23292.341707190732</v>
      </c>
      <c r="F300" s="349">
        <v>-42475.442230841545</v>
      </c>
      <c r="G300" s="246">
        <v>-71965.990668275743</v>
      </c>
      <c r="H300" s="349">
        <f t="shared" si="13"/>
        <v>-29490.548437434198</v>
      </c>
      <c r="I300" s="349">
        <v>15843.417144113195</v>
      </c>
      <c r="J300" s="246">
        <f>VLOOKUP(B300,'M) Police'!B300:O608,14,FALSE)</f>
        <v>14502.811298681769</v>
      </c>
      <c r="K300" s="349">
        <f t="shared" si="14"/>
        <v>-1340.6058454314261</v>
      </c>
    </row>
    <row r="301" spans="1:11" x14ac:dyDescent="0.25">
      <c r="A301" s="162">
        <f>+'B) D RI'!A302</f>
        <v>5924</v>
      </c>
      <c r="B301" s="482" t="str">
        <f>+'B) D RI'!B302</f>
        <v>Orges</v>
      </c>
      <c r="C301" s="478">
        <v>184509.99383812957</v>
      </c>
      <c r="D301" s="246">
        <f>VLOOKUP(B301,Synthèse!B301:F609,5,FALSE)</f>
        <v>169493.41458186595</v>
      </c>
      <c r="E301" s="349">
        <f t="shared" si="12"/>
        <v>-15016.57925626362</v>
      </c>
      <c r="F301" s="349">
        <v>72129.034929890826</v>
      </c>
      <c r="G301" s="246">
        <v>65392.992261398467</v>
      </c>
      <c r="H301" s="349">
        <f t="shared" si="13"/>
        <v>-6736.0426684923586</v>
      </c>
      <c r="I301" s="349">
        <v>28976.866923970774</v>
      </c>
      <c r="J301" s="246">
        <f>VLOOKUP(B301,'M) Police'!B301:O609,14,FALSE)</f>
        <v>33239.865560394319</v>
      </c>
      <c r="K301" s="349">
        <f t="shared" si="14"/>
        <v>4262.9986364235447</v>
      </c>
    </row>
    <row r="302" spans="1:11" x14ac:dyDescent="0.25">
      <c r="A302" s="162">
        <f>+'B) D RI'!A303</f>
        <v>5925</v>
      </c>
      <c r="B302" s="482" t="str">
        <f>+'B) D RI'!B303</f>
        <v>Orzens</v>
      </c>
      <c r="C302" s="478">
        <v>82629.187159283989</v>
      </c>
      <c r="D302" s="246">
        <f>VLOOKUP(B302,Synthèse!B302:F610,5,FALSE)</f>
        <v>75861.540212369291</v>
      </c>
      <c r="E302" s="349">
        <f t="shared" si="12"/>
        <v>-6767.6469469146978</v>
      </c>
      <c r="F302" s="349">
        <v>-43081.131835897017</v>
      </c>
      <c r="G302" s="246">
        <v>-39219.757420216432</v>
      </c>
      <c r="H302" s="349">
        <f t="shared" si="13"/>
        <v>3861.3744156805842</v>
      </c>
      <c r="I302" s="349">
        <v>16196.3343221903</v>
      </c>
      <c r="J302" s="246">
        <f>VLOOKUP(B302,'M) Police'!B302:O610,14,FALSE)</f>
        <v>14715.96817189996</v>
      </c>
      <c r="K302" s="349">
        <f t="shared" si="14"/>
        <v>-1480.3661502903396</v>
      </c>
    </row>
    <row r="303" spans="1:11" x14ac:dyDescent="0.25">
      <c r="A303" s="162">
        <f>+'B) D RI'!A304</f>
        <v>5926</v>
      </c>
      <c r="B303" s="482" t="str">
        <f>+'B) D RI'!B304</f>
        <v>Pomy</v>
      </c>
      <c r="C303" s="478">
        <v>377155.21418822976</v>
      </c>
      <c r="D303" s="246">
        <f>VLOOKUP(B303,Synthèse!B303:F611,5,FALSE)</f>
        <v>395702.99005533132</v>
      </c>
      <c r="E303" s="349">
        <f t="shared" si="12"/>
        <v>18547.775867101562</v>
      </c>
      <c r="F303" s="349">
        <v>-183428.91882472835</v>
      </c>
      <c r="G303" s="246">
        <v>83344.561203981037</v>
      </c>
      <c r="H303" s="349">
        <f t="shared" si="13"/>
        <v>266773.4800287094</v>
      </c>
      <c r="I303" s="349">
        <v>28230.890082271326</v>
      </c>
      <c r="J303" s="246">
        <f>VLOOKUP(B303,'M) Police'!B303:O611,14,FALSE)</f>
        <v>28991.242262363579</v>
      </c>
      <c r="K303" s="349">
        <f t="shared" si="14"/>
        <v>760.35218009225355</v>
      </c>
    </row>
    <row r="304" spans="1:11" x14ac:dyDescent="0.25">
      <c r="A304" s="162">
        <f>+'B) D RI'!A305</f>
        <v>5928</v>
      </c>
      <c r="B304" s="482" t="str">
        <f>+'B) D RI'!B305</f>
        <v>Rovray</v>
      </c>
      <c r="C304" s="478">
        <v>89784.616502948542</v>
      </c>
      <c r="D304" s="246">
        <f>VLOOKUP(B304,Synthèse!B304:F612,5,FALSE)</f>
        <v>72691.142599920087</v>
      </c>
      <c r="E304" s="349">
        <f t="shared" si="12"/>
        <v>-17093.473903028455</v>
      </c>
      <c r="F304" s="349">
        <v>3046.2757797336144</v>
      </c>
      <c r="G304" s="246">
        <v>-30341.03744724036</v>
      </c>
      <c r="H304" s="349">
        <f t="shared" si="13"/>
        <v>-33387.313226973973</v>
      </c>
      <c r="I304" s="349">
        <v>15849.135844928409</v>
      </c>
      <c r="J304" s="246">
        <f>VLOOKUP(B304,'M) Police'!B304:O612,14,FALSE)</f>
        <v>14015.151082231409</v>
      </c>
      <c r="K304" s="349">
        <f t="shared" si="14"/>
        <v>-1833.9847626970004</v>
      </c>
    </row>
    <row r="305" spans="1:11" x14ac:dyDescent="0.25">
      <c r="A305" s="162">
        <f>+'B) D RI'!A306</f>
        <v>5929</v>
      </c>
      <c r="B305" s="482" t="str">
        <f>+'B) D RI'!B306</f>
        <v>Suchy</v>
      </c>
      <c r="C305" s="478">
        <v>267860.27544907515</v>
      </c>
      <c r="D305" s="246">
        <f>VLOOKUP(B305,Synthèse!B305:F613,5,FALSE)</f>
        <v>301410.41470298055</v>
      </c>
      <c r="E305" s="349">
        <f t="shared" si="12"/>
        <v>33550.139253905392</v>
      </c>
      <c r="F305" s="349">
        <v>85997.308264488267</v>
      </c>
      <c r="G305" s="246">
        <v>43999.380194040132</v>
      </c>
      <c r="H305" s="349">
        <f t="shared" si="13"/>
        <v>-41997.928070448135</v>
      </c>
      <c r="I305" s="349">
        <v>21592.109142559962</v>
      </c>
      <c r="J305" s="246">
        <f>VLOOKUP(B305,'M) Police'!B305:O613,14,FALSE)</f>
        <v>21253.497409217849</v>
      </c>
      <c r="K305" s="349">
        <f t="shared" si="14"/>
        <v>-338.61173334211344</v>
      </c>
    </row>
    <row r="306" spans="1:11" x14ac:dyDescent="0.25">
      <c r="A306" s="162">
        <f>+'B) D RI'!A307</f>
        <v>5930</v>
      </c>
      <c r="B306" s="482" t="str">
        <f>+'B) D RI'!B307</f>
        <v>Suscévaz</v>
      </c>
      <c r="C306" s="478">
        <v>85577.163382249681</v>
      </c>
      <c r="D306" s="246">
        <f>VLOOKUP(B306,Synthèse!B306:F614,5,FALSE)</f>
        <v>101282.7865236483</v>
      </c>
      <c r="E306" s="349">
        <f t="shared" si="12"/>
        <v>15705.623141398624</v>
      </c>
      <c r="F306" s="349">
        <v>15335.080139786558</v>
      </c>
      <c r="G306" s="246">
        <v>-27593.416523937834</v>
      </c>
      <c r="H306" s="349">
        <f t="shared" si="13"/>
        <v>-42928.496663724392</v>
      </c>
      <c r="I306" s="349">
        <v>6991.676191213317</v>
      </c>
      <c r="J306" s="246">
        <f>VLOOKUP(B306,'M) Police'!B306:O614,14,FALSE)</f>
        <v>6658.1073052609336</v>
      </c>
      <c r="K306" s="349">
        <f t="shared" si="14"/>
        <v>-333.56888595238343</v>
      </c>
    </row>
    <row r="307" spans="1:11" x14ac:dyDescent="0.25">
      <c r="A307" s="162">
        <f>+'B) D RI'!A308</f>
        <v>5931</v>
      </c>
      <c r="B307" s="482" t="str">
        <f>+'B) D RI'!B308</f>
        <v>Treycovagnes</v>
      </c>
      <c r="C307" s="478">
        <v>257709.02502001394</v>
      </c>
      <c r="D307" s="246">
        <f>VLOOKUP(B307,Synthèse!B307:F615,5,FALSE)</f>
        <v>255589.04217170086</v>
      </c>
      <c r="E307" s="349">
        <f t="shared" si="12"/>
        <v>-2119.9828483130841</v>
      </c>
      <c r="F307" s="349">
        <v>59384.876179581224</v>
      </c>
      <c r="G307" s="246">
        <v>26369.357890578933</v>
      </c>
      <c r="H307" s="349">
        <f t="shared" si="13"/>
        <v>-33015.518289002292</v>
      </c>
      <c r="I307" s="349">
        <v>18689.913291000856</v>
      </c>
      <c r="J307" s="246">
        <f>VLOOKUP(B307,'M) Police'!B307:O615,14,FALSE)</f>
        <v>16498.613077940459</v>
      </c>
      <c r="K307" s="349">
        <f t="shared" si="14"/>
        <v>-2191.3002130603963</v>
      </c>
    </row>
    <row r="308" spans="1:11" x14ac:dyDescent="0.25">
      <c r="A308" s="162">
        <f>+'B) D RI'!A309</f>
        <v>5932</v>
      </c>
      <c r="B308" s="482" t="str">
        <f>+'B) D RI'!B309</f>
        <v>Ursins</v>
      </c>
      <c r="C308" s="478">
        <v>84567.584155109813</v>
      </c>
      <c r="D308" s="246">
        <f>VLOOKUP(B308,Synthèse!B308:F616,5,FALSE)</f>
        <v>116184.17888892085</v>
      </c>
      <c r="E308" s="349">
        <f t="shared" si="12"/>
        <v>31616.594733811042</v>
      </c>
      <c r="F308" s="349">
        <v>-26164.431297304625</v>
      </c>
      <c r="G308" s="246">
        <v>29111.482326383939</v>
      </c>
      <c r="H308" s="349">
        <f t="shared" si="13"/>
        <v>55275.913623688568</v>
      </c>
      <c r="I308" s="349">
        <v>17405.128454105336</v>
      </c>
      <c r="J308" s="246">
        <f>VLOOKUP(B308,'M) Police'!B308:O616,14,FALSE)</f>
        <v>21449.96036647851</v>
      </c>
      <c r="K308" s="349">
        <f t="shared" si="14"/>
        <v>4044.8319123731744</v>
      </c>
    </row>
    <row r="309" spans="1:11" x14ac:dyDescent="0.25">
      <c r="A309" s="162">
        <f>+'B) D RI'!A310</f>
        <v>5933</v>
      </c>
      <c r="B309" s="482" t="str">
        <f>+'B) D RI'!B310</f>
        <v>Valeyres-sous-Montagny</v>
      </c>
      <c r="C309" s="478">
        <v>318519.05908067926</v>
      </c>
      <c r="D309" s="246">
        <f>VLOOKUP(B309,Synthèse!B309:F617,5,FALSE)</f>
        <v>378323.51111720462</v>
      </c>
      <c r="E309" s="349">
        <f t="shared" si="12"/>
        <v>59804.452036525356</v>
      </c>
      <c r="F309" s="349">
        <v>-157358.291951647</v>
      </c>
      <c r="G309" s="246">
        <v>-179297.16695358034</v>
      </c>
      <c r="H309" s="349">
        <f t="shared" si="13"/>
        <v>-21938.875001933338</v>
      </c>
      <c r="I309" s="349">
        <v>54621.448202855099</v>
      </c>
      <c r="J309" s="246">
        <f>VLOOKUP(B309,'M) Police'!B309:O617,14,FALSE)</f>
        <v>64376.951630922951</v>
      </c>
      <c r="K309" s="349">
        <f t="shared" si="14"/>
        <v>9755.5034280678519</v>
      </c>
    </row>
    <row r="310" spans="1:11" x14ac:dyDescent="0.25">
      <c r="A310" s="162">
        <f>+'B) D RI'!A311</f>
        <v>5934</v>
      </c>
      <c r="B310" s="482" t="str">
        <f>+'B) D RI'!B311</f>
        <v>Valeyres-sous-Ursins</v>
      </c>
      <c r="C310" s="478">
        <v>124439.42991626558</v>
      </c>
      <c r="D310" s="246">
        <f>VLOOKUP(B310,Synthèse!B310:F618,5,FALSE)</f>
        <v>103538.69234763244</v>
      </c>
      <c r="E310" s="349">
        <f t="shared" si="12"/>
        <v>-20900.737568633136</v>
      </c>
      <c r="F310" s="349">
        <v>-12494.232452400811</v>
      </c>
      <c r="G310" s="246">
        <v>5348.7019835918036</v>
      </c>
      <c r="H310" s="349">
        <f t="shared" si="13"/>
        <v>17842.934435992614</v>
      </c>
      <c r="I310" s="349">
        <v>21396.904272121916</v>
      </c>
      <c r="J310" s="246">
        <f>VLOOKUP(B310,'M) Police'!B310:O618,14,FALSE)</f>
        <v>21621.819146477752</v>
      </c>
      <c r="K310" s="349">
        <f t="shared" si="14"/>
        <v>224.91487435583622</v>
      </c>
    </row>
    <row r="311" spans="1:11" x14ac:dyDescent="0.25">
      <c r="A311" s="162">
        <f>+'B) D RI'!A312</f>
        <v>5935</v>
      </c>
      <c r="B311" s="482" t="str">
        <f>+'B) D RI'!B312</f>
        <v>Villars-Epeney</v>
      </c>
      <c r="C311" s="478">
        <v>131295.59559428346</v>
      </c>
      <c r="D311" s="246">
        <f>VLOOKUP(B311,Synthèse!B311:F619,5,FALSE)</f>
        <v>87432.73728555374</v>
      </c>
      <c r="E311" s="349">
        <f t="shared" si="12"/>
        <v>-43862.858308729716</v>
      </c>
      <c r="F311" s="349">
        <v>60079.218023470807</v>
      </c>
      <c r="G311" s="246">
        <v>76110.683986808421</v>
      </c>
      <c r="H311" s="349">
        <f t="shared" si="13"/>
        <v>16031.465963337614</v>
      </c>
      <c r="I311" s="349">
        <v>15792.837100731293</v>
      </c>
      <c r="J311" s="246">
        <f>VLOOKUP(B311,'M) Police'!B311:O619,14,FALSE)</f>
        <v>15966.955254360244</v>
      </c>
      <c r="K311" s="349">
        <f t="shared" si="14"/>
        <v>174.1181536289514</v>
      </c>
    </row>
    <row r="312" spans="1:11" x14ac:dyDescent="0.25">
      <c r="A312" s="162">
        <f>+'B) D RI'!A313</f>
        <v>5937</v>
      </c>
      <c r="B312" s="482" t="str">
        <f>+'B) D RI'!B313</f>
        <v>Vugelles-La Mothe</v>
      </c>
      <c r="C312" s="478">
        <v>33051.244947691215</v>
      </c>
      <c r="D312" s="246">
        <f>VLOOKUP(B312,Synthèse!B312:F620,5,FALSE)</f>
        <v>49397.297536477345</v>
      </c>
      <c r="E312" s="349">
        <f t="shared" si="12"/>
        <v>16346.052588786129</v>
      </c>
      <c r="F312" s="349">
        <v>-89422.416352043641</v>
      </c>
      <c r="G312" s="246">
        <v>-36053.818132304092</v>
      </c>
      <c r="H312" s="349">
        <f t="shared" si="13"/>
        <v>53368.59821973955</v>
      </c>
      <c r="I312" s="349">
        <v>6700.5309811320931</v>
      </c>
      <c r="J312" s="246">
        <f>VLOOKUP(B312,'M) Police'!B312:O620,14,FALSE)</f>
        <v>8938.5461015412748</v>
      </c>
      <c r="K312" s="349">
        <f t="shared" si="14"/>
        <v>2238.0151204091817</v>
      </c>
    </row>
    <row r="313" spans="1:11" x14ac:dyDescent="0.25">
      <c r="A313" s="162">
        <f>+'B) D RI'!A314</f>
        <v>5938</v>
      </c>
      <c r="B313" s="482" t="str">
        <f>+'B) D RI'!B314</f>
        <v>Yverdon-les-Bains</v>
      </c>
      <c r="C313" s="478">
        <v>14896940.598414524</v>
      </c>
      <c r="D313" s="246">
        <f>VLOOKUP(B313,Synthèse!B313:F621,5,FALSE)</f>
        <v>14888219.080967735</v>
      </c>
      <c r="E313" s="349">
        <f t="shared" si="12"/>
        <v>-8721.5174467880279</v>
      </c>
      <c r="F313" s="349">
        <v>-26812783.442835741</v>
      </c>
      <c r="G313" s="246">
        <v>-27507405.068707626</v>
      </c>
      <c r="H313" s="349">
        <f t="shared" si="13"/>
        <v>-694621.62587188557</v>
      </c>
      <c r="I313" s="349">
        <v>1035497.8771125537</v>
      </c>
      <c r="J313" s="246">
        <f>VLOOKUP(B313,'M) Police'!B313:O621,14,FALSE)</f>
        <v>995622.04669430223</v>
      </c>
      <c r="K313" s="349">
        <f t="shared" si="14"/>
        <v>-39875.830418251455</v>
      </c>
    </row>
    <row r="314" spans="1:11" x14ac:dyDescent="0.25">
      <c r="A314" s="162">
        <f>+'B) D RI'!A315</f>
        <v>5939</v>
      </c>
      <c r="B314" s="482" t="str">
        <f>+'B) D RI'!B315</f>
        <v>Yvonand</v>
      </c>
      <c r="C314" s="478">
        <v>1648573.5463647828</v>
      </c>
      <c r="D314" s="246">
        <f>VLOOKUP(B314,Synthèse!B314:F622,5,FALSE)</f>
        <v>2033233.9768922348</v>
      </c>
      <c r="E314" s="349">
        <f t="shared" si="12"/>
        <v>384660.43052745191</v>
      </c>
      <c r="F314" s="349">
        <v>-532088.40715654544</v>
      </c>
      <c r="G314" s="246">
        <v>-774281.97121418151</v>
      </c>
      <c r="H314" s="349">
        <f t="shared" si="13"/>
        <v>-242193.56405763607</v>
      </c>
      <c r="I314" s="349">
        <v>281958.15234920592</v>
      </c>
      <c r="J314" s="246">
        <f>VLOOKUP(B314,'M) Police'!B314:O622,14,FALSE)</f>
        <v>288577.56892356841</v>
      </c>
      <c r="K314" s="349">
        <f t="shared" si="14"/>
        <v>6619.4165743624908</v>
      </c>
    </row>
    <row r="315" spans="1:11" x14ac:dyDescent="0.25">
      <c r="A315" s="32"/>
      <c r="B315" s="26">
        <f>COUNTA(B6:B314)</f>
        <v>309</v>
      </c>
      <c r="C315" s="479">
        <v>735072899.99999976</v>
      </c>
      <c r="D315" s="480">
        <f>SUM(D6:D314)</f>
        <v>772630956</v>
      </c>
      <c r="E315" s="156">
        <f>SUM(E6:E314)</f>
        <v>37558056.000000037</v>
      </c>
      <c r="F315" s="481">
        <v>449999.94101853319</v>
      </c>
      <c r="G315" s="480">
        <f>SUM(G6:G314)</f>
        <v>449999.9999997702</v>
      </c>
      <c r="H315" s="506">
        <v>0</v>
      </c>
      <c r="I315" s="481">
        <f t="shared" ref="I315:K315" si="15">SUM(I6:I314)</f>
        <v>65930099.4467889</v>
      </c>
      <c r="J315" s="502">
        <f t="shared" si="15"/>
        <v>65930098.99999997</v>
      </c>
      <c r="K315" s="156">
        <f t="shared" si="15"/>
        <v>-0.44678891357762041</v>
      </c>
    </row>
    <row r="316" spans="1:11" x14ac:dyDescent="0.25">
      <c r="I316" s="346"/>
      <c r="J316" s="6"/>
    </row>
    <row r="317" spans="1:11" x14ac:dyDescent="0.25">
      <c r="I317" s="346"/>
      <c r="J317" s="6"/>
    </row>
    <row r="318" spans="1:11" x14ac:dyDescent="0.25">
      <c r="I318" s="346"/>
    </row>
    <row r="319" spans="1:11" x14ac:dyDescent="0.25">
      <c r="I319" s="47"/>
    </row>
  </sheetData>
  <mergeCells count="6">
    <mergeCell ref="I4:K4"/>
    <mergeCell ref="A1:E1"/>
    <mergeCell ref="A4:A5"/>
    <mergeCell ref="B4:B5"/>
    <mergeCell ref="C4:E4"/>
    <mergeCell ref="F4:H4"/>
  </mergeCells>
  <pageMargins left="0.70866141732283472" right="0.70866141732283472" top="0.74803149606299213" bottom="0.74803149606299213" header="0.31496062992125984" footer="0.31496062992125984"/>
  <pageSetup paperSize="9" fitToHeight="11" orientation="landscape" r:id="rId1"/>
  <headerFooter>
    <oddFooter>&amp;LSCL - division finances communales&amp;R&amp;P/&amp;N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3" tint="0.39997558519241921"/>
    <pageSetUpPr fitToPage="1"/>
  </sheetPr>
  <dimension ref="B1:G68"/>
  <sheetViews>
    <sheetView tabSelected="1" workbookViewId="0">
      <selection activeCell="F22" sqref="F22"/>
    </sheetView>
  </sheetViews>
  <sheetFormatPr baseColWidth="10" defaultColWidth="10.875" defaultRowHeight="15" x14ac:dyDescent="0.25"/>
  <cols>
    <col min="1" max="1" width="3.375" style="169" customWidth="1"/>
    <col min="2" max="2" width="17.125" style="169" customWidth="1"/>
    <col min="3" max="4" width="12.75" style="169" customWidth="1"/>
    <col min="5" max="6" width="12.75" style="215" customWidth="1"/>
    <col min="7" max="16384" width="10.875" style="169"/>
  </cols>
  <sheetData>
    <row r="1" spans="2:6" ht="31.5" x14ac:dyDescent="0.5">
      <c r="B1" s="209" t="s">
        <v>500</v>
      </c>
    </row>
    <row r="3" spans="2:6" s="216" customFormat="1" ht="26.25" x14ac:dyDescent="0.4">
      <c r="B3" s="219"/>
      <c r="C3" s="523" t="s">
        <v>209</v>
      </c>
      <c r="D3" s="523"/>
      <c r="E3" s="523"/>
      <c r="F3" s="217"/>
    </row>
    <row r="6" spans="2:6" ht="18.75" x14ac:dyDescent="0.3">
      <c r="B6" s="522" t="str">
        <f>CONCATENATE("Péréquation, ",Paramètres!B5)</f>
        <v>Péréquation, 2017</v>
      </c>
      <c r="C6" s="522"/>
      <c r="D6" s="522"/>
      <c r="E6" s="522"/>
      <c r="F6" s="522"/>
    </row>
    <row r="7" spans="2:6" s="263" customFormat="1" ht="18.75" x14ac:dyDescent="0.3">
      <c r="B7" s="522" t="str">
        <f>C3</f>
        <v>Le Chenit</v>
      </c>
      <c r="C7" s="522"/>
      <c r="D7" s="522"/>
      <c r="E7" s="522"/>
      <c r="F7" s="522"/>
    </row>
    <row r="8" spans="2:6" s="263" customFormat="1" ht="12.75" x14ac:dyDescent="0.2">
      <c r="B8" s="270" t="str">
        <f>CONCATENATE("Population : ",VLOOKUP($B$7,'A) Base RI'!$B$7:$AN$315,39,FALSE))</f>
        <v>Population : 4612</v>
      </c>
      <c r="C8" s="261"/>
      <c r="D8" s="261"/>
      <c r="E8" s="262"/>
      <c r="F8" s="269" t="str">
        <f>CONCATENATE("N° OFS : ",VLOOKUP($B$7,Paramètres!$A$70:$B$378,2,FALSE))</f>
        <v>N° OFS : 5872</v>
      </c>
    </row>
    <row r="9" spans="2:6" s="263" customFormat="1" ht="12.75" x14ac:dyDescent="0.2">
      <c r="B9" s="270" t="str">
        <f>CONCATENATE("Taux : ",VLOOKUP($B$7,'A) Base RI'!$B$7:$AN$315,38,FALSE))</f>
        <v>Taux : 69.56</v>
      </c>
      <c r="C9" s="261"/>
      <c r="D9" s="261"/>
      <c r="E9" s="262"/>
      <c r="F9" s="357" t="str">
        <f>CONCATENATE("Point impôt communal : ",ROUND(VLOOKUP(B7,'D) Ecrêtage'!B5:M322,2,FALSE),0))</f>
        <v>Point impôt communal : 222567</v>
      </c>
    </row>
    <row r="10" spans="2:6" s="263" customFormat="1" ht="12.75" x14ac:dyDescent="0.2">
      <c r="B10" s="261"/>
      <c r="C10" s="261"/>
      <c r="D10" s="261"/>
      <c r="E10" s="262"/>
      <c r="F10" s="357" t="str">
        <f>CONCATENATE("Point impôt écrêté : ",ROUND(VLOOKUP(B7,'H) Péréquation directe'!B16:C333,2,FALSE),0))</f>
        <v>Point impôt écrêté : 222567</v>
      </c>
    </row>
    <row r="11" spans="2:6" ht="18" x14ac:dyDescent="0.35">
      <c r="B11" s="253" t="s">
        <v>529</v>
      </c>
      <c r="C11" s="109"/>
      <c r="D11" s="109"/>
      <c r="E11" s="218"/>
      <c r="F11" s="218"/>
    </row>
    <row r="12" spans="2:6" s="263" customFormat="1" ht="12.75" x14ac:dyDescent="0.2">
      <c r="B12" s="261"/>
      <c r="C12" s="261"/>
      <c r="D12" s="261"/>
      <c r="E12" s="262"/>
      <c r="F12" s="262"/>
    </row>
    <row r="13" spans="2:6" s="263" customFormat="1" ht="12.75" x14ac:dyDescent="0.2">
      <c r="B13" s="268" t="s">
        <v>446</v>
      </c>
      <c r="C13" s="261"/>
      <c r="D13" s="261"/>
      <c r="E13" s="262"/>
      <c r="F13" s="262"/>
    </row>
    <row r="14" spans="2:6" s="263" customFormat="1" ht="12.75" x14ac:dyDescent="0.2">
      <c r="B14" s="261" t="s">
        <v>489</v>
      </c>
      <c r="C14" s="261"/>
      <c r="D14" s="261"/>
      <c r="E14" s="264">
        <f>VLOOKUP($C$3,'C) Prél. conj.'!$B$3:$E$391,2,FALSE)*0.5</f>
        <v>345998.35000000003</v>
      </c>
      <c r="F14" s="262"/>
    </row>
    <row r="15" spans="2:6" s="263" customFormat="1" ht="12.75" x14ac:dyDescent="0.2">
      <c r="B15" s="261" t="s">
        <v>199</v>
      </c>
      <c r="C15" s="261"/>
      <c r="D15" s="261"/>
      <c r="E15" s="264">
        <f>VLOOKUP($C$3,'C) Prél. conj.'!$B$3:$E$391,3,FALSE)*0.3</f>
        <v>1499038.0799999998</v>
      </c>
      <c r="F15" s="262">
        <f>E14+E15</f>
        <v>1845036.43</v>
      </c>
    </row>
    <row r="16" spans="2:6" s="263" customFormat="1" ht="12.75" x14ac:dyDescent="0.2">
      <c r="B16" s="261"/>
      <c r="C16" s="261"/>
      <c r="D16" s="261"/>
      <c r="E16" s="262"/>
      <c r="F16" s="262"/>
    </row>
    <row r="17" spans="2:6" s="263" customFormat="1" ht="12.75" x14ac:dyDescent="0.2">
      <c r="B17" s="268" t="s">
        <v>487</v>
      </c>
      <c r="C17" s="261"/>
      <c r="D17" s="261"/>
      <c r="E17" s="262"/>
      <c r="F17" s="262"/>
    </row>
    <row r="18" spans="2:6" s="263" customFormat="1" ht="12.75" x14ac:dyDescent="0.2">
      <c r="B18" s="261" t="s">
        <v>491</v>
      </c>
      <c r="C18" s="261"/>
      <c r="D18" s="265">
        <f>VLOOKUP($C$3,'D) Ecrêtage'!$B$3:$L$391,10,FALSE)</f>
        <v>0</v>
      </c>
      <c r="E18" s="262"/>
      <c r="F18" s="262">
        <f>VLOOKUP($C$3,'D) Ecrêtage'!$B$3:$L$391,11,FALSE)</f>
        <v>0</v>
      </c>
    </row>
    <row r="19" spans="2:6" s="263" customFormat="1" ht="12.75" x14ac:dyDescent="0.2">
      <c r="B19" s="261"/>
      <c r="C19" s="261"/>
      <c r="D19" s="261"/>
      <c r="E19" s="262"/>
      <c r="F19" s="262"/>
    </row>
    <row r="20" spans="2:6" s="263" customFormat="1" ht="12.75" x14ac:dyDescent="0.2">
      <c r="B20" s="268" t="s">
        <v>490</v>
      </c>
      <c r="C20" s="261"/>
      <c r="D20" s="261"/>
      <c r="E20" s="262"/>
      <c r="F20" s="262"/>
    </row>
    <row r="21" spans="2:6" s="263" customFormat="1" ht="12.75" x14ac:dyDescent="0.2">
      <c r="B21" s="261" t="str">
        <f>CONCATENATE("Nombre de points écrêtés à répartir ",ROUND('E) Fact soc'!D7,2))</f>
        <v>Nombre de points écrêtés à répartir 15.02</v>
      </c>
      <c r="C21" s="261"/>
      <c r="D21" s="261"/>
      <c r="E21" s="262"/>
      <c r="F21" s="262"/>
    </row>
    <row r="22" spans="2:6" s="263" customFormat="1" ht="12.75" x14ac:dyDescent="0.2">
      <c r="B22" s="261" t="s">
        <v>499</v>
      </c>
      <c r="C22" s="261"/>
      <c r="D22" s="261"/>
      <c r="E22" s="262"/>
      <c r="F22" s="262">
        <f>VLOOKUP($C$3,'E) Fact soc'!$B$9:$G$391,5,FALSE)</f>
        <v>3341876.9960983102</v>
      </c>
    </row>
    <row r="23" spans="2:6" s="263" customFormat="1" ht="12.75" x14ac:dyDescent="0.2">
      <c r="B23" s="261"/>
      <c r="C23" s="261"/>
      <c r="D23" s="261"/>
      <c r="E23" s="262"/>
      <c r="F23" s="266"/>
    </row>
    <row r="24" spans="2:6" s="263" customFormat="1" ht="12.75" x14ac:dyDescent="0.2">
      <c r="B24" s="268" t="s">
        <v>492</v>
      </c>
      <c r="C24" s="261"/>
      <c r="D24" s="261"/>
      <c r="E24" s="262"/>
      <c r="F24" s="267">
        <f>F15+F18+F22</f>
        <v>5186913.4260983104</v>
      </c>
    </row>
    <row r="25" spans="2:6" s="263" customFormat="1" ht="12.75" x14ac:dyDescent="0.2">
      <c r="B25" s="261"/>
      <c r="C25" s="261"/>
      <c r="D25" s="261"/>
      <c r="E25" s="262"/>
      <c r="F25" s="262"/>
    </row>
    <row r="26" spans="2:6" ht="18" x14ac:dyDescent="0.35">
      <c r="B26" s="253" t="s">
        <v>530</v>
      </c>
      <c r="C26" s="109"/>
      <c r="D26" s="109"/>
      <c r="E26" s="218"/>
      <c r="F26" s="218"/>
    </row>
    <row r="27" spans="2:6" s="263" customFormat="1" ht="12.75" x14ac:dyDescent="0.2">
      <c r="B27" s="261"/>
      <c r="C27" s="261"/>
      <c r="D27" s="261"/>
      <c r="E27" s="262"/>
      <c r="F27" s="262"/>
    </row>
    <row r="28" spans="2:6" s="263" customFormat="1" ht="12.75" x14ac:dyDescent="0.2">
      <c r="B28" s="268" t="s">
        <v>310</v>
      </c>
      <c r="C28" s="261"/>
      <c r="D28" s="261"/>
      <c r="E28" s="262"/>
      <c r="F28" s="262">
        <f>-VLOOKUP($C$3,'F) Population'!$B$8:$K$391,10,FALSE)</f>
        <v>-1586611.6700201207</v>
      </c>
    </row>
    <row r="29" spans="2:6" s="263" customFormat="1" ht="12.75" x14ac:dyDescent="0.2">
      <c r="B29" s="261"/>
      <c r="C29" s="261"/>
      <c r="D29" s="261"/>
      <c r="E29" s="262"/>
      <c r="F29" s="262"/>
    </row>
    <row r="30" spans="2:6" s="263" customFormat="1" ht="12.75" x14ac:dyDescent="0.2">
      <c r="B30" s="268" t="s">
        <v>493</v>
      </c>
      <c r="C30" s="261"/>
      <c r="D30" s="261"/>
      <c r="E30" s="262"/>
      <c r="F30" s="262">
        <f>-VLOOKUP($C$3,'G) Solidarité'!$B$5:$I$391,8,FALSE)</f>
        <v>0</v>
      </c>
    </row>
    <row r="31" spans="2:6" s="263" customFormat="1" ht="12.75" x14ac:dyDescent="0.2">
      <c r="B31" s="261"/>
      <c r="C31" s="261"/>
      <c r="D31" s="261"/>
      <c r="E31" s="262"/>
      <c r="F31" s="262"/>
    </row>
    <row r="32" spans="2:6" s="263" customFormat="1" ht="12.75" x14ac:dyDescent="0.2">
      <c r="B32" s="268" t="s">
        <v>144</v>
      </c>
      <c r="C32" s="261"/>
      <c r="D32" s="261"/>
      <c r="E32" s="262"/>
      <c r="F32" s="262"/>
    </row>
    <row r="33" spans="2:7" s="263" customFormat="1" ht="12.75" x14ac:dyDescent="0.2">
      <c r="B33" s="261" t="s">
        <v>494</v>
      </c>
      <c r="C33" s="261"/>
      <c r="D33" s="261"/>
      <c r="E33" s="264">
        <f>VLOOKUP(B7,'I) Dépenses thématiques'!B5:O313,9,FALSE)</f>
        <v>-1616084.6295778351</v>
      </c>
      <c r="F33" s="262"/>
    </row>
    <row r="34" spans="2:7" s="263" customFormat="1" ht="12.75" x14ac:dyDescent="0.2">
      <c r="B34" s="261" t="s">
        <v>219</v>
      </c>
      <c r="C34" s="261"/>
      <c r="D34" s="261"/>
      <c r="E34" s="264">
        <f>VLOOKUP(B7,'I) Dépenses thématiques'!B5:O313,13,FALSE)</f>
        <v>-162513.835122791</v>
      </c>
      <c r="F34" s="262">
        <f>SUM(E33:E34)</f>
        <v>-1778598.4647006262</v>
      </c>
    </row>
    <row r="35" spans="2:7" s="263" customFormat="1" ht="12.75" x14ac:dyDescent="0.2">
      <c r="B35" s="261"/>
      <c r="C35" s="261"/>
      <c r="D35" s="261"/>
      <c r="E35" s="262"/>
      <c r="F35" s="262"/>
    </row>
    <row r="36" spans="2:7" s="263" customFormat="1" ht="12.75" x14ac:dyDescent="0.2">
      <c r="B36" s="268" t="s">
        <v>495</v>
      </c>
      <c r="C36" s="261"/>
      <c r="D36" s="261"/>
      <c r="E36" s="262"/>
      <c r="F36" s="262"/>
    </row>
    <row r="37" spans="2:7" s="263" customFormat="1" ht="12.75" x14ac:dyDescent="0.2">
      <c r="B37" s="261" t="s">
        <v>656</v>
      </c>
      <c r="C37" s="261"/>
      <c r="D37" s="261"/>
      <c r="E37" s="264">
        <f>VLOOKUP($C$3,'J) Plafonnement effort'!$B$5:$I$391,8,FALSE)</f>
        <v>0</v>
      </c>
      <c r="F37" s="262"/>
    </row>
    <row r="38" spans="2:7" s="263" customFormat="1" ht="12.75" x14ac:dyDescent="0.2">
      <c r="B38" s="261" t="s">
        <v>496</v>
      </c>
      <c r="C38" s="261"/>
      <c r="D38" s="261"/>
      <c r="E38" s="264">
        <f>VLOOKUP($C$3,'K) Plafonnement aide'!$B$5:$J$391,9,FALSE)</f>
        <v>0</v>
      </c>
      <c r="F38" s="262"/>
    </row>
    <row r="39" spans="2:7" s="263" customFormat="1" ht="12.75" x14ac:dyDescent="0.2">
      <c r="B39" s="261" t="s">
        <v>497</v>
      </c>
      <c r="C39" s="261"/>
      <c r="D39" s="261"/>
      <c r="E39" s="264">
        <f>VLOOKUP($C$3,'L) Plafonnement taux'!$B$6:$Q$391,16,FALSE)</f>
        <v>0</v>
      </c>
      <c r="F39" s="262">
        <f>SUM(E37:E39)</f>
        <v>0</v>
      </c>
    </row>
    <row r="40" spans="2:7" s="263" customFormat="1" ht="12.75" x14ac:dyDescent="0.2">
      <c r="B40" s="261"/>
      <c r="C40" s="261"/>
      <c r="D40" s="261"/>
      <c r="E40" s="262"/>
      <c r="F40" s="262"/>
    </row>
    <row r="41" spans="2:7" s="263" customFormat="1" ht="12.75" x14ac:dyDescent="0.2">
      <c r="B41" s="268" t="s">
        <v>99</v>
      </c>
      <c r="C41" s="261"/>
      <c r="D41" s="261"/>
      <c r="E41" s="262"/>
      <c r="F41" s="262">
        <f>VLOOKUP($C$3,'H) Péréquation directe'!$B$16:$I$391,4,FALSE)</f>
        <v>4114823.2270396496</v>
      </c>
    </row>
    <row r="42" spans="2:7" s="263" customFormat="1" ht="12.75" x14ac:dyDescent="0.2">
      <c r="B42" s="261"/>
      <c r="C42" s="261"/>
      <c r="D42" s="261"/>
      <c r="E42" s="262"/>
      <c r="F42" s="266"/>
    </row>
    <row r="43" spans="2:7" s="263" customFormat="1" ht="12.75" x14ac:dyDescent="0.2">
      <c r="B43" s="268" t="s">
        <v>498</v>
      </c>
      <c r="C43" s="261"/>
      <c r="D43" s="261"/>
      <c r="E43" s="262"/>
      <c r="F43" s="461">
        <f>SUM(F27:F42)</f>
        <v>749613.09231890272</v>
      </c>
      <c r="G43" s="460"/>
    </row>
    <row r="44" spans="2:7" s="263" customFormat="1" ht="12.75" x14ac:dyDescent="0.2">
      <c r="B44" s="261"/>
      <c r="C44" s="261"/>
      <c r="D44" s="261"/>
      <c r="E44" s="262"/>
      <c r="F44" s="262"/>
    </row>
    <row r="45" spans="2:7" ht="18" x14ac:dyDescent="0.35">
      <c r="B45" s="253" t="s">
        <v>531</v>
      </c>
      <c r="C45" s="109"/>
      <c r="D45" s="109"/>
      <c r="E45" s="218"/>
      <c r="F45" s="218"/>
    </row>
    <row r="46" spans="2:7" s="263" customFormat="1" ht="12.75" x14ac:dyDescent="0.2">
      <c r="B46" s="261"/>
      <c r="C46" s="261"/>
      <c r="D46" s="261"/>
      <c r="E46" s="262"/>
      <c r="F46" s="262"/>
    </row>
    <row r="47" spans="2:7" s="263" customFormat="1" ht="12.75" x14ac:dyDescent="0.2">
      <c r="B47" s="261" t="s">
        <v>512</v>
      </c>
      <c r="C47" s="261"/>
      <c r="D47" s="261"/>
      <c r="E47" s="264">
        <f>VLOOKUP($C$3,'M) Police'!$B$6:$N$396,10,FALSE)</f>
        <v>397177.01971134305</v>
      </c>
      <c r="F47" s="262"/>
    </row>
    <row r="48" spans="2:7" s="263" customFormat="1" ht="12.75" x14ac:dyDescent="0.2">
      <c r="B48" s="261" t="s">
        <v>513</v>
      </c>
      <c r="C48" s="261"/>
      <c r="D48" s="261"/>
      <c r="E48" s="264">
        <f>VLOOKUP($C$3,'M) Police'!$B$6:$N$396,13,FALSE)</f>
        <v>276329.27986324456</v>
      </c>
      <c r="F48" s="262">
        <f>E47+E48</f>
        <v>673506.29957458761</v>
      </c>
    </row>
    <row r="49" spans="2:6" s="263" customFormat="1" ht="12.75" x14ac:dyDescent="0.2">
      <c r="B49" s="261"/>
      <c r="C49" s="261"/>
      <c r="D49" s="261"/>
      <c r="E49" s="262"/>
      <c r="F49" s="266"/>
    </row>
    <row r="50" spans="2:6" s="263" customFormat="1" ht="12.75" x14ac:dyDescent="0.2">
      <c r="B50" s="268" t="s">
        <v>518</v>
      </c>
      <c r="C50" s="261"/>
      <c r="D50" s="261"/>
      <c r="E50" s="262"/>
      <c r="F50" s="267">
        <f>F48</f>
        <v>673506.29957458761</v>
      </c>
    </row>
    <row r="51" spans="2:6" s="263" customFormat="1" ht="12.75" x14ac:dyDescent="0.2">
      <c r="B51" s="261"/>
      <c r="C51" s="261"/>
      <c r="D51" s="261"/>
      <c r="E51" s="262"/>
      <c r="F51" s="262"/>
    </row>
    <row r="52" spans="2:6" ht="18" x14ac:dyDescent="0.35">
      <c r="B52" s="253" t="s">
        <v>532</v>
      </c>
      <c r="C52" s="109"/>
      <c r="D52" s="109"/>
      <c r="E52" s="218"/>
      <c r="F52" s="218"/>
    </row>
    <row r="53" spans="2:6" x14ac:dyDescent="0.25">
      <c r="B53" s="261"/>
      <c r="C53" s="261"/>
      <c r="D53" s="261"/>
      <c r="E53" s="261"/>
      <c r="F53" s="261"/>
    </row>
    <row r="54" spans="2:6" x14ac:dyDescent="0.25">
      <c r="B54" s="268" t="s">
        <v>657</v>
      </c>
      <c r="C54" s="261"/>
      <c r="D54" s="261"/>
      <c r="E54" s="261"/>
      <c r="F54" s="267">
        <f>+F24+F43+F50</f>
        <v>6610032.8179918006</v>
      </c>
    </row>
    <row r="55" spans="2:6" x14ac:dyDescent="0.25">
      <c r="B55" s="261"/>
      <c r="C55" s="261"/>
      <c r="D55" s="261"/>
      <c r="E55" s="261"/>
      <c r="F55" s="261"/>
    </row>
    <row r="56" spans="2:6" ht="18" x14ac:dyDescent="0.35">
      <c r="B56" s="253" t="s">
        <v>658</v>
      </c>
      <c r="C56" s="109"/>
      <c r="D56" s="109"/>
      <c r="E56" s="218"/>
      <c r="F56" s="218"/>
    </row>
    <row r="57" spans="2:6" x14ac:dyDescent="0.25">
      <c r="B57" s="261"/>
      <c r="C57" s="261"/>
      <c r="D57" s="261"/>
      <c r="E57" s="261"/>
      <c r="F57" s="261"/>
    </row>
    <row r="58" spans="2:6" s="263" customFormat="1" ht="25.5" x14ac:dyDescent="0.2">
      <c r="B58" s="261"/>
      <c r="C58" s="464" t="s">
        <v>643</v>
      </c>
      <c r="D58" s="465" t="s">
        <v>98</v>
      </c>
      <c r="E58" s="465" t="s">
        <v>334</v>
      </c>
      <c r="F58" s="466" t="s">
        <v>507</v>
      </c>
    </row>
    <row r="59" spans="2:6" s="263" customFormat="1" ht="12.75" x14ac:dyDescent="0.2">
      <c r="B59" s="467" t="s">
        <v>644</v>
      </c>
      <c r="C59" s="468">
        <f>SUM(D59:F59)</f>
        <v>11208601.651189007</v>
      </c>
      <c r="D59" s="469">
        <f>VLOOKUP(B7,'Acomptes vs Décompte'!B6:K314,2,FALSE)</f>
        <v>7742738.7646780843</v>
      </c>
      <c r="E59" s="469">
        <f>VLOOKUP(B7,'Acomptes vs Décompte'!B6:K314,5,FALSE)</f>
        <v>2674800.3788861148</v>
      </c>
      <c r="F59" s="470">
        <f>VLOOKUP(B7,'Acomptes vs Décompte'!B6:K314,8,FALSE)</f>
        <v>791062.50762480777</v>
      </c>
    </row>
    <row r="60" spans="2:6" s="263" customFormat="1" ht="12.75" x14ac:dyDescent="0.2">
      <c r="B60" s="467" t="s">
        <v>645</v>
      </c>
      <c r="C60" s="483">
        <f>SUM(D60:F60)</f>
        <v>6610032.8179918006</v>
      </c>
      <c r="D60" s="471">
        <f>VLOOKUP(B7,'Acomptes vs Décompte'!B6:K314,3,FALSE)</f>
        <v>5186913.4260983104</v>
      </c>
      <c r="E60" s="471">
        <f>VLOOKUP(B7,'Acomptes vs Décompte'!B6:K314,6,FALSE)</f>
        <v>749613.09231890272</v>
      </c>
      <c r="F60" s="472">
        <f>VLOOKUP(B7,'Acomptes vs Décompte'!B6:K314,9,FALSE)</f>
        <v>673506.29957458761</v>
      </c>
    </row>
    <row r="61" spans="2:6" x14ac:dyDescent="0.25">
      <c r="B61" s="467" t="s">
        <v>646</v>
      </c>
      <c r="C61" s="468">
        <f>SUM(D61:F61)</f>
        <v>-4598568.8331972063</v>
      </c>
      <c r="D61" s="468">
        <f>D60-D59</f>
        <v>-2555825.3385797739</v>
      </c>
      <c r="E61" s="469">
        <f>E60-E59</f>
        <v>-1925187.2865672121</v>
      </c>
      <c r="F61" s="470">
        <f>F60-F59</f>
        <v>-117556.20805022016</v>
      </c>
    </row>
    <row r="62" spans="2:6" x14ac:dyDescent="0.25">
      <c r="B62" s="14"/>
      <c r="C62" s="473" t="s">
        <v>647</v>
      </c>
      <c r="D62" s="14"/>
      <c r="E62" s="6"/>
      <c r="F62" s="6"/>
    </row>
    <row r="63" spans="2:6" x14ac:dyDescent="0.25">
      <c r="B63" s="524" t="s">
        <v>648</v>
      </c>
      <c r="C63" s="524"/>
      <c r="D63" s="524"/>
      <c r="E63" s="524"/>
      <c r="F63" s="524"/>
    </row>
    <row r="64" spans="2:6" x14ac:dyDescent="0.25">
      <c r="B64" s="524"/>
      <c r="C64" s="524"/>
      <c r="D64" s="524"/>
      <c r="E64" s="524"/>
      <c r="F64" s="524"/>
    </row>
    <row r="65" spans="2:6" x14ac:dyDescent="0.25">
      <c r="B65" s="524"/>
      <c r="C65" s="524"/>
      <c r="D65" s="524"/>
      <c r="E65" s="524"/>
      <c r="F65" s="524"/>
    </row>
    <row r="66" spans="2:6" x14ac:dyDescent="0.25">
      <c r="B66" s="524"/>
      <c r="C66" s="524"/>
      <c r="D66" s="524"/>
      <c r="E66" s="524"/>
      <c r="F66" s="524"/>
    </row>
    <row r="67" spans="2:6" x14ac:dyDescent="0.25">
      <c r="B67" s="524"/>
      <c r="C67" s="524"/>
      <c r="D67" s="524"/>
      <c r="E67" s="524"/>
      <c r="F67" s="524"/>
    </row>
    <row r="68" spans="2:6" x14ac:dyDescent="0.25">
      <c r="B68" s="524"/>
      <c r="C68" s="524"/>
      <c r="D68" s="524"/>
      <c r="E68" s="524"/>
      <c r="F68" s="524"/>
    </row>
  </sheetData>
  <sheetProtection password="CD82" sheet="1" objects="1" scenarios="1"/>
  <protectedRanges>
    <protectedRange sqref="C3:E3" name="Plage1"/>
  </protectedRanges>
  <mergeCells count="4">
    <mergeCell ref="B6:F6"/>
    <mergeCell ref="B7:F7"/>
    <mergeCell ref="C3:E3"/>
    <mergeCell ref="B63:F68"/>
  </mergeCells>
  <printOptions horizontalCentered="1" verticalCentered="1"/>
  <pageMargins left="0.70866141732283472" right="0.70866141732283472" top="0.35433070866141736" bottom="0.35433070866141736" header="0.31496062992125984" footer="0.31496062992125984"/>
  <pageSetup paperSize="9" scale="8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Paramètres!$A$70:$A$378</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1:E74"/>
  <sheetViews>
    <sheetView workbookViewId="0">
      <selection activeCell="C4" sqref="C4"/>
    </sheetView>
  </sheetViews>
  <sheetFormatPr baseColWidth="10" defaultColWidth="10.875" defaultRowHeight="15" x14ac:dyDescent="0.25"/>
  <cols>
    <col min="1" max="1" width="3.375" style="415" customWidth="1"/>
    <col min="2" max="2" width="7.75" style="415" customWidth="1"/>
    <col min="3" max="3" width="40.75" style="415" bestFit="1" customWidth="1"/>
    <col min="4" max="4" width="12.5" style="415" customWidth="1"/>
    <col min="5" max="5" width="27.125" style="415" customWidth="1"/>
    <col min="6" max="16384" width="10.875" style="415"/>
  </cols>
  <sheetData>
    <row r="1" spans="2:5" ht="31.5" x14ac:dyDescent="0.5">
      <c r="B1" s="414" t="s">
        <v>500</v>
      </c>
      <c r="E1" s="416"/>
    </row>
    <row r="3" spans="2:5" s="418" customFormat="1" ht="26.25" x14ac:dyDescent="0.4">
      <c r="B3" s="417"/>
      <c r="C3" s="525" t="s">
        <v>352</v>
      </c>
      <c r="D3" s="525"/>
      <c r="E3" s="415"/>
    </row>
    <row r="6" spans="2:5" ht="23.25" x14ac:dyDescent="0.35">
      <c r="B6" s="526" t="s">
        <v>639</v>
      </c>
      <c r="C6" s="526"/>
      <c r="D6" s="526"/>
      <c r="E6" s="526"/>
    </row>
    <row r="7" spans="2:5" ht="23.25" x14ac:dyDescent="0.35">
      <c r="B7" s="526" t="str">
        <f>C3</f>
        <v>Saubraz</v>
      </c>
      <c r="C7" s="526"/>
      <c r="D7" s="526"/>
      <c r="E7" s="526"/>
    </row>
    <row r="8" spans="2:5" s="423" customFormat="1" ht="12.75" x14ac:dyDescent="0.2">
      <c r="B8" s="419"/>
      <c r="C8" s="420"/>
      <c r="D8" s="421"/>
      <c r="E8" s="422" t="str">
        <f>CONCATENATE("N° OFS : ",VLOOKUP($B$7,Paramètres!$A$65:$B$382,2,FALSE))</f>
        <v>N° OFS : 5437</v>
      </c>
    </row>
    <row r="9" spans="2:5" ht="18" x14ac:dyDescent="0.35">
      <c r="B9" s="424" t="s">
        <v>601</v>
      </c>
      <c r="C9" s="425"/>
      <c r="D9" s="426" t="s">
        <v>468</v>
      </c>
      <c r="E9" s="426" t="s">
        <v>602</v>
      </c>
    </row>
    <row r="10" spans="2:5" s="423" customFormat="1" ht="3.75" customHeight="1" x14ac:dyDescent="0.2">
      <c r="B10" s="421"/>
      <c r="C10" s="421"/>
      <c r="D10" s="421"/>
      <c r="E10" s="421"/>
    </row>
    <row r="11" spans="2:5" s="431" customFormat="1" ht="12.75" x14ac:dyDescent="0.2">
      <c r="B11" s="427">
        <v>4001</v>
      </c>
      <c r="C11" s="428" t="s">
        <v>603</v>
      </c>
      <c r="D11" s="429">
        <f>VLOOKUP($C$3,'A) Base RI'!$B$7:$AR$315,2,FALSE)</f>
        <v>643091.84</v>
      </c>
      <c r="E11" s="430"/>
    </row>
    <row r="12" spans="2:5" s="431" customFormat="1" ht="12.75" x14ac:dyDescent="0.2">
      <c r="B12" s="427">
        <v>4002</v>
      </c>
      <c r="C12" s="428" t="s">
        <v>604</v>
      </c>
      <c r="D12" s="429">
        <f>VLOOKUP($C$3,'A) Base RI'!$B$7:$AR$315,3,FALSE)</f>
        <v>67055.399999999994</v>
      </c>
      <c r="E12" s="432"/>
    </row>
    <row r="13" spans="2:5" s="431" customFormat="1" ht="12.75" x14ac:dyDescent="0.2">
      <c r="B13" s="427"/>
      <c r="C13" s="428" t="s">
        <v>263</v>
      </c>
      <c r="D13" s="429">
        <f>VLOOKUP($C$3,'A) Base RI'!$B$7:$AR$315,4,FALSE)</f>
        <v>0</v>
      </c>
      <c r="E13" s="430"/>
    </row>
    <row r="14" spans="2:5" s="431" customFormat="1" ht="12.75" x14ac:dyDescent="0.2">
      <c r="B14" s="427">
        <v>4005</v>
      </c>
      <c r="C14" s="428" t="s">
        <v>605</v>
      </c>
      <c r="D14" s="429">
        <f>VLOOKUP($C$3,'A) Base RI'!$B$7:$AR$315,5,FALSE)</f>
        <v>0</v>
      </c>
      <c r="E14" s="430"/>
    </row>
    <row r="15" spans="2:5" s="431" customFormat="1" ht="12.75" x14ac:dyDescent="0.2">
      <c r="B15" s="427">
        <v>4011</v>
      </c>
      <c r="C15" s="428" t="s">
        <v>606</v>
      </c>
      <c r="D15" s="429">
        <f>VLOOKUP($C$3,'A) Base RI'!$B$7:$AR$315,6,FALSE)</f>
        <v>7357.35</v>
      </c>
      <c r="E15" s="430"/>
    </row>
    <row r="16" spans="2:5" s="431" customFormat="1" ht="12.75" x14ac:dyDescent="0.2">
      <c r="B16" s="427">
        <v>4012</v>
      </c>
      <c r="C16" s="428" t="s">
        <v>607</v>
      </c>
      <c r="D16" s="429">
        <f>VLOOKUP($C$3,'A) Base RI'!$B$7:$AR$320,7,FALSE)</f>
        <v>84.6</v>
      </c>
      <c r="E16" s="430"/>
    </row>
    <row r="17" spans="2:5" s="431" customFormat="1" ht="12.75" x14ac:dyDescent="0.2">
      <c r="B17" s="427">
        <v>4004</v>
      </c>
      <c r="C17" s="428" t="s">
        <v>608</v>
      </c>
      <c r="D17" s="429">
        <f>VLOOKUP($C$3,'A) Base RI'!$B$7:$AR$315,8,FALSE)</f>
        <v>0</v>
      </c>
      <c r="E17" s="430"/>
    </row>
    <row r="18" spans="2:5" s="431" customFormat="1" ht="12.75" x14ac:dyDescent="0.2">
      <c r="B18" s="427">
        <v>4003</v>
      </c>
      <c r="C18" s="428" t="s">
        <v>389</v>
      </c>
      <c r="D18" s="429">
        <f>VLOOKUP($C$3,'A) Base RI'!$B$7:$AR$315,9,FALSE)</f>
        <v>56625.17</v>
      </c>
      <c r="E18" s="430"/>
    </row>
    <row r="19" spans="2:5" s="431" customFormat="1" ht="12.75" x14ac:dyDescent="0.2">
      <c r="B19" s="427">
        <v>4013</v>
      </c>
      <c r="C19" s="428" t="s">
        <v>609</v>
      </c>
      <c r="D19" s="429">
        <f>VLOOKUP($C$3,'A) Base RI'!$B$7:$AR$315,10,FALSE)</f>
        <v>733.85</v>
      </c>
      <c r="E19" s="430"/>
    </row>
    <row r="20" spans="2:5" s="431" customFormat="1" ht="12.75" x14ac:dyDescent="0.2">
      <c r="B20" s="427">
        <v>4020</v>
      </c>
      <c r="C20" s="428" t="s">
        <v>610</v>
      </c>
      <c r="D20" s="433">
        <f>VLOOKUP($C$3,'A) Base RI'!$B$7:$AR$315,11,FALSE)</f>
        <v>63943.15</v>
      </c>
      <c r="E20" s="430"/>
    </row>
    <row r="21" spans="2:5" s="431" customFormat="1" ht="12.75" x14ac:dyDescent="0.2">
      <c r="B21" s="427"/>
      <c r="C21" s="434" t="s">
        <v>611</v>
      </c>
      <c r="D21" s="435">
        <f>SUM(D11:D20)</f>
        <v>838891.36</v>
      </c>
      <c r="E21" s="435"/>
    </row>
    <row r="22" spans="2:5" s="431" customFormat="1" ht="7.15" customHeight="1" x14ac:dyDescent="0.2">
      <c r="B22" s="427"/>
      <c r="C22" s="428"/>
      <c r="D22" s="436"/>
      <c r="E22" s="436"/>
    </row>
    <row r="23" spans="2:5" s="431" customFormat="1" ht="12.75" x14ac:dyDescent="0.2">
      <c r="B23" s="427" t="s">
        <v>612</v>
      </c>
      <c r="C23" s="428" t="s">
        <v>613</v>
      </c>
      <c r="D23" s="429">
        <f>VLOOKUP($C$3,'A) Base RI'!$B$7:$AR$315,13,FALSE)</f>
        <v>0</v>
      </c>
      <c r="E23" s="430"/>
    </row>
    <row r="24" spans="2:5" s="431" customFormat="1" ht="12.75" x14ac:dyDescent="0.2">
      <c r="B24" s="427">
        <v>4050</v>
      </c>
      <c r="C24" s="428" t="s">
        <v>614</v>
      </c>
      <c r="D24" s="429">
        <f>VLOOKUP($C$3,'A) Base RI'!$B$7:$AR$315,14,FALSE)</f>
        <v>50115.6</v>
      </c>
      <c r="E24" s="430"/>
    </row>
    <row r="25" spans="2:5" s="431" customFormat="1" ht="12.75" x14ac:dyDescent="0.2">
      <c r="B25" s="427">
        <v>4040</v>
      </c>
      <c r="C25" s="428" t="s">
        <v>201</v>
      </c>
      <c r="D25" s="429">
        <f>VLOOKUP($C$3,'A) Base RI'!$B$7:$AR$315,15,FALSE)</f>
        <v>1870</v>
      </c>
      <c r="E25" s="430"/>
    </row>
    <row r="26" spans="2:5" s="431" customFormat="1" ht="12.75" x14ac:dyDescent="0.2">
      <c r="B26" s="427">
        <v>4090</v>
      </c>
      <c r="C26" s="428" t="s">
        <v>424</v>
      </c>
      <c r="D26" s="429">
        <f>VLOOKUP($C$3,'A) Base RI'!$B$7:$AR$315,16,FALSE)</f>
        <v>0</v>
      </c>
      <c r="E26" s="430"/>
    </row>
    <row r="27" spans="2:5" s="431" customFormat="1" ht="12.75" x14ac:dyDescent="0.2">
      <c r="B27" s="427">
        <v>4411</v>
      </c>
      <c r="C27" s="428" t="s">
        <v>615</v>
      </c>
      <c r="D27" s="429">
        <f>VLOOKUP($C$3,'A) Base RI'!$B$7:$AR$315,17,FALSE)</f>
        <v>-7384.4</v>
      </c>
      <c r="E27" s="430"/>
    </row>
    <row r="28" spans="2:5" s="431" customFormat="1" ht="12.75" x14ac:dyDescent="0.2">
      <c r="B28" s="427">
        <v>4100</v>
      </c>
      <c r="C28" s="428" t="s">
        <v>557</v>
      </c>
      <c r="D28" s="429">
        <f>VLOOKUP($C$3,'A) Base RI'!$B$7:$AR$315,18,FALSE)</f>
        <v>75</v>
      </c>
      <c r="E28" s="430"/>
    </row>
    <row r="29" spans="2:5" s="431" customFormat="1" ht="12.75" x14ac:dyDescent="0.2">
      <c r="B29" s="427">
        <v>4103</v>
      </c>
      <c r="C29" s="428" t="s">
        <v>558</v>
      </c>
      <c r="D29" s="429">
        <f>VLOOKUP($C$3,'A) Base RI'!$B$7:$AR$315,19,FALSE)</f>
        <v>0</v>
      </c>
      <c r="E29" s="430"/>
    </row>
    <row r="30" spans="2:5" s="431" customFormat="1" ht="12.75" x14ac:dyDescent="0.2">
      <c r="B30" s="427">
        <v>4061</v>
      </c>
      <c r="C30" s="428" t="s">
        <v>616</v>
      </c>
      <c r="D30" s="429">
        <f>VLOOKUP($C$3,'A) Base RI'!$B$7:$AR$315,20,FALSE)</f>
        <v>1725</v>
      </c>
      <c r="E30" s="430"/>
    </row>
    <row r="31" spans="2:5" s="431" customFormat="1" ht="12.75" x14ac:dyDescent="0.2">
      <c r="B31" s="427">
        <v>4062</v>
      </c>
      <c r="C31" s="428" t="s">
        <v>617</v>
      </c>
      <c r="D31" s="429">
        <f>VLOOKUP($C$3,'A) Base RI'!$B$7:$AR$315,21,FALSE)</f>
        <v>0</v>
      </c>
      <c r="E31" s="430"/>
    </row>
    <row r="32" spans="2:5" s="431" customFormat="1" ht="12.75" x14ac:dyDescent="0.2">
      <c r="B32" s="427">
        <v>406</v>
      </c>
      <c r="C32" s="428" t="s">
        <v>618</v>
      </c>
      <c r="D32" s="433">
        <f>VLOOKUP($C$3,'A) Base RI'!$B$7:$AR$315,22,FALSE)</f>
        <v>0</v>
      </c>
      <c r="E32" s="430"/>
    </row>
    <row r="33" spans="2:5" s="431" customFormat="1" ht="12.75" x14ac:dyDescent="0.2">
      <c r="B33" s="427"/>
      <c r="C33" s="434" t="s">
        <v>198</v>
      </c>
      <c r="D33" s="435">
        <f>SUM(D23:D32)</f>
        <v>46401.2</v>
      </c>
      <c r="E33" s="435"/>
    </row>
    <row r="34" spans="2:5" s="431" customFormat="1" ht="12.75" x14ac:dyDescent="0.2">
      <c r="B34" s="427"/>
      <c r="C34" s="434" t="s">
        <v>619</v>
      </c>
      <c r="D34" s="435">
        <f>D21+D33</f>
        <v>885292.55999999994</v>
      </c>
      <c r="E34" s="435"/>
    </row>
    <row r="35" spans="2:5" s="431" customFormat="1" ht="6" customHeight="1" x14ac:dyDescent="0.2">
      <c r="B35" s="427"/>
      <c r="C35" s="428"/>
      <c r="D35" s="429"/>
      <c r="E35" s="429"/>
    </row>
    <row r="36" spans="2:5" s="440" customFormat="1" ht="18" x14ac:dyDescent="0.2">
      <c r="B36" s="437" t="s">
        <v>620</v>
      </c>
      <c r="C36" s="438"/>
      <c r="D36" s="439" t="s">
        <v>468</v>
      </c>
      <c r="E36" s="439" t="s">
        <v>602</v>
      </c>
    </row>
    <row r="37" spans="2:5" s="431" customFormat="1" ht="6" customHeight="1" x14ac:dyDescent="0.2">
      <c r="B37" s="441"/>
      <c r="C37" s="434"/>
      <c r="D37" s="429"/>
      <c r="E37" s="429"/>
    </row>
    <row r="38" spans="2:5" s="431" customFormat="1" ht="12.75" x14ac:dyDescent="0.2">
      <c r="B38" s="427">
        <v>4341</v>
      </c>
      <c r="C38" s="428" t="s">
        <v>621</v>
      </c>
      <c r="D38" s="429">
        <f>VLOOKUP($C$3,'A) Base RI'!$B$7:$AR$315,24,FALSE)</f>
        <v>0</v>
      </c>
      <c r="E38" s="430"/>
    </row>
    <row r="39" spans="2:5" s="431" customFormat="1" ht="12.75" x14ac:dyDescent="0.2">
      <c r="B39" s="427">
        <v>4341</v>
      </c>
      <c r="C39" s="428" t="s">
        <v>622</v>
      </c>
      <c r="D39" s="429">
        <f>VLOOKUP($C$3,'A) Base RI'!$B$7:$AR$315,25,FALSE)</f>
        <v>0</v>
      </c>
      <c r="E39" s="430"/>
    </row>
    <row r="40" spans="2:5" s="431" customFormat="1" ht="12.75" x14ac:dyDescent="0.2">
      <c r="B40" s="427">
        <v>4342</v>
      </c>
      <c r="C40" s="428" t="s">
        <v>623</v>
      </c>
      <c r="D40" s="429">
        <f>VLOOKUP($C$3,'A) Base RI'!$B$7:$AR$315,26,FALSE)</f>
        <v>0</v>
      </c>
      <c r="E40" s="430"/>
    </row>
    <row r="41" spans="2:5" s="431" customFormat="1" ht="12.75" x14ac:dyDescent="0.2">
      <c r="B41" s="427">
        <v>4342</v>
      </c>
      <c r="C41" s="428" t="s">
        <v>569</v>
      </c>
      <c r="D41" s="429">
        <f>VLOOKUP($C$3,'A) Base RI'!$B$7:$AR$315,27,FALSE)</f>
        <v>0</v>
      </c>
      <c r="E41" s="430"/>
    </row>
    <row r="42" spans="2:5" s="431" customFormat="1" ht="12.75" x14ac:dyDescent="0.2">
      <c r="B42" s="427">
        <v>4342</v>
      </c>
      <c r="C42" s="428" t="s">
        <v>624</v>
      </c>
      <c r="D42" s="429">
        <f>VLOOKUP($C$3,'A) Base RI'!$B$7:$AR$315,28,FALSE)</f>
        <v>38520</v>
      </c>
      <c r="E42" s="430"/>
    </row>
    <row r="43" spans="2:5" s="431" customFormat="1" ht="12.75" x14ac:dyDescent="0.2">
      <c r="B43" s="427">
        <v>4341</v>
      </c>
      <c r="C43" s="428" t="s">
        <v>625</v>
      </c>
      <c r="D43" s="429">
        <f>VLOOKUP($C$3,'A) Base RI'!$B$7:$AR$315,29,FALSE)</f>
        <v>0</v>
      </c>
      <c r="E43" s="430"/>
    </row>
    <row r="44" spans="2:5" s="431" customFormat="1" ht="12.75" x14ac:dyDescent="0.2">
      <c r="B44" s="427">
        <v>4341</v>
      </c>
      <c r="C44" s="428" t="s">
        <v>626</v>
      </c>
      <c r="D44" s="429">
        <f>VLOOKUP($C$3,'A) Base RI'!$B$7:$AR$315,30,FALSE)</f>
        <v>0</v>
      </c>
      <c r="E44" s="430"/>
    </row>
    <row r="45" spans="2:5" s="431" customFormat="1" ht="12.75" x14ac:dyDescent="0.2">
      <c r="B45" s="427">
        <v>4301</v>
      </c>
      <c r="C45" s="428" t="s">
        <v>627</v>
      </c>
      <c r="D45" s="429">
        <f>VLOOKUP($C$3,'A) Base RI'!$B$7:$AR$315,31,FALSE)</f>
        <v>0</v>
      </c>
      <c r="E45" s="430"/>
    </row>
    <row r="46" spans="2:5" s="431" customFormat="1" ht="12.75" x14ac:dyDescent="0.2">
      <c r="B46" s="427">
        <v>4066</v>
      </c>
      <c r="C46" s="428" t="s">
        <v>574</v>
      </c>
      <c r="D46" s="429">
        <f>VLOOKUP($C$3,'A) Base RI'!$B$7:$AR$315,32,FALSE)</f>
        <v>0</v>
      </c>
      <c r="E46" s="430"/>
    </row>
    <row r="47" spans="2:5" s="431" customFormat="1" ht="12.75" x14ac:dyDescent="0.2">
      <c r="B47" s="427">
        <v>434</v>
      </c>
      <c r="C47" s="428" t="s">
        <v>575</v>
      </c>
      <c r="D47" s="429">
        <f>VLOOKUP($C$3,'A) Base RI'!$B$7:$AR$315,33,FALSE)</f>
        <v>0</v>
      </c>
      <c r="E47" s="430"/>
    </row>
    <row r="48" spans="2:5" s="431" customFormat="1" ht="12.75" x14ac:dyDescent="0.2">
      <c r="B48" s="427">
        <v>434</v>
      </c>
      <c r="C48" s="428" t="s">
        <v>628</v>
      </c>
      <c r="D48" s="429">
        <f>VLOOKUP($C$3,'A) Base RI'!$B$7:$AR$315,34,FALSE)</f>
        <v>0</v>
      </c>
      <c r="E48" s="430"/>
    </row>
    <row r="49" spans="2:5" s="431" customFormat="1" ht="12.75" x14ac:dyDescent="0.2">
      <c r="B49" s="427">
        <v>434</v>
      </c>
      <c r="C49" s="428" t="s">
        <v>577</v>
      </c>
      <c r="D49" s="429">
        <f>VLOOKUP($C$3,'A) Base RI'!$B$7:$AR$315,35,FALSE)</f>
        <v>0</v>
      </c>
      <c r="E49" s="430"/>
    </row>
    <row r="50" spans="2:5" s="431" customFormat="1" ht="12.75" x14ac:dyDescent="0.2">
      <c r="B50" s="427">
        <v>434</v>
      </c>
      <c r="C50" s="428" t="s">
        <v>578</v>
      </c>
      <c r="D50" s="433">
        <f>VLOOKUP($C$3,'A) Base RI'!$B$7:$AR$315,36,FALSE)</f>
        <v>0</v>
      </c>
      <c r="E50" s="430"/>
    </row>
    <row r="51" spans="2:5" s="431" customFormat="1" ht="12.75" x14ac:dyDescent="0.2">
      <c r="B51" s="427"/>
      <c r="C51" s="434" t="s">
        <v>629</v>
      </c>
      <c r="D51" s="435">
        <f>SUM(D38:D50)</f>
        <v>38520</v>
      </c>
      <c r="E51" s="435"/>
    </row>
    <row r="52" spans="2:5" s="431" customFormat="1" ht="7.15" customHeight="1" x14ac:dyDescent="0.2">
      <c r="B52" s="427"/>
      <c r="C52" s="434"/>
      <c r="D52" s="429"/>
      <c r="E52" s="429"/>
    </row>
    <row r="53" spans="2:5" s="431" customFormat="1" ht="12.75" x14ac:dyDescent="0.2">
      <c r="B53" s="427" t="s">
        <v>630</v>
      </c>
      <c r="C53" s="428" t="s">
        <v>631</v>
      </c>
      <c r="D53" s="429">
        <f>VLOOKUP($C$3,'A) Base RI'!$B$7:$AR$315,40,FALSE)</f>
        <v>-42993.87</v>
      </c>
      <c r="E53" s="430"/>
    </row>
    <row r="54" spans="2:5" s="431" customFormat="1" ht="12.75" x14ac:dyDescent="0.2">
      <c r="B54" s="427"/>
      <c r="C54" s="428" t="s">
        <v>632</v>
      </c>
      <c r="D54" s="429">
        <f>VLOOKUP($C$3,'A) Base RI'!$B$7:$AR$315,41,FALSE)</f>
        <v>0</v>
      </c>
      <c r="E54" s="430"/>
    </row>
    <row r="55" spans="2:5" s="431" customFormat="1" ht="12.75" x14ac:dyDescent="0.2">
      <c r="B55" s="427"/>
      <c r="C55" s="428" t="s">
        <v>253</v>
      </c>
      <c r="D55" s="429">
        <f>VLOOKUP($C$3,'A) Base RI'!$B$7:$AR$315,42,FALSE)</f>
        <v>-1.31</v>
      </c>
      <c r="E55" s="430"/>
    </row>
    <row r="56" spans="2:5" s="431" customFormat="1" ht="6" customHeight="1" x14ac:dyDescent="0.2">
      <c r="B56" s="427"/>
      <c r="C56" s="428"/>
      <c r="D56" s="429"/>
      <c r="E56" s="429"/>
    </row>
    <row r="57" spans="2:5" s="440" customFormat="1" ht="18" x14ac:dyDescent="0.2">
      <c r="B57" s="437" t="s">
        <v>633</v>
      </c>
      <c r="C57" s="438"/>
      <c r="D57" s="442"/>
      <c r="E57" s="442"/>
    </row>
    <row r="58" spans="2:5" s="431" customFormat="1" ht="6" customHeight="1" x14ac:dyDescent="0.2">
      <c r="B58" s="443"/>
      <c r="C58" s="444"/>
      <c r="D58" s="429"/>
      <c r="E58" s="429"/>
    </row>
    <row r="59" spans="2:5" s="431" customFormat="1" ht="13.9" customHeight="1" x14ac:dyDescent="0.2">
      <c r="B59" s="445"/>
      <c r="C59" s="445" t="s">
        <v>640</v>
      </c>
      <c r="D59" s="429">
        <f>VLOOKUP($C$3,'A) Base RI'!$B$7:$AR$315,38,FALSE)</f>
        <v>80</v>
      </c>
      <c r="E59" s="430"/>
    </row>
    <row r="60" spans="2:5" s="431" customFormat="1" ht="13.9" customHeight="1" x14ac:dyDescent="0.2">
      <c r="B60" s="445"/>
      <c r="C60" s="445" t="s">
        <v>641</v>
      </c>
      <c r="D60" s="429">
        <f>VLOOKUP($C$3,'A) Base RI'!$B$7:$AR$315,43,FALSE)</f>
        <v>1</v>
      </c>
      <c r="E60" s="430"/>
    </row>
    <row r="61" spans="2:5" s="431" customFormat="1" ht="13.9" customHeight="1" x14ac:dyDescent="0.2">
      <c r="B61" s="445"/>
      <c r="C61" s="445" t="s">
        <v>642</v>
      </c>
      <c r="D61" s="446">
        <f>VLOOKUP($C$3,'A) Base RI'!$B$7:$AR$315,39,FALSE)</f>
        <v>420</v>
      </c>
      <c r="E61" s="430"/>
    </row>
    <row r="62" spans="2:5" s="448" customFormat="1" ht="6" customHeight="1" x14ac:dyDescent="0.2">
      <c r="B62" s="447"/>
      <c r="C62" s="447"/>
      <c r="D62" s="447"/>
      <c r="E62" s="447"/>
    </row>
    <row r="63" spans="2:5" ht="18" x14ac:dyDescent="0.35">
      <c r="B63" s="424"/>
      <c r="C63" s="449"/>
      <c r="D63" s="450"/>
      <c r="E63" s="450"/>
    </row>
    <row r="64" spans="2:5" s="448" customFormat="1" ht="6" customHeight="1" x14ac:dyDescent="0.2">
      <c r="B64" s="447"/>
      <c r="C64" s="447"/>
      <c r="D64" s="447"/>
      <c r="E64" s="447"/>
    </row>
    <row r="65" spans="2:5" ht="45.6" customHeight="1" x14ac:dyDescent="0.25">
      <c r="B65" s="527" t="s">
        <v>634</v>
      </c>
      <c r="C65" s="527"/>
      <c r="D65" s="527"/>
      <c r="E65" s="527"/>
    </row>
    <row r="66" spans="2:5" x14ac:dyDescent="0.25">
      <c r="B66" s="528" t="str">
        <f>CONCATENATE(B7,", le")</f>
        <v>Saubraz, le</v>
      </c>
      <c r="C66" s="528"/>
      <c r="D66" s="451"/>
      <c r="E66" s="451"/>
    </row>
    <row r="67" spans="2:5" x14ac:dyDescent="0.25">
      <c r="B67" s="452">
        <f ca="1">TODAY()</f>
        <v>41818</v>
      </c>
      <c r="C67" s="453"/>
      <c r="D67" s="451"/>
      <c r="E67" s="451"/>
    </row>
    <row r="68" spans="2:5" x14ac:dyDescent="0.25">
      <c r="B68" s="452"/>
      <c r="C68" s="453"/>
      <c r="D68" s="451"/>
      <c r="E68" s="451"/>
    </row>
    <row r="69" spans="2:5" x14ac:dyDescent="0.25">
      <c r="B69" s="453" t="s">
        <v>635</v>
      </c>
      <c r="C69" s="453"/>
      <c r="D69" s="451"/>
      <c r="E69" s="454" t="s">
        <v>636</v>
      </c>
    </row>
    <row r="70" spans="2:5" x14ac:dyDescent="0.25">
      <c r="B70" s="455"/>
      <c r="C70" s="453"/>
      <c r="D70" s="451"/>
      <c r="E70" s="451"/>
    </row>
    <row r="71" spans="2:5" x14ac:dyDescent="0.25">
      <c r="B71" s="456"/>
      <c r="C71" s="457"/>
      <c r="D71" s="458"/>
      <c r="E71" s="458"/>
    </row>
    <row r="72" spans="2:5" x14ac:dyDescent="0.25">
      <c r="B72" s="459" t="s">
        <v>637</v>
      </c>
      <c r="C72" s="453"/>
      <c r="D72" s="451"/>
      <c r="E72" s="451"/>
    </row>
    <row r="73" spans="2:5" x14ac:dyDescent="0.25">
      <c r="B73" s="456"/>
      <c r="C73" s="457"/>
      <c r="D73" s="458"/>
      <c r="E73" s="458"/>
    </row>
    <row r="74" spans="2:5" x14ac:dyDescent="0.25">
      <c r="B74" s="459" t="s">
        <v>638</v>
      </c>
      <c r="C74" s="453"/>
      <c r="D74" s="451"/>
      <c r="E74" s="451"/>
    </row>
  </sheetData>
  <protectedRanges>
    <protectedRange sqref="E38:E50 E53:E55 E59:E61 E23:E32 E11 E13:E20" name="Plage2"/>
    <protectedRange sqref="C3" name="Plage1"/>
  </protectedRanges>
  <mergeCells count="5">
    <mergeCell ref="C3:D3"/>
    <mergeCell ref="B6:E6"/>
    <mergeCell ref="B7:E7"/>
    <mergeCell ref="B65:E65"/>
    <mergeCell ref="B66:C66"/>
  </mergeCells>
  <printOptions horizontalCentered="1" verticalCentered="1"/>
  <pageMargins left="0.70866141732283472" right="0.70866141732283472" top="0.35433070866141736" bottom="0.35433070866141736" header="0.31496062992125984" footer="0.31496062992125984"/>
  <pageSetup paperSize="9" scale="8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Paramètres!$A$70:$A$378</xm:f>
          </x14:formula1>
          <xm:sqref>C3:D3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sheetPr>
  <dimension ref="A1:AR316"/>
  <sheetViews>
    <sheetView zoomScaleNormal="100" workbookViewId="0">
      <pane ySplit="6" topLeftCell="A7" activePane="bottomLeft" state="frozen"/>
      <selection pane="bottomLeft" activeCell="A7" sqref="A7"/>
    </sheetView>
  </sheetViews>
  <sheetFormatPr baseColWidth="10" defaultColWidth="8.625" defaultRowHeight="15" x14ac:dyDescent="0.25"/>
  <cols>
    <col min="1" max="1" width="7.75" style="386" customWidth="1"/>
    <col min="2" max="2" width="20.375" style="16" bestFit="1" customWidth="1"/>
    <col min="3" max="3" width="15" style="380" bestFit="1" customWidth="1"/>
    <col min="4" max="4" width="14" style="16" bestFit="1" customWidth="1"/>
    <col min="5" max="5" width="8.875" style="16" bestFit="1" customWidth="1"/>
    <col min="6" max="6" width="10" style="16" bestFit="1" customWidth="1"/>
    <col min="7" max="7" width="13" style="16" bestFit="1" customWidth="1"/>
    <col min="8" max="8" width="12.125" style="16" bestFit="1" customWidth="1"/>
    <col min="9" max="9" width="13.875" style="16" customWidth="1"/>
    <col min="10" max="10" width="12.125" style="16" bestFit="1" customWidth="1"/>
    <col min="11" max="11" width="11.875" style="16" bestFit="1" customWidth="1"/>
    <col min="12" max="12" width="13" style="16" bestFit="1" customWidth="1"/>
    <col min="13" max="13" width="14.25" style="16" bestFit="1" customWidth="1"/>
    <col min="14" max="14" width="12.125" style="16" bestFit="1" customWidth="1"/>
    <col min="15" max="15" width="14" style="16" bestFit="1" customWidth="1"/>
    <col min="16" max="16" width="12.125" style="16" bestFit="1" customWidth="1"/>
    <col min="17" max="17" width="13.875" style="16" customWidth="1"/>
    <col min="18" max="18" width="12.125" style="16" bestFit="1" customWidth="1"/>
    <col min="19" max="20" width="10.25" style="16" customWidth="1"/>
    <col min="21" max="22" width="11.25" style="16" bestFit="1" customWidth="1"/>
    <col min="23" max="23" width="10.25" style="16" customWidth="1"/>
    <col min="24" max="24" width="14.25" style="16" bestFit="1" customWidth="1"/>
    <col min="25" max="37" width="14.25" style="16" customWidth="1"/>
    <col min="38" max="38" width="13" style="16" bestFit="1" customWidth="1"/>
    <col min="39" max="39" width="12" style="16" customWidth="1"/>
    <col min="40" max="40" width="10.875" style="6" bestFit="1" customWidth="1"/>
    <col min="41" max="41" width="12.125" style="16" bestFit="1" customWidth="1"/>
    <col min="42" max="42" width="9.125" style="16" bestFit="1" customWidth="1"/>
    <col min="43" max="43" width="11.875" style="16" bestFit="1" customWidth="1"/>
    <col min="44" max="44" width="7" style="16" bestFit="1" customWidth="1"/>
    <col min="45" max="16384" width="8.625" style="16"/>
  </cols>
  <sheetData>
    <row r="1" spans="1:44" ht="21" x14ac:dyDescent="0.35">
      <c r="A1" s="381" t="s">
        <v>463</v>
      </c>
      <c r="B1" s="359"/>
      <c r="C1" s="360"/>
      <c r="D1" s="359"/>
      <c r="E1" s="359"/>
      <c r="F1" s="359"/>
      <c r="G1" s="359"/>
      <c r="H1" s="359"/>
      <c r="I1" s="359"/>
      <c r="J1" s="359"/>
      <c r="S1" s="388"/>
      <c r="T1" s="388"/>
      <c r="U1" s="401"/>
      <c r="V1" s="389"/>
      <c r="W1" s="388"/>
      <c r="Y1" s="388"/>
      <c r="Z1" s="388"/>
      <c r="AA1" s="388"/>
      <c r="AB1" s="388"/>
      <c r="AC1" s="388"/>
      <c r="AD1" s="388"/>
      <c r="AE1" s="388"/>
      <c r="AF1" s="388"/>
      <c r="AG1" s="388"/>
      <c r="AH1" s="388"/>
      <c r="AI1" s="388"/>
      <c r="AJ1" s="388"/>
      <c r="AK1" s="388"/>
      <c r="AL1" s="388"/>
      <c r="AM1" s="388"/>
    </row>
    <row r="2" spans="1:44" ht="21" x14ac:dyDescent="0.35">
      <c r="A2" s="381">
        <f>Paramètres!B5</f>
        <v>2017</v>
      </c>
      <c r="C2" s="361"/>
      <c r="D2" s="362"/>
      <c r="E2" s="359"/>
      <c r="F2" s="359"/>
      <c r="G2" s="359"/>
      <c r="H2" s="359"/>
      <c r="I2" s="359"/>
      <c r="J2" s="359"/>
      <c r="S2" s="388"/>
      <c r="T2" s="388"/>
      <c r="U2" s="401"/>
      <c r="V2" s="389"/>
      <c r="W2" s="388"/>
      <c r="Y2" s="388"/>
      <c r="Z2" s="388"/>
      <c r="AA2" s="388"/>
      <c r="AB2" s="388"/>
      <c r="AC2" s="388"/>
      <c r="AD2" s="388"/>
      <c r="AE2" s="388"/>
      <c r="AF2" s="388"/>
      <c r="AG2" s="388"/>
      <c r="AH2" s="388"/>
      <c r="AI2" s="388"/>
      <c r="AJ2" s="388"/>
      <c r="AK2" s="388"/>
      <c r="AL2" s="388"/>
      <c r="AM2" s="388"/>
    </row>
    <row r="3" spans="1:44" x14ac:dyDescent="0.25">
      <c r="A3" s="382"/>
      <c r="B3" s="359"/>
      <c r="C3" s="360"/>
      <c r="D3" s="359"/>
      <c r="E3" s="359"/>
      <c r="F3" s="359"/>
      <c r="G3" s="359"/>
      <c r="H3" s="359"/>
      <c r="I3" s="359"/>
      <c r="J3" s="359"/>
      <c r="L3" s="363"/>
      <c r="S3" s="388"/>
      <c r="T3" s="388"/>
      <c r="U3" s="401"/>
      <c r="V3" s="388"/>
      <c r="W3" s="388"/>
      <c r="Y3" s="388"/>
      <c r="Z3" s="388"/>
      <c r="AA3" s="388"/>
      <c r="AB3" s="388"/>
      <c r="AC3" s="388"/>
      <c r="AD3" s="388"/>
      <c r="AE3" s="388"/>
      <c r="AF3" s="388"/>
      <c r="AG3" s="388"/>
      <c r="AH3" s="388"/>
      <c r="AI3" s="388"/>
      <c r="AJ3" s="388"/>
      <c r="AK3" s="388"/>
      <c r="AL3" s="388"/>
      <c r="AM3" s="388"/>
    </row>
    <row r="4" spans="1:44" s="364" customFormat="1" ht="38.1" customHeight="1" x14ac:dyDescent="0.2">
      <c r="A4" s="540" t="s">
        <v>50</v>
      </c>
      <c r="B4" s="543" t="s">
        <v>535</v>
      </c>
      <c r="C4" s="534" t="s">
        <v>419</v>
      </c>
      <c r="D4" s="547" t="s">
        <v>420</v>
      </c>
      <c r="E4" s="529" t="s">
        <v>263</v>
      </c>
      <c r="F4" s="529" t="s">
        <v>264</v>
      </c>
      <c r="G4" s="529" t="s">
        <v>421</v>
      </c>
      <c r="H4" s="529" t="s">
        <v>422</v>
      </c>
      <c r="I4" s="529" t="s">
        <v>423</v>
      </c>
      <c r="J4" s="529" t="s">
        <v>389</v>
      </c>
      <c r="K4" s="529" t="s">
        <v>390</v>
      </c>
      <c r="L4" s="529" t="s">
        <v>391</v>
      </c>
      <c r="M4" s="529" t="s">
        <v>198</v>
      </c>
      <c r="N4" s="529" t="s">
        <v>199</v>
      </c>
      <c r="O4" s="529" t="s">
        <v>200</v>
      </c>
      <c r="P4" s="529" t="s">
        <v>201</v>
      </c>
      <c r="Q4" s="529" t="s">
        <v>424</v>
      </c>
      <c r="R4" s="529" t="s">
        <v>202</v>
      </c>
      <c r="S4" s="531" t="s">
        <v>557</v>
      </c>
      <c r="T4" s="531" t="s">
        <v>558</v>
      </c>
      <c r="U4" s="534" t="s">
        <v>559</v>
      </c>
      <c r="V4" s="531" t="s">
        <v>560</v>
      </c>
      <c r="W4" s="536" t="s">
        <v>561</v>
      </c>
      <c r="X4" s="529" t="s">
        <v>143</v>
      </c>
      <c r="Y4" s="538" t="s">
        <v>566</v>
      </c>
      <c r="Z4" s="531" t="s">
        <v>567</v>
      </c>
      <c r="AA4" s="531" t="s">
        <v>568</v>
      </c>
      <c r="AB4" s="531" t="s">
        <v>569</v>
      </c>
      <c r="AC4" s="531" t="s">
        <v>570</v>
      </c>
      <c r="AD4" s="531" t="s">
        <v>571</v>
      </c>
      <c r="AE4" s="531" t="s">
        <v>572</v>
      </c>
      <c r="AF4" s="531" t="s">
        <v>573</v>
      </c>
      <c r="AG4" s="531" t="s">
        <v>574</v>
      </c>
      <c r="AH4" s="531" t="s">
        <v>575</v>
      </c>
      <c r="AI4" s="531" t="s">
        <v>576</v>
      </c>
      <c r="AJ4" s="531" t="s">
        <v>577</v>
      </c>
      <c r="AK4" s="531" t="s">
        <v>578</v>
      </c>
      <c r="AL4" s="536" t="s">
        <v>579</v>
      </c>
      <c r="AM4" s="534" t="s">
        <v>83</v>
      </c>
      <c r="AN4" s="549" t="s">
        <v>462</v>
      </c>
      <c r="AO4" s="529" t="s">
        <v>251</v>
      </c>
      <c r="AP4" s="529" t="s">
        <v>252</v>
      </c>
      <c r="AQ4" s="529" t="s">
        <v>253</v>
      </c>
      <c r="AR4" s="529" t="s">
        <v>517</v>
      </c>
    </row>
    <row r="5" spans="1:44" s="364" customFormat="1" ht="38.1" customHeight="1" x14ac:dyDescent="0.2">
      <c r="A5" s="541"/>
      <c r="B5" s="544"/>
      <c r="C5" s="535"/>
      <c r="D5" s="548"/>
      <c r="E5" s="530"/>
      <c r="F5" s="530"/>
      <c r="G5" s="530"/>
      <c r="H5" s="530"/>
      <c r="I5" s="530"/>
      <c r="J5" s="530"/>
      <c r="K5" s="530"/>
      <c r="L5" s="530"/>
      <c r="M5" s="530"/>
      <c r="N5" s="530"/>
      <c r="O5" s="530"/>
      <c r="P5" s="530"/>
      <c r="Q5" s="546"/>
      <c r="R5" s="530"/>
      <c r="S5" s="533"/>
      <c r="T5" s="532"/>
      <c r="U5" s="535"/>
      <c r="V5" s="532"/>
      <c r="W5" s="537"/>
      <c r="X5" s="530"/>
      <c r="Y5" s="539"/>
      <c r="Z5" s="532"/>
      <c r="AA5" s="532"/>
      <c r="AB5" s="532"/>
      <c r="AC5" s="532"/>
      <c r="AD5" s="532"/>
      <c r="AE5" s="532"/>
      <c r="AF5" s="532"/>
      <c r="AG5" s="532"/>
      <c r="AH5" s="533"/>
      <c r="AI5" s="533"/>
      <c r="AJ5" s="533"/>
      <c r="AK5" s="533"/>
      <c r="AL5" s="537"/>
      <c r="AM5" s="535"/>
      <c r="AN5" s="550"/>
      <c r="AO5" s="546"/>
      <c r="AP5" s="546"/>
      <c r="AQ5" s="546"/>
      <c r="AR5" s="546"/>
    </row>
    <row r="6" spans="1:44" s="359" customFormat="1" x14ac:dyDescent="0.25">
      <c r="A6" s="542"/>
      <c r="B6" s="545"/>
      <c r="C6" s="399" t="s">
        <v>425</v>
      </c>
      <c r="D6" s="400" t="s">
        <v>426</v>
      </c>
      <c r="E6" s="366" t="s">
        <v>84</v>
      </c>
      <c r="F6" s="366" t="s">
        <v>85</v>
      </c>
      <c r="G6" s="366" t="s">
        <v>427</v>
      </c>
      <c r="H6" s="366" t="s">
        <v>428</v>
      </c>
      <c r="I6" s="366" t="s">
        <v>87</v>
      </c>
      <c r="J6" s="366" t="s">
        <v>88</v>
      </c>
      <c r="K6" s="366" t="s">
        <v>89</v>
      </c>
      <c r="L6" s="366" t="s">
        <v>90</v>
      </c>
      <c r="M6" s="366" t="s">
        <v>91</v>
      </c>
      <c r="N6" s="366" t="s">
        <v>92</v>
      </c>
      <c r="O6" s="366" t="s">
        <v>93</v>
      </c>
      <c r="P6" s="366" t="s">
        <v>94</v>
      </c>
      <c r="Q6" s="530"/>
      <c r="R6" s="366" t="s">
        <v>95</v>
      </c>
      <c r="S6" s="532"/>
      <c r="T6" s="311" t="s">
        <v>562</v>
      </c>
      <c r="U6" s="365" t="s">
        <v>563</v>
      </c>
      <c r="V6" s="311" t="s">
        <v>564</v>
      </c>
      <c r="W6" s="311" t="s">
        <v>565</v>
      </c>
      <c r="X6" s="366" t="s">
        <v>96</v>
      </c>
      <c r="Y6" s="311" t="s">
        <v>580</v>
      </c>
      <c r="Z6" s="311" t="s">
        <v>581</v>
      </c>
      <c r="AA6" s="311" t="s">
        <v>582</v>
      </c>
      <c r="AB6" s="311" t="s">
        <v>583</v>
      </c>
      <c r="AC6" s="311" t="s">
        <v>584</v>
      </c>
      <c r="AD6" s="311" t="s">
        <v>585</v>
      </c>
      <c r="AE6" s="311" t="s">
        <v>586</v>
      </c>
      <c r="AF6" s="311" t="s">
        <v>587</v>
      </c>
      <c r="AG6" s="311" t="s">
        <v>588</v>
      </c>
      <c r="AH6" s="532"/>
      <c r="AI6" s="532"/>
      <c r="AJ6" s="532"/>
      <c r="AK6" s="532"/>
      <c r="AL6" s="311" t="s">
        <v>589</v>
      </c>
      <c r="AM6" s="462">
        <f>+Paramètres!B8</f>
        <v>2017</v>
      </c>
      <c r="AN6" s="406">
        <f>+Paramètres!B7</f>
        <v>41638</v>
      </c>
      <c r="AO6" s="530"/>
      <c r="AP6" s="530"/>
      <c r="AQ6" s="530"/>
      <c r="AR6" s="530"/>
    </row>
    <row r="7" spans="1:44" x14ac:dyDescent="0.25">
      <c r="A7" s="383">
        <v>5401</v>
      </c>
      <c r="B7" s="367" t="s">
        <v>266</v>
      </c>
      <c r="C7" s="93">
        <v>11992347.890000001</v>
      </c>
      <c r="D7" s="93">
        <v>1563729.62</v>
      </c>
      <c r="E7" s="397"/>
      <c r="F7" s="369">
        <v>95.45</v>
      </c>
      <c r="G7" s="368">
        <v>3175073.45</v>
      </c>
      <c r="H7" s="370">
        <v>129603.75</v>
      </c>
      <c r="I7" s="368">
        <v>-5797.95</v>
      </c>
      <c r="J7" s="370">
        <v>663523.68000000005</v>
      </c>
      <c r="K7" s="368">
        <v>163866.4</v>
      </c>
      <c r="L7" s="370">
        <v>1847705.6000000001</v>
      </c>
      <c r="M7" s="371">
        <f>SUM(C7:L7)</f>
        <v>19530147.890000001</v>
      </c>
      <c r="N7" s="93">
        <v>906929.85</v>
      </c>
      <c r="O7" s="93">
        <v>419888.6</v>
      </c>
      <c r="P7" s="93">
        <v>1008208.15</v>
      </c>
      <c r="Q7" s="93">
        <v>113134.33</v>
      </c>
      <c r="R7" s="93">
        <v>589268.35</v>
      </c>
      <c r="S7" s="408"/>
      <c r="T7" s="412">
        <v>78474.45</v>
      </c>
      <c r="U7" s="402">
        <v>51300</v>
      </c>
      <c r="V7" s="315"/>
      <c r="W7" s="392"/>
      <c r="X7" s="372">
        <f>SUM(M7:W7)</f>
        <v>22697351.620000001</v>
      </c>
      <c r="Y7" s="93">
        <v>606923</v>
      </c>
      <c r="Z7" s="380"/>
      <c r="AA7" s="93">
        <v>795563.5</v>
      </c>
      <c r="AB7" s="380"/>
      <c r="AC7" s="93">
        <v>1352611.49</v>
      </c>
      <c r="AD7" s="380">
        <v>780529.4</v>
      </c>
      <c r="AE7" s="93"/>
      <c r="AF7" s="380">
        <v>949.5</v>
      </c>
      <c r="AG7" s="93">
        <v>32847.949999999997</v>
      </c>
      <c r="AH7" s="380">
        <v>357990.9</v>
      </c>
      <c r="AI7" s="93"/>
      <c r="AJ7" s="380"/>
      <c r="AK7" s="93">
        <v>229709.1</v>
      </c>
      <c r="AL7" s="403">
        <f>SUM(Y7:AK7)</f>
        <v>4157124.8400000003</v>
      </c>
      <c r="AM7" s="404">
        <v>67.5</v>
      </c>
      <c r="AN7" s="92">
        <v>10153</v>
      </c>
      <c r="AO7" s="392">
        <v>-379884.16</v>
      </c>
      <c r="AP7" s="93"/>
      <c r="AQ7" s="93">
        <v>-938.52</v>
      </c>
      <c r="AR7" s="35">
        <v>1.2</v>
      </c>
    </row>
    <row r="8" spans="1:44" x14ac:dyDescent="0.25">
      <c r="A8" s="383">
        <v>5402</v>
      </c>
      <c r="B8" s="367" t="s">
        <v>267</v>
      </c>
      <c r="C8" s="35">
        <v>8629885.2899999991</v>
      </c>
      <c r="D8" s="35">
        <v>1197763.23</v>
      </c>
      <c r="E8" s="397"/>
      <c r="F8" s="368"/>
      <c r="G8" s="368">
        <v>1161442.5</v>
      </c>
      <c r="H8" s="370">
        <v>96146.45</v>
      </c>
      <c r="I8" s="368">
        <v>154621.79999999999</v>
      </c>
      <c r="J8" s="370">
        <v>428504.5</v>
      </c>
      <c r="K8" s="368">
        <v>87064.65</v>
      </c>
      <c r="L8" s="370">
        <v>1499490.5</v>
      </c>
      <c r="M8" s="371">
        <f t="shared" ref="M8:M71" si="0">SUM(C8:L8)</f>
        <v>13254918.92</v>
      </c>
      <c r="N8" s="35">
        <v>170020.55</v>
      </c>
      <c r="O8" s="35">
        <v>253796.1</v>
      </c>
      <c r="P8" s="35">
        <v>825137.25</v>
      </c>
      <c r="Q8" s="35">
        <v>81151.05</v>
      </c>
      <c r="R8" s="35">
        <v>594534.44999999995</v>
      </c>
      <c r="S8" s="407">
        <v>2748.85</v>
      </c>
      <c r="T8" s="411">
        <v>28677.15</v>
      </c>
      <c r="U8" s="370">
        <v>44850</v>
      </c>
      <c r="V8" s="314">
        <v>38560.15</v>
      </c>
      <c r="W8" s="393">
        <v>4050</v>
      </c>
      <c r="X8" s="372">
        <f t="shared" ref="X8:X71" si="1">SUM(M8:W8)</f>
        <v>15298444.470000001</v>
      </c>
      <c r="Y8" s="35">
        <v>233580.5</v>
      </c>
      <c r="Z8" s="380">
        <v>997321.75</v>
      </c>
      <c r="AA8" s="35">
        <v>1878191.2</v>
      </c>
      <c r="AB8" s="380"/>
      <c r="AC8" s="35">
        <v>882863.66</v>
      </c>
      <c r="AD8" s="380">
        <v>1025969.7</v>
      </c>
      <c r="AE8" s="35"/>
      <c r="AF8" s="380"/>
      <c r="AG8" s="35">
        <v>101203.95</v>
      </c>
      <c r="AH8" s="380">
        <v>241180.85</v>
      </c>
      <c r="AI8" s="35"/>
      <c r="AJ8" s="380"/>
      <c r="AK8" s="35"/>
      <c r="AL8" s="403">
        <f t="shared" ref="AL8:AL71" si="2">SUM(Y8:AK8)</f>
        <v>5360311.6100000003</v>
      </c>
      <c r="AM8" s="18">
        <v>71</v>
      </c>
      <c r="AN8" s="33">
        <v>7719</v>
      </c>
      <c r="AO8" s="393">
        <v>-334358.31</v>
      </c>
      <c r="AP8" s="35"/>
      <c r="AQ8" s="35">
        <v>-721.12</v>
      </c>
      <c r="AR8" s="35">
        <v>1.25</v>
      </c>
    </row>
    <row r="9" spans="1:44" x14ac:dyDescent="0.25">
      <c r="A9" s="383">
        <v>5403</v>
      </c>
      <c r="B9" s="367" t="s">
        <v>117</v>
      </c>
      <c r="C9" s="35">
        <v>599526.07999999996</v>
      </c>
      <c r="D9" s="35">
        <v>65447.46</v>
      </c>
      <c r="E9" s="397"/>
      <c r="F9" s="368"/>
      <c r="G9" s="368">
        <v>11878.3</v>
      </c>
      <c r="H9" s="370">
        <v>141.44999999999999</v>
      </c>
      <c r="I9" s="368"/>
      <c r="J9" s="370">
        <v>18133.919999999998</v>
      </c>
      <c r="K9" s="368">
        <v>994</v>
      </c>
      <c r="L9" s="370">
        <v>56269.25</v>
      </c>
      <c r="M9" s="371">
        <f t="shared" si="0"/>
        <v>752390.46</v>
      </c>
      <c r="N9" s="35">
        <v>6003.45</v>
      </c>
      <c r="O9" s="35">
        <v>594</v>
      </c>
      <c r="P9" s="35">
        <v>60544</v>
      </c>
      <c r="Q9" s="35">
        <v>464.85</v>
      </c>
      <c r="R9" s="35">
        <v>6502.7</v>
      </c>
      <c r="S9" s="407"/>
      <c r="T9" s="314"/>
      <c r="U9" s="370">
        <v>5300</v>
      </c>
      <c r="V9" s="314"/>
      <c r="W9" s="393"/>
      <c r="X9" s="372">
        <f t="shared" si="1"/>
        <v>831799.45999999985</v>
      </c>
      <c r="Y9" s="35">
        <v>127.5</v>
      </c>
      <c r="Z9" s="380"/>
      <c r="AA9" s="35">
        <v>65532.800000000003</v>
      </c>
      <c r="AB9" s="380"/>
      <c r="AC9" s="35">
        <v>38964.5</v>
      </c>
      <c r="AD9" s="380">
        <v>135</v>
      </c>
      <c r="AE9" s="35"/>
      <c r="AF9" s="380"/>
      <c r="AG9" s="35"/>
      <c r="AH9" s="380"/>
      <c r="AI9" s="35"/>
      <c r="AJ9" s="380"/>
      <c r="AK9" s="35"/>
      <c r="AL9" s="403">
        <f t="shared" si="2"/>
        <v>104759.8</v>
      </c>
      <c r="AM9" s="18">
        <v>74</v>
      </c>
      <c r="AN9" s="33">
        <v>403</v>
      </c>
      <c r="AO9" s="393">
        <v>-27848.2</v>
      </c>
      <c r="AP9" s="35"/>
      <c r="AQ9" s="35">
        <v>-0.08</v>
      </c>
      <c r="AR9" s="35">
        <v>1</v>
      </c>
    </row>
    <row r="10" spans="1:44" x14ac:dyDescent="0.25">
      <c r="A10" s="383">
        <v>5404</v>
      </c>
      <c r="B10" s="367" t="s">
        <v>118</v>
      </c>
      <c r="C10" s="35">
        <v>559687.56000000006</v>
      </c>
      <c r="D10" s="35">
        <v>127374.39</v>
      </c>
      <c r="E10" s="397"/>
      <c r="F10" s="368"/>
      <c r="G10" s="368">
        <v>14791.25</v>
      </c>
      <c r="H10" s="370">
        <v>100.9</v>
      </c>
      <c r="I10" s="368"/>
      <c r="J10" s="370">
        <v>3363.46</v>
      </c>
      <c r="K10" s="368">
        <v>569.75</v>
      </c>
      <c r="L10" s="373">
        <v>113124.85</v>
      </c>
      <c r="M10" s="371">
        <f t="shared" si="0"/>
        <v>819012.16</v>
      </c>
      <c r="N10" s="35">
        <v>6541.75</v>
      </c>
      <c r="O10" s="35">
        <v>300761.7</v>
      </c>
      <c r="P10" s="35">
        <v>66190.55</v>
      </c>
      <c r="Q10" s="35">
        <v>466.75</v>
      </c>
      <c r="R10" s="35">
        <v>23877.25</v>
      </c>
      <c r="S10" s="407">
        <v>226.65</v>
      </c>
      <c r="T10" s="314"/>
      <c r="U10" s="370">
        <v>5750</v>
      </c>
      <c r="V10" s="314"/>
      <c r="W10" s="393"/>
      <c r="X10" s="372">
        <f t="shared" si="1"/>
        <v>1222826.81</v>
      </c>
      <c r="Y10" s="35">
        <v>14072.2</v>
      </c>
      <c r="Z10" s="380">
        <v>4300</v>
      </c>
      <c r="AA10" s="35">
        <v>127887.65</v>
      </c>
      <c r="AB10" s="380"/>
      <c r="AC10" s="35">
        <v>37186.9</v>
      </c>
      <c r="AD10" s="380">
        <v>9381.7999999999993</v>
      </c>
      <c r="AE10" s="35">
        <v>3010</v>
      </c>
      <c r="AF10" s="380"/>
      <c r="AG10" s="35">
        <v>5336.65</v>
      </c>
      <c r="AH10" s="380"/>
      <c r="AI10" s="35"/>
      <c r="AJ10" s="380"/>
      <c r="AK10" s="35"/>
      <c r="AL10" s="403">
        <f t="shared" si="2"/>
        <v>201175.19999999998</v>
      </c>
      <c r="AM10" s="18">
        <v>70</v>
      </c>
      <c r="AN10" s="33">
        <v>437</v>
      </c>
      <c r="AO10" s="393">
        <v>-14194.93</v>
      </c>
      <c r="AP10" s="35"/>
      <c r="AQ10" s="35">
        <v>-0.85</v>
      </c>
      <c r="AR10" s="35">
        <v>1.5</v>
      </c>
    </row>
    <row r="11" spans="1:44" x14ac:dyDescent="0.25">
      <c r="A11" s="383">
        <v>5405</v>
      </c>
      <c r="B11" s="367" t="s">
        <v>119</v>
      </c>
      <c r="C11" s="35">
        <v>2885632.82</v>
      </c>
      <c r="D11" s="35">
        <v>1215096.45</v>
      </c>
      <c r="E11" s="397"/>
      <c r="F11" s="368"/>
      <c r="G11" s="368">
        <v>46932.1</v>
      </c>
      <c r="H11" s="370">
        <v>8328.4</v>
      </c>
      <c r="I11" s="368">
        <v>255090.25</v>
      </c>
      <c r="J11" s="370">
        <v>88169.29</v>
      </c>
      <c r="K11" s="368">
        <v>13487.7</v>
      </c>
      <c r="L11" s="370">
        <v>1140725.45</v>
      </c>
      <c r="M11" s="371">
        <f t="shared" si="0"/>
        <v>5653462.46</v>
      </c>
      <c r="N11" s="35"/>
      <c r="O11" s="35">
        <v>85662.5</v>
      </c>
      <c r="P11" s="35">
        <v>291566.75</v>
      </c>
      <c r="Q11" s="35">
        <v>22889.98</v>
      </c>
      <c r="R11" s="35">
        <v>270969.5</v>
      </c>
      <c r="S11" s="409">
        <v>325</v>
      </c>
      <c r="T11" s="35">
        <v>5550</v>
      </c>
      <c r="U11" s="380">
        <v>9350</v>
      </c>
      <c r="V11" s="35">
        <v>550</v>
      </c>
      <c r="W11" s="393"/>
      <c r="X11" s="372">
        <f t="shared" si="1"/>
        <v>6340326.1900000004</v>
      </c>
      <c r="Y11" s="35">
        <v>86594.6</v>
      </c>
      <c r="Z11" s="380"/>
      <c r="AA11" s="35">
        <v>177719.2</v>
      </c>
      <c r="AB11" s="380"/>
      <c r="AC11" s="35">
        <v>403530.15</v>
      </c>
      <c r="AD11" s="380">
        <v>215871</v>
      </c>
      <c r="AE11" s="35"/>
      <c r="AF11" s="380"/>
      <c r="AG11" s="35"/>
      <c r="AH11" s="380"/>
      <c r="AI11" s="35"/>
      <c r="AJ11" s="380"/>
      <c r="AK11" s="35"/>
      <c r="AL11" s="403">
        <f t="shared" si="2"/>
        <v>883714.95000000007</v>
      </c>
      <c r="AM11" s="18">
        <v>75</v>
      </c>
      <c r="AN11" s="33">
        <v>1364</v>
      </c>
      <c r="AO11" s="393">
        <v>-49224.26</v>
      </c>
      <c r="AP11" s="35"/>
      <c r="AQ11" s="35">
        <v>-648.4</v>
      </c>
      <c r="AR11" s="35">
        <v>1.5</v>
      </c>
    </row>
    <row r="12" spans="1:44" x14ac:dyDescent="0.25">
      <c r="A12" s="383">
        <v>5406</v>
      </c>
      <c r="B12" s="367" t="s">
        <v>120</v>
      </c>
      <c r="C12" s="35">
        <v>1102903.25</v>
      </c>
      <c r="D12" s="35">
        <v>130512.79</v>
      </c>
      <c r="E12" s="397"/>
      <c r="F12" s="368"/>
      <c r="G12" s="368">
        <v>131683.6</v>
      </c>
      <c r="H12" s="370">
        <v>3940.85</v>
      </c>
      <c r="I12" s="368"/>
      <c r="J12" s="370">
        <v>77672.08</v>
      </c>
      <c r="K12" s="368">
        <v>8860.6</v>
      </c>
      <c r="L12" s="370">
        <v>187564.25</v>
      </c>
      <c r="M12" s="371">
        <f t="shared" si="0"/>
        <v>1643137.4200000004</v>
      </c>
      <c r="N12" s="35">
        <v>4100.5</v>
      </c>
      <c r="O12" s="35">
        <v>2904</v>
      </c>
      <c r="P12" s="35">
        <v>61769.4</v>
      </c>
      <c r="Q12" s="35">
        <v>6240.28</v>
      </c>
      <c r="R12" s="35">
        <v>88368.1</v>
      </c>
      <c r="S12" s="409"/>
      <c r="T12" s="35"/>
      <c r="U12" s="380">
        <v>6200</v>
      </c>
      <c r="V12" s="35">
        <v>204826</v>
      </c>
      <c r="W12" s="393"/>
      <c r="X12" s="372">
        <f t="shared" si="1"/>
        <v>2017545.7000000004</v>
      </c>
      <c r="Y12" s="35">
        <v>58624.6</v>
      </c>
      <c r="Z12" s="380"/>
      <c r="AA12" s="35">
        <v>295037.95</v>
      </c>
      <c r="AB12" s="380"/>
      <c r="AC12" s="35">
        <v>147551.95000000001</v>
      </c>
      <c r="AD12" s="380">
        <v>29418.65</v>
      </c>
      <c r="AE12" s="35">
        <v>531.95000000000005</v>
      </c>
      <c r="AF12" s="380"/>
      <c r="AG12" s="35">
        <v>49517</v>
      </c>
      <c r="AH12" s="380">
        <v>62577.84</v>
      </c>
      <c r="AI12" s="35"/>
      <c r="AJ12" s="380"/>
      <c r="AK12" s="35"/>
      <c r="AL12" s="403">
        <f t="shared" si="2"/>
        <v>643259.93999999994</v>
      </c>
      <c r="AM12" s="18">
        <v>71</v>
      </c>
      <c r="AN12" s="33">
        <v>926</v>
      </c>
      <c r="AO12" s="393">
        <v>-29537.95</v>
      </c>
      <c r="AP12" s="35"/>
      <c r="AQ12" s="35">
        <v>0</v>
      </c>
      <c r="AR12" s="35">
        <v>1.3</v>
      </c>
    </row>
    <row r="13" spans="1:44" x14ac:dyDescent="0.25">
      <c r="A13" s="383">
        <v>5407</v>
      </c>
      <c r="B13" s="367" t="s">
        <v>121</v>
      </c>
      <c r="C13" s="35">
        <v>4266002.33</v>
      </c>
      <c r="D13" s="35">
        <v>970439.16</v>
      </c>
      <c r="E13" s="397"/>
      <c r="F13" s="368"/>
      <c r="G13" s="368">
        <v>269452.65000000002</v>
      </c>
      <c r="H13" s="370">
        <v>80080.600000000006</v>
      </c>
      <c r="I13" s="368">
        <v>139743.37</v>
      </c>
      <c r="J13" s="370">
        <v>430438.01</v>
      </c>
      <c r="K13" s="368">
        <v>49521.1</v>
      </c>
      <c r="L13" s="370">
        <v>1191712.6499999999</v>
      </c>
      <c r="M13" s="371">
        <f t="shared" si="0"/>
        <v>7397389.8699999992</v>
      </c>
      <c r="N13" s="35">
        <v>20208.75</v>
      </c>
      <c r="O13" s="35">
        <v>100744.2</v>
      </c>
      <c r="P13" s="35">
        <v>303301.45</v>
      </c>
      <c r="Q13" s="35">
        <v>34809.1</v>
      </c>
      <c r="R13" s="35">
        <v>285716</v>
      </c>
      <c r="S13" s="409">
        <v>35873.449999999997</v>
      </c>
      <c r="T13" s="35"/>
      <c r="U13" s="380">
        <v>18000</v>
      </c>
      <c r="V13" s="35">
        <v>10383.1</v>
      </c>
      <c r="W13" s="393">
        <v>1520</v>
      </c>
      <c r="X13" s="372">
        <f t="shared" si="1"/>
        <v>8207945.919999999</v>
      </c>
      <c r="Y13" s="35">
        <v>-296573.84999999998</v>
      </c>
      <c r="Z13" s="380"/>
      <c r="AA13" s="35">
        <v>592705.9</v>
      </c>
      <c r="AB13" s="380"/>
      <c r="AC13" s="35">
        <v>498812.72</v>
      </c>
      <c r="AD13" s="380">
        <v>-296573.84999999998</v>
      </c>
      <c r="AE13" s="35"/>
      <c r="AF13" s="380"/>
      <c r="AG13" s="35"/>
      <c r="AH13" s="380">
        <v>133925.75</v>
      </c>
      <c r="AI13" s="35"/>
      <c r="AJ13" s="380"/>
      <c r="AK13" s="35"/>
      <c r="AL13" s="403">
        <f t="shared" si="2"/>
        <v>632296.67000000004</v>
      </c>
      <c r="AM13" s="18">
        <v>78</v>
      </c>
      <c r="AN13" s="33">
        <v>4023</v>
      </c>
      <c r="AO13" s="393">
        <v>-69786.34</v>
      </c>
      <c r="AP13" s="35"/>
      <c r="AQ13" s="35">
        <v>-2136.56</v>
      </c>
      <c r="AR13" s="35">
        <v>1.5</v>
      </c>
    </row>
    <row r="14" spans="1:44" x14ac:dyDescent="0.25">
      <c r="A14" s="383">
        <v>5408</v>
      </c>
      <c r="B14" s="367" t="s">
        <v>122</v>
      </c>
      <c r="C14" s="35">
        <v>1762002.04</v>
      </c>
      <c r="D14" s="35">
        <v>233104.76</v>
      </c>
      <c r="E14" s="397"/>
      <c r="F14" s="368"/>
      <c r="G14" s="368">
        <v>445383.75</v>
      </c>
      <c r="H14" s="370">
        <v>4274.05</v>
      </c>
      <c r="I14" s="368"/>
      <c r="J14" s="370">
        <v>90896.23</v>
      </c>
      <c r="K14" s="368">
        <v>20389.05</v>
      </c>
      <c r="L14" s="370">
        <v>256668.1</v>
      </c>
      <c r="M14" s="371">
        <f t="shared" si="0"/>
        <v>2812717.9799999995</v>
      </c>
      <c r="N14" s="35">
        <v>58557.25</v>
      </c>
      <c r="O14" s="35">
        <v>113978.7</v>
      </c>
      <c r="P14" s="35">
        <v>109789.7</v>
      </c>
      <c r="Q14" s="35">
        <v>16604.919999999998</v>
      </c>
      <c r="R14" s="35">
        <v>25509.200000000001</v>
      </c>
      <c r="S14" s="409"/>
      <c r="T14" s="35">
        <v>14124.05</v>
      </c>
      <c r="U14" s="380">
        <v>7750</v>
      </c>
      <c r="V14" s="35"/>
      <c r="W14" s="393"/>
      <c r="X14" s="372">
        <f t="shared" si="1"/>
        <v>3159031.8</v>
      </c>
      <c r="Y14" s="35">
        <v>34513.1</v>
      </c>
      <c r="Z14" s="380"/>
      <c r="AA14" s="35">
        <v>98127.85</v>
      </c>
      <c r="AB14" s="380">
        <v>45199.7</v>
      </c>
      <c r="AC14" s="35">
        <v>115323.2</v>
      </c>
      <c r="AD14" s="380">
        <v>24951.45</v>
      </c>
      <c r="AE14" s="35"/>
      <c r="AF14" s="380"/>
      <c r="AG14" s="35">
        <v>59129</v>
      </c>
      <c r="AH14" s="380">
        <v>46444.9</v>
      </c>
      <c r="AI14" s="35"/>
      <c r="AJ14" s="380"/>
      <c r="AK14" s="35"/>
      <c r="AL14" s="403">
        <f t="shared" si="2"/>
        <v>423689.20000000007</v>
      </c>
      <c r="AM14" s="18">
        <v>78.5</v>
      </c>
      <c r="AN14" s="33">
        <v>1055</v>
      </c>
      <c r="AO14" s="393">
        <v>-45550.18</v>
      </c>
      <c r="AP14" s="35"/>
      <c r="AQ14" s="35">
        <v>-54.98</v>
      </c>
      <c r="AR14" s="35">
        <v>1.5</v>
      </c>
    </row>
    <row r="15" spans="1:44" x14ac:dyDescent="0.25">
      <c r="A15" s="383">
        <v>5409</v>
      </c>
      <c r="B15" s="367" t="s">
        <v>123</v>
      </c>
      <c r="C15" s="35">
        <v>12820936.460000001</v>
      </c>
      <c r="D15" s="35">
        <v>4598109.9000000004</v>
      </c>
      <c r="E15" s="397"/>
      <c r="F15" s="368"/>
      <c r="G15" s="368">
        <v>1283097.8500000001</v>
      </c>
      <c r="H15" s="370">
        <v>65268.65</v>
      </c>
      <c r="I15" s="368">
        <v>2828271.23</v>
      </c>
      <c r="J15" s="370">
        <v>835288.22</v>
      </c>
      <c r="K15" s="368">
        <v>111487.85</v>
      </c>
      <c r="L15" s="370">
        <v>3748847.5</v>
      </c>
      <c r="M15" s="371">
        <f t="shared" si="0"/>
        <v>26291307.66</v>
      </c>
      <c r="N15" s="35">
        <v>55680.2</v>
      </c>
      <c r="O15" s="35">
        <v>362681.95</v>
      </c>
      <c r="P15" s="35">
        <v>1581032.65</v>
      </c>
      <c r="Q15" s="35">
        <v>70557.919999999998</v>
      </c>
      <c r="R15" s="35">
        <v>958024.5</v>
      </c>
      <c r="S15" s="409">
        <v>13280.4</v>
      </c>
      <c r="T15" s="35">
        <v>16175</v>
      </c>
      <c r="U15" s="380">
        <v>67050</v>
      </c>
      <c r="V15" s="35"/>
      <c r="W15" s="393"/>
      <c r="X15" s="372">
        <f t="shared" si="1"/>
        <v>29415790.279999997</v>
      </c>
      <c r="Y15" s="35">
        <v>286066.5</v>
      </c>
      <c r="Z15" s="380">
        <v>-201890.9</v>
      </c>
      <c r="AA15" s="35">
        <v>2362432.15</v>
      </c>
      <c r="AB15" s="380"/>
      <c r="AC15" s="35">
        <v>1470351.7</v>
      </c>
      <c r="AD15" s="380">
        <v>3178.2</v>
      </c>
      <c r="AE15" s="35">
        <v>157050.15</v>
      </c>
      <c r="AF15" s="380"/>
      <c r="AG15" s="35">
        <v>2873223.94</v>
      </c>
      <c r="AH15" s="380"/>
      <c r="AI15" s="35"/>
      <c r="AJ15" s="380"/>
      <c r="AK15" s="35"/>
      <c r="AL15" s="403">
        <f t="shared" si="2"/>
        <v>6950411.7400000002</v>
      </c>
      <c r="AM15" s="18">
        <v>68</v>
      </c>
      <c r="AN15" s="33">
        <v>7494</v>
      </c>
      <c r="AO15" s="393">
        <v>-192708.49</v>
      </c>
      <c r="AP15" s="35"/>
      <c r="AQ15" s="35">
        <v>-7247.39</v>
      </c>
      <c r="AR15" s="35">
        <v>1.3</v>
      </c>
    </row>
    <row r="16" spans="1:44" x14ac:dyDescent="0.25">
      <c r="A16" s="383">
        <v>5410</v>
      </c>
      <c r="B16" s="367" t="s">
        <v>135</v>
      </c>
      <c r="C16" s="35">
        <v>1832531.47</v>
      </c>
      <c r="D16" s="35">
        <v>575869.18999999994</v>
      </c>
      <c r="E16" s="397"/>
      <c r="F16" s="368"/>
      <c r="G16" s="368">
        <v>140735.70000000001</v>
      </c>
      <c r="H16" s="370">
        <v>2038.05</v>
      </c>
      <c r="I16" s="368"/>
      <c r="J16" s="370">
        <v>92989.28</v>
      </c>
      <c r="K16" s="368">
        <v>5243.5</v>
      </c>
      <c r="L16" s="370">
        <v>549254.75</v>
      </c>
      <c r="M16" s="371">
        <f t="shared" si="0"/>
        <v>3198661.94</v>
      </c>
      <c r="N16" s="35"/>
      <c r="O16" s="35">
        <v>75600.5</v>
      </c>
      <c r="P16" s="35">
        <v>153112.95000000001</v>
      </c>
      <c r="Q16" s="35">
        <v>15556.04</v>
      </c>
      <c r="R16" s="35">
        <v>175332.8</v>
      </c>
      <c r="S16" s="409">
        <v>8410.2000000000007</v>
      </c>
      <c r="T16" s="35">
        <v>150</v>
      </c>
      <c r="U16" s="380">
        <v>17450</v>
      </c>
      <c r="V16" s="35">
        <v>3152.25</v>
      </c>
      <c r="W16" s="393"/>
      <c r="X16" s="372">
        <f t="shared" si="1"/>
        <v>3647426.68</v>
      </c>
      <c r="Y16" s="35">
        <v>63915.1</v>
      </c>
      <c r="Z16" s="380"/>
      <c r="AA16" s="35">
        <v>459328.15</v>
      </c>
      <c r="AB16" s="380"/>
      <c r="AC16" s="35">
        <v>276103.34999999998</v>
      </c>
      <c r="AD16" s="380">
        <v>58026.35</v>
      </c>
      <c r="AE16" s="35"/>
      <c r="AF16" s="380"/>
      <c r="AG16" s="35">
        <v>321188.05</v>
      </c>
      <c r="AH16" s="380">
        <v>57809.599999999999</v>
      </c>
      <c r="AI16" s="35"/>
      <c r="AJ16" s="380">
        <v>33034.050000000003</v>
      </c>
      <c r="AK16" s="35"/>
      <c r="AL16" s="403">
        <f t="shared" si="2"/>
        <v>1269404.6500000001</v>
      </c>
      <c r="AM16" s="18">
        <v>78.5</v>
      </c>
      <c r="AN16" s="33">
        <v>1117</v>
      </c>
      <c r="AO16" s="393">
        <v>-23211.67</v>
      </c>
      <c r="AP16" s="35"/>
      <c r="AQ16" s="35">
        <v>-124.32</v>
      </c>
      <c r="AR16" s="35">
        <v>1.5</v>
      </c>
    </row>
    <row r="17" spans="1:44" x14ac:dyDescent="0.25">
      <c r="A17" s="383">
        <v>5411</v>
      </c>
      <c r="B17" s="367" t="s">
        <v>136</v>
      </c>
      <c r="C17" s="35">
        <v>3428087.76</v>
      </c>
      <c r="D17" s="35">
        <v>1409524</v>
      </c>
      <c r="E17" s="397"/>
      <c r="F17" s="368"/>
      <c r="G17" s="368">
        <v>244687.3</v>
      </c>
      <c r="H17" s="370">
        <v>5328.4</v>
      </c>
      <c r="I17" s="368">
        <v>99494.21</v>
      </c>
      <c r="J17" s="370">
        <v>135976.32000000001</v>
      </c>
      <c r="K17" s="368">
        <v>21865.95</v>
      </c>
      <c r="L17" s="370">
        <v>1163335.8999999999</v>
      </c>
      <c r="M17" s="371">
        <f t="shared" si="0"/>
        <v>6508299.8399999999</v>
      </c>
      <c r="N17" s="35"/>
      <c r="O17" s="35">
        <v>12809.7</v>
      </c>
      <c r="P17" s="35">
        <v>244544</v>
      </c>
      <c r="Q17" s="35">
        <v>3438.17</v>
      </c>
      <c r="R17" s="35">
        <v>268175.09999999998</v>
      </c>
      <c r="S17" s="409"/>
      <c r="T17" s="35">
        <v>56622.45</v>
      </c>
      <c r="U17" s="380">
        <v>10700</v>
      </c>
      <c r="V17" s="35"/>
      <c r="W17" s="393"/>
      <c r="X17" s="372">
        <f t="shared" si="1"/>
        <v>7104589.2599999998</v>
      </c>
      <c r="Y17" s="35">
        <v>33222</v>
      </c>
      <c r="Z17" s="380"/>
      <c r="AA17" s="35">
        <v>370272</v>
      </c>
      <c r="AB17" s="380"/>
      <c r="AC17" s="35">
        <v>502837.6</v>
      </c>
      <c r="AD17" s="380">
        <v>114824</v>
      </c>
      <c r="AE17" s="35"/>
      <c r="AF17" s="380"/>
      <c r="AG17" s="35">
        <v>937502.34</v>
      </c>
      <c r="AH17" s="380"/>
      <c r="AI17" s="35"/>
      <c r="AJ17" s="380"/>
      <c r="AK17" s="35">
        <v>28141.65</v>
      </c>
      <c r="AL17" s="403">
        <f t="shared" si="2"/>
        <v>1986799.5899999999</v>
      </c>
      <c r="AM17" s="18">
        <v>76</v>
      </c>
      <c r="AN17" s="33">
        <v>1467</v>
      </c>
      <c r="AO17" s="393">
        <v>-47883.96</v>
      </c>
      <c r="AP17" s="35"/>
      <c r="AQ17" s="35">
        <v>-1896.74</v>
      </c>
      <c r="AR17" s="35">
        <v>1.5</v>
      </c>
    </row>
    <row r="18" spans="1:44" x14ac:dyDescent="0.25">
      <c r="A18" s="383">
        <v>5412</v>
      </c>
      <c r="B18" s="367" t="s">
        <v>137</v>
      </c>
      <c r="C18" s="35">
        <v>1463313.42</v>
      </c>
      <c r="D18" s="35">
        <v>136938.22</v>
      </c>
      <c r="E18" s="397"/>
      <c r="F18" s="368"/>
      <c r="G18" s="368">
        <v>199117.05</v>
      </c>
      <c r="H18" s="370">
        <v>12447.25</v>
      </c>
      <c r="I18" s="368">
        <v>24920.9</v>
      </c>
      <c r="J18" s="370">
        <v>90383.23</v>
      </c>
      <c r="K18" s="368">
        <v>20313.349999999999</v>
      </c>
      <c r="L18" s="370">
        <v>199401.1</v>
      </c>
      <c r="M18" s="371">
        <f t="shared" si="0"/>
        <v>2146834.52</v>
      </c>
      <c r="N18" s="35">
        <v>86972.800000000003</v>
      </c>
      <c r="O18" s="35"/>
      <c r="P18" s="35">
        <v>67044</v>
      </c>
      <c r="Q18" s="35">
        <v>3885.64</v>
      </c>
      <c r="R18" s="35">
        <v>33549.9</v>
      </c>
      <c r="S18" s="409"/>
      <c r="T18" s="35">
        <v>200</v>
      </c>
      <c r="U18" s="380">
        <v>4200</v>
      </c>
      <c r="V18" s="35"/>
      <c r="W18" s="393"/>
      <c r="X18" s="372">
        <f t="shared" si="1"/>
        <v>2342686.86</v>
      </c>
      <c r="Y18" s="35">
        <v>146318.19</v>
      </c>
      <c r="Z18" s="380"/>
      <c r="AA18" s="35">
        <v>163366.42000000001</v>
      </c>
      <c r="AB18" s="380"/>
      <c r="AC18" s="35">
        <v>101894.8</v>
      </c>
      <c r="AD18" s="380">
        <v>175581.8</v>
      </c>
      <c r="AE18" s="35"/>
      <c r="AF18" s="380"/>
      <c r="AG18" s="35">
        <v>1302</v>
      </c>
      <c r="AH18" s="380">
        <v>70504.149999999994</v>
      </c>
      <c r="AI18" s="35"/>
      <c r="AJ18" s="380"/>
      <c r="AK18" s="35"/>
      <c r="AL18" s="403">
        <f t="shared" si="2"/>
        <v>658967.36</v>
      </c>
      <c r="AM18" s="18">
        <v>67.5</v>
      </c>
      <c r="AN18" s="33">
        <v>839</v>
      </c>
      <c r="AO18" s="393">
        <v>-24548.02</v>
      </c>
      <c r="AP18" s="35"/>
      <c r="AQ18" s="35">
        <v>-17.829999999999998</v>
      </c>
      <c r="AR18" s="35">
        <v>1</v>
      </c>
    </row>
    <row r="19" spans="1:44" x14ac:dyDescent="0.25">
      <c r="A19" s="383">
        <v>5413</v>
      </c>
      <c r="B19" s="367" t="s">
        <v>138</v>
      </c>
      <c r="C19" s="35">
        <v>1876054.61</v>
      </c>
      <c r="D19" s="35">
        <v>205076</v>
      </c>
      <c r="E19" s="397"/>
      <c r="F19" s="368"/>
      <c r="G19" s="368">
        <v>221046</v>
      </c>
      <c r="H19" s="370">
        <v>1725.2</v>
      </c>
      <c r="I19" s="368"/>
      <c r="J19" s="370">
        <v>85929.22</v>
      </c>
      <c r="K19" s="368">
        <v>16972.349999999999</v>
      </c>
      <c r="L19" s="370">
        <v>236203.4</v>
      </c>
      <c r="M19" s="371">
        <f t="shared" si="0"/>
        <v>2643006.7800000007</v>
      </c>
      <c r="N19" s="35">
        <v>185237.95</v>
      </c>
      <c r="O19" s="35">
        <v>3960</v>
      </c>
      <c r="P19" s="35">
        <v>128784.45</v>
      </c>
      <c r="Q19" s="35">
        <v>40765.64</v>
      </c>
      <c r="R19" s="35">
        <v>82385.45</v>
      </c>
      <c r="S19" s="409"/>
      <c r="T19" s="35"/>
      <c r="U19" s="380">
        <v>12206.3</v>
      </c>
      <c r="V19" s="35"/>
      <c r="W19" s="393"/>
      <c r="X19" s="372">
        <f t="shared" si="1"/>
        <v>3096346.5700000012</v>
      </c>
      <c r="Y19" s="35">
        <v>19575.5</v>
      </c>
      <c r="Z19" s="380">
        <v>19575.5</v>
      </c>
      <c r="AA19" s="35">
        <v>106570.2</v>
      </c>
      <c r="AB19" s="380"/>
      <c r="AC19" s="35">
        <v>197174.56</v>
      </c>
      <c r="AD19" s="380">
        <v>30089.3</v>
      </c>
      <c r="AE19" s="35">
        <v>14852.5</v>
      </c>
      <c r="AF19" s="380"/>
      <c r="AG19" s="35"/>
      <c r="AH19" s="380">
        <v>70478.45</v>
      </c>
      <c r="AI19" s="35"/>
      <c r="AJ19" s="380">
        <v>20136.7</v>
      </c>
      <c r="AK19" s="35"/>
      <c r="AL19" s="403">
        <f t="shared" si="2"/>
        <v>478452.71</v>
      </c>
      <c r="AM19" s="18">
        <v>68</v>
      </c>
      <c r="AN19" s="33">
        <v>1650</v>
      </c>
      <c r="AO19" s="393">
        <v>-119295.3</v>
      </c>
      <c r="AP19" s="35"/>
      <c r="AQ19" s="35">
        <v>-64.52</v>
      </c>
      <c r="AR19" s="35">
        <v>1</v>
      </c>
    </row>
    <row r="20" spans="1:44" x14ac:dyDescent="0.25">
      <c r="A20" s="383">
        <v>5414</v>
      </c>
      <c r="B20" s="367" t="s">
        <v>139</v>
      </c>
      <c r="C20" s="35">
        <v>7553534.2800000003</v>
      </c>
      <c r="D20" s="35">
        <v>1190074.73</v>
      </c>
      <c r="E20" s="397"/>
      <c r="F20" s="368"/>
      <c r="G20" s="368">
        <v>1373975.75</v>
      </c>
      <c r="H20" s="370">
        <v>39261.4</v>
      </c>
      <c r="I20" s="368">
        <v>71077.3</v>
      </c>
      <c r="J20" s="370">
        <v>363958.32</v>
      </c>
      <c r="K20" s="368">
        <v>125496.15</v>
      </c>
      <c r="L20" s="370">
        <v>1044601.1</v>
      </c>
      <c r="M20" s="371">
        <f t="shared" si="0"/>
        <v>11761979.030000001</v>
      </c>
      <c r="N20" s="35">
        <v>992574.25</v>
      </c>
      <c r="O20" s="35">
        <v>134241.20000000001</v>
      </c>
      <c r="P20" s="35">
        <v>838515.15</v>
      </c>
      <c r="Q20" s="35">
        <v>40907.5</v>
      </c>
      <c r="R20" s="35">
        <v>358018.45</v>
      </c>
      <c r="S20" s="409"/>
      <c r="T20" s="35"/>
      <c r="U20" s="380">
        <v>27830</v>
      </c>
      <c r="V20" s="35"/>
      <c r="W20" s="393"/>
      <c r="X20" s="372">
        <f t="shared" si="1"/>
        <v>14154065.58</v>
      </c>
      <c r="Y20" s="35">
        <v>50239.35</v>
      </c>
      <c r="Z20" s="380"/>
      <c r="AA20" s="35">
        <v>1089632.6000000001</v>
      </c>
      <c r="AB20" s="380"/>
      <c r="AC20" s="35">
        <v>902237.3</v>
      </c>
      <c r="AD20" s="380">
        <v>63653.599999999999</v>
      </c>
      <c r="AE20" s="35"/>
      <c r="AF20" s="380"/>
      <c r="AG20" s="35">
        <v>67128.600000000006</v>
      </c>
      <c r="AH20" s="380">
        <v>223355.5</v>
      </c>
      <c r="AI20" s="35"/>
      <c r="AJ20" s="380">
        <v>127615.15</v>
      </c>
      <c r="AK20" s="35"/>
      <c r="AL20" s="403">
        <f t="shared" si="2"/>
        <v>2523862.1</v>
      </c>
      <c r="AM20" s="18">
        <v>69</v>
      </c>
      <c r="AN20" s="33">
        <v>5672</v>
      </c>
      <c r="AO20" s="393">
        <v>-160281.88</v>
      </c>
      <c r="AP20" s="35"/>
      <c r="AQ20" s="35">
        <v>-1886.78</v>
      </c>
      <c r="AR20" s="35">
        <v>1</v>
      </c>
    </row>
    <row r="21" spans="1:44" x14ac:dyDescent="0.25">
      <c r="A21" s="383">
        <v>5415</v>
      </c>
      <c r="B21" s="367" t="s">
        <v>77</v>
      </c>
      <c r="C21" s="35">
        <v>1785862.06</v>
      </c>
      <c r="D21" s="35">
        <v>347799.1</v>
      </c>
      <c r="E21" s="397"/>
      <c r="F21" s="368"/>
      <c r="G21" s="368">
        <v>121267.55</v>
      </c>
      <c r="H21" s="370">
        <v>835.6</v>
      </c>
      <c r="I21" s="368">
        <v>1352.45</v>
      </c>
      <c r="J21" s="370">
        <v>60687.05</v>
      </c>
      <c r="K21" s="368">
        <v>10262.65</v>
      </c>
      <c r="L21" s="370">
        <v>320170.84999999998</v>
      </c>
      <c r="M21" s="371">
        <f t="shared" si="0"/>
        <v>2648237.31</v>
      </c>
      <c r="N21" s="35">
        <v>27533.95</v>
      </c>
      <c r="O21" s="35">
        <v>30506.6</v>
      </c>
      <c r="P21" s="35">
        <v>142133.4</v>
      </c>
      <c r="Q21" s="35">
        <v>1130.45</v>
      </c>
      <c r="R21" s="35">
        <v>62472.25</v>
      </c>
      <c r="S21" s="409"/>
      <c r="T21" s="35"/>
      <c r="U21" s="380">
        <v>8150</v>
      </c>
      <c r="V21" s="35"/>
      <c r="W21" s="393"/>
      <c r="X21" s="372">
        <f t="shared" si="1"/>
        <v>2920163.9600000004</v>
      </c>
      <c r="Y21" s="35">
        <v>110013.55</v>
      </c>
      <c r="Z21" s="380"/>
      <c r="AA21" s="35">
        <v>206379.19</v>
      </c>
      <c r="AB21" s="380"/>
      <c r="AC21" s="35">
        <v>40596.76</v>
      </c>
      <c r="AD21" s="380">
        <v>174178.3</v>
      </c>
      <c r="AE21" s="35"/>
      <c r="AF21" s="380"/>
      <c r="AG21" s="35">
        <v>28951</v>
      </c>
      <c r="AH21" s="380">
        <v>38622</v>
      </c>
      <c r="AI21" s="35">
        <v>38200</v>
      </c>
      <c r="AJ21" s="380"/>
      <c r="AK21" s="35"/>
      <c r="AL21" s="403">
        <f t="shared" si="2"/>
        <v>636940.80000000005</v>
      </c>
      <c r="AM21" s="18">
        <v>71.5</v>
      </c>
      <c r="AN21" s="33">
        <v>1057</v>
      </c>
      <c r="AO21" s="393">
        <v>-38377.18</v>
      </c>
      <c r="AP21" s="35"/>
      <c r="AQ21" s="35">
        <v>-804.04</v>
      </c>
      <c r="AR21" s="35">
        <v>1.5</v>
      </c>
    </row>
    <row r="22" spans="1:44" x14ac:dyDescent="0.25">
      <c r="A22" s="383">
        <v>5421</v>
      </c>
      <c r="B22" s="367" t="s">
        <v>78</v>
      </c>
      <c r="C22" s="35">
        <v>3157064.56</v>
      </c>
      <c r="D22" s="35">
        <v>613232.39</v>
      </c>
      <c r="E22" s="397"/>
      <c r="F22" s="368"/>
      <c r="G22" s="368">
        <v>172889.25</v>
      </c>
      <c r="H22" s="370">
        <v>114258.15</v>
      </c>
      <c r="I22" s="368">
        <v>41201.5</v>
      </c>
      <c r="J22" s="370">
        <v>198869.76000000001</v>
      </c>
      <c r="K22" s="368">
        <v>11072.9</v>
      </c>
      <c r="L22" s="370">
        <v>277987.65000000002</v>
      </c>
      <c r="M22" s="371">
        <f t="shared" si="0"/>
        <v>4586576.1600000011</v>
      </c>
      <c r="N22" s="35">
        <v>23304.400000000001</v>
      </c>
      <c r="O22" s="35">
        <v>3959.6</v>
      </c>
      <c r="P22" s="35">
        <v>119382.85</v>
      </c>
      <c r="Q22" s="35"/>
      <c r="R22" s="35">
        <v>122395.2</v>
      </c>
      <c r="S22" s="409"/>
      <c r="T22" s="35">
        <v>1231.55</v>
      </c>
      <c r="U22" s="380">
        <v>12300</v>
      </c>
      <c r="V22" s="35"/>
      <c r="W22" s="393"/>
      <c r="X22" s="372">
        <f t="shared" si="1"/>
        <v>4869149.7600000007</v>
      </c>
      <c r="Y22" s="35">
        <v>48307.5</v>
      </c>
      <c r="Z22" s="380"/>
      <c r="AA22" s="35">
        <v>361223.15</v>
      </c>
      <c r="AB22" s="380"/>
      <c r="AC22" s="35">
        <v>209079.64</v>
      </c>
      <c r="AD22" s="380">
        <v>67742.5</v>
      </c>
      <c r="AE22" s="35"/>
      <c r="AF22" s="380"/>
      <c r="AG22" s="35"/>
      <c r="AH22" s="380"/>
      <c r="AI22" s="35"/>
      <c r="AJ22" s="380"/>
      <c r="AK22" s="35"/>
      <c r="AL22" s="403">
        <f t="shared" si="2"/>
        <v>686352.79</v>
      </c>
      <c r="AM22" s="18">
        <v>76</v>
      </c>
      <c r="AN22" s="33">
        <v>1437</v>
      </c>
      <c r="AO22" s="393">
        <v>-75701.13</v>
      </c>
      <c r="AP22" s="35"/>
      <c r="AQ22" s="35">
        <v>-1907.12</v>
      </c>
      <c r="AR22" s="35">
        <v>1</v>
      </c>
    </row>
    <row r="23" spans="1:44" x14ac:dyDescent="0.25">
      <c r="A23" s="383">
        <v>5422</v>
      </c>
      <c r="B23" s="367" t="s">
        <v>79</v>
      </c>
      <c r="C23" s="35">
        <v>9620450.2599999998</v>
      </c>
      <c r="D23" s="35">
        <v>2039519.75</v>
      </c>
      <c r="E23" s="397"/>
      <c r="F23" s="368"/>
      <c r="G23" s="368">
        <v>4179411.7</v>
      </c>
      <c r="H23" s="370">
        <v>162672.65</v>
      </c>
      <c r="I23" s="368">
        <v>283152.2</v>
      </c>
      <c r="J23" s="370">
        <v>760810.8</v>
      </c>
      <c r="K23" s="368">
        <v>112652.45</v>
      </c>
      <c r="L23" s="370">
        <v>926943.79</v>
      </c>
      <c r="M23" s="371">
        <f t="shared" si="0"/>
        <v>18085613.599999998</v>
      </c>
      <c r="N23" s="35">
        <v>773580.6</v>
      </c>
      <c r="O23" s="35">
        <v>327874.40000000002</v>
      </c>
      <c r="P23" s="35">
        <v>334602.75</v>
      </c>
      <c r="Q23" s="35">
        <v>29029.33</v>
      </c>
      <c r="R23" s="35">
        <v>276044.05</v>
      </c>
      <c r="S23" s="409"/>
      <c r="T23" s="35">
        <v>14656.2</v>
      </c>
      <c r="U23" s="380">
        <v>22716.65</v>
      </c>
      <c r="V23" s="35"/>
      <c r="W23" s="393"/>
      <c r="X23" s="372">
        <f t="shared" si="1"/>
        <v>19864117.579999994</v>
      </c>
      <c r="Y23" s="35">
        <v>69711.23</v>
      </c>
      <c r="Z23" s="380"/>
      <c r="AA23" s="35">
        <v>834579.34</v>
      </c>
      <c r="AB23" s="380"/>
      <c r="AC23" s="35">
        <v>278854.88</v>
      </c>
      <c r="AD23" s="380">
        <v>59195.53</v>
      </c>
      <c r="AE23" s="35"/>
      <c r="AF23" s="380"/>
      <c r="AG23" s="35"/>
      <c r="AH23" s="380">
        <v>214239.3</v>
      </c>
      <c r="AI23" s="35"/>
      <c r="AJ23" s="380"/>
      <c r="AK23" s="35"/>
      <c r="AL23" s="403">
        <f t="shared" si="2"/>
        <v>1456580.28</v>
      </c>
      <c r="AM23" s="18">
        <v>68</v>
      </c>
      <c r="AN23" s="33">
        <v>3269</v>
      </c>
      <c r="AO23" s="393">
        <v>-85873.98</v>
      </c>
      <c r="AP23" s="35"/>
      <c r="AQ23" s="35">
        <v>-2041.2</v>
      </c>
      <c r="AR23" s="35">
        <v>1</v>
      </c>
    </row>
    <row r="24" spans="1:44" x14ac:dyDescent="0.25">
      <c r="A24" s="383">
        <v>5423</v>
      </c>
      <c r="B24" s="367" t="s">
        <v>80</v>
      </c>
      <c r="C24" s="35">
        <v>877353.07</v>
      </c>
      <c r="D24" s="35">
        <v>142674.18</v>
      </c>
      <c r="E24" s="397"/>
      <c r="F24" s="368">
        <v>2620</v>
      </c>
      <c r="G24" s="368">
        <v>-11388.65</v>
      </c>
      <c r="H24" s="370">
        <v>789.15</v>
      </c>
      <c r="I24" s="368"/>
      <c r="J24" s="370">
        <v>52834.98</v>
      </c>
      <c r="K24" s="368">
        <v>1591.55</v>
      </c>
      <c r="L24" s="370">
        <v>37082.35</v>
      </c>
      <c r="M24" s="371">
        <f t="shared" si="0"/>
        <v>1103556.6300000001</v>
      </c>
      <c r="N24" s="35">
        <v>19697.25</v>
      </c>
      <c r="O24" s="35"/>
      <c r="P24" s="35">
        <v>64207.35</v>
      </c>
      <c r="Q24" s="35">
        <v>13390.08</v>
      </c>
      <c r="R24" s="35">
        <v>64617.45</v>
      </c>
      <c r="S24" s="409">
        <v>125</v>
      </c>
      <c r="T24" s="35">
        <v>1055.95</v>
      </c>
      <c r="U24" s="380">
        <v>1450</v>
      </c>
      <c r="V24" s="35"/>
      <c r="W24" s="393"/>
      <c r="X24" s="372">
        <f t="shared" si="1"/>
        <v>1268099.7100000002</v>
      </c>
      <c r="Y24" s="35">
        <v>35640</v>
      </c>
      <c r="Z24" s="380"/>
      <c r="AA24" s="35">
        <v>127434.9</v>
      </c>
      <c r="AB24" s="380"/>
      <c r="AC24" s="35">
        <v>27152.9</v>
      </c>
      <c r="AD24" s="380">
        <v>42410</v>
      </c>
      <c r="AE24" s="35"/>
      <c r="AF24" s="380"/>
      <c r="AG24" s="35"/>
      <c r="AH24" s="380">
        <v>12402.95</v>
      </c>
      <c r="AI24" s="35"/>
      <c r="AJ24" s="380"/>
      <c r="AK24" s="35"/>
      <c r="AL24" s="403">
        <f t="shared" si="2"/>
        <v>245040.75</v>
      </c>
      <c r="AM24" s="18">
        <v>69</v>
      </c>
      <c r="AN24" s="33">
        <v>527</v>
      </c>
      <c r="AO24" s="393">
        <v>-1484.62</v>
      </c>
      <c r="AP24" s="35"/>
      <c r="AQ24" s="35">
        <v>-5.25</v>
      </c>
      <c r="AR24" s="35">
        <v>0.5</v>
      </c>
    </row>
    <row r="25" spans="1:44" x14ac:dyDescent="0.25">
      <c r="A25" s="383">
        <v>5424</v>
      </c>
      <c r="B25" s="367" t="s">
        <v>81</v>
      </c>
      <c r="C25" s="35">
        <v>702639.13</v>
      </c>
      <c r="D25" s="35">
        <v>47209.279999999999</v>
      </c>
      <c r="E25" s="397"/>
      <c r="F25" s="368"/>
      <c r="G25" s="368">
        <v>1785.15</v>
      </c>
      <c r="H25" s="370">
        <v>48.15</v>
      </c>
      <c r="I25" s="368">
        <v>30741.05</v>
      </c>
      <c r="J25" s="370">
        <v>46159.78</v>
      </c>
      <c r="K25" s="368">
        <v>764.9</v>
      </c>
      <c r="L25" s="370">
        <v>49019</v>
      </c>
      <c r="M25" s="371">
        <f t="shared" si="0"/>
        <v>878366.44000000018</v>
      </c>
      <c r="N25" s="35"/>
      <c r="O25" s="35"/>
      <c r="P25" s="35">
        <v>1500.95</v>
      </c>
      <c r="Q25" s="35">
        <v>5814.15</v>
      </c>
      <c r="R25" s="35">
        <v>38918.699999999997</v>
      </c>
      <c r="S25" s="409"/>
      <c r="T25" s="35"/>
      <c r="U25" s="380">
        <v>1975</v>
      </c>
      <c r="V25" s="35"/>
      <c r="W25" s="393"/>
      <c r="X25" s="372">
        <f t="shared" si="1"/>
        <v>926575.24000000011</v>
      </c>
      <c r="Y25" s="35"/>
      <c r="Z25" s="380">
        <v>2000</v>
      </c>
      <c r="AA25" s="35">
        <v>39724.85</v>
      </c>
      <c r="AB25" s="380">
        <v>10721.3</v>
      </c>
      <c r="AC25" s="35">
        <v>12764.6</v>
      </c>
      <c r="AD25" s="380"/>
      <c r="AE25" s="35">
        <v>426.85</v>
      </c>
      <c r="AF25" s="380"/>
      <c r="AG25" s="35"/>
      <c r="AH25" s="380">
        <v>7333.95</v>
      </c>
      <c r="AI25" s="35"/>
      <c r="AJ25" s="380"/>
      <c r="AK25" s="35"/>
      <c r="AL25" s="403">
        <f t="shared" si="2"/>
        <v>72971.549999999988</v>
      </c>
      <c r="AM25" s="18">
        <v>77</v>
      </c>
      <c r="AN25" s="33">
        <v>301</v>
      </c>
      <c r="AO25" s="393">
        <v>-10774.12</v>
      </c>
      <c r="AP25" s="35"/>
      <c r="AQ25" s="35">
        <v>0</v>
      </c>
      <c r="AR25" s="35">
        <v>1</v>
      </c>
    </row>
    <row r="26" spans="1:44" x14ac:dyDescent="0.25">
      <c r="A26" s="383">
        <v>5425</v>
      </c>
      <c r="B26" s="367" t="s">
        <v>82</v>
      </c>
      <c r="C26" s="35">
        <v>2096248.18</v>
      </c>
      <c r="D26" s="35">
        <v>227589.59</v>
      </c>
      <c r="E26" s="397"/>
      <c r="F26" s="368"/>
      <c r="G26" s="368">
        <v>153758.54999999999</v>
      </c>
      <c r="H26" s="370">
        <v>1358</v>
      </c>
      <c r="I26" s="368"/>
      <c r="J26" s="370">
        <v>159714.74</v>
      </c>
      <c r="K26" s="368">
        <v>11227.3</v>
      </c>
      <c r="L26" s="370">
        <v>113008.6</v>
      </c>
      <c r="M26" s="371">
        <f t="shared" si="0"/>
        <v>2762904.9599999995</v>
      </c>
      <c r="N26" s="35">
        <v>22240.45</v>
      </c>
      <c r="O26" s="35">
        <v>59714.8</v>
      </c>
      <c r="P26" s="35">
        <v>62248.35</v>
      </c>
      <c r="Q26" s="35">
        <v>19967.150000000001</v>
      </c>
      <c r="R26" s="35">
        <v>20096.75</v>
      </c>
      <c r="S26" s="409">
        <v>675</v>
      </c>
      <c r="T26" s="35">
        <v>4221.8500000000004</v>
      </c>
      <c r="U26" s="380">
        <v>13900</v>
      </c>
      <c r="V26" s="35">
        <v>9751.65</v>
      </c>
      <c r="W26" s="393"/>
      <c r="X26" s="372">
        <f t="shared" si="1"/>
        <v>2975720.9599999995</v>
      </c>
      <c r="Y26" s="35">
        <v>16425</v>
      </c>
      <c r="Z26" s="380"/>
      <c r="AA26" s="35">
        <v>179679.65</v>
      </c>
      <c r="AB26" s="380"/>
      <c r="AC26" s="35">
        <v>168819.86</v>
      </c>
      <c r="AD26" s="380">
        <v>10210</v>
      </c>
      <c r="AE26" s="35"/>
      <c r="AF26" s="380"/>
      <c r="AG26" s="35"/>
      <c r="AH26" s="380">
        <v>57764.4</v>
      </c>
      <c r="AI26" s="35"/>
      <c r="AJ26" s="380"/>
      <c r="AK26" s="35"/>
      <c r="AL26" s="403">
        <f t="shared" si="2"/>
        <v>432898.91000000003</v>
      </c>
      <c r="AM26" s="18">
        <v>68</v>
      </c>
      <c r="AN26" s="33">
        <v>1577</v>
      </c>
      <c r="AO26" s="393">
        <v>-45980.23</v>
      </c>
      <c r="AP26" s="35"/>
      <c r="AQ26" s="35">
        <v>-31.71</v>
      </c>
      <c r="AR26" s="35">
        <v>0.57999999999999996</v>
      </c>
    </row>
    <row r="27" spans="1:44" x14ac:dyDescent="0.25">
      <c r="A27" s="383">
        <v>5426</v>
      </c>
      <c r="B27" s="367" t="s">
        <v>76</v>
      </c>
      <c r="C27" s="35">
        <v>1659379.1</v>
      </c>
      <c r="D27" s="35">
        <v>588123.51</v>
      </c>
      <c r="E27" s="397"/>
      <c r="F27" s="368"/>
      <c r="G27" s="368">
        <v>25850.799999999999</v>
      </c>
      <c r="H27" s="370">
        <v>1454.8</v>
      </c>
      <c r="I27" s="368">
        <v>660903</v>
      </c>
      <c r="J27" s="370">
        <v>7700.55</v>
      </c>
      <c r="K27" s="368">
        <v>6577.3</v>
      </c>
      <c r="L27" s="370">
        <v>279438.2</v>
      </c>
      <c r="M27" s="371">
        <f t="shared" si="0"/>
        <v>3229427.26</v>
      </c>
      <c r="N27" s="35">
        <v>15905.95</v>
      </c>
      <c r="O27" s="35">
        <v>337043.7</v>
      </c>
      <c r="P27" s="35">
        <v>325800.65000000002</v>
      </c>
      <c r="Q27" s="35">
        <v>0</v>
      </c>
      <c r="R27" s="35">
        <v>164649.95000000001</v>
      </c>
      <c r="S27" s="409">
        <v>700</v>
      </c>
      <c r="T27" s="35"/>
      <c r="U27" s="380">
        <v>5120</v>
      </c>
      <c r="V27" s="35">
        <v>39774.050000000003</v>
      </c>
      <c r="W27" s="393"/>
      <c r="X27" s="372">
        <f t="shared" si="1"/>
        <v>4118421.56</v>
      </c>
      <c r="Y27" s="35">
        <v>30180.75</v>
      </c>
      <c r="Z27" s="380"/>
      <c r="AA27" s="35">
        <v>78524</v>
      </c>
      <c r="AB27" s="380"/>
      <c r="AC27" s="35">
        <v>43450</v>
      </c>
      <c r="AD27" s="380">
        <v>19232.400000000001</v>
      </c>
      <c r="AE27" s="35"/>
      <c r="AF27" s="380"/>
      <c r="AG27" s="35"/>
      <c r="AH27" s="380"/>
      <c r="AI27" s="35"/>
      <c r="AJ27" s="380"/>
      <c r="AK27" s="35"/>
      <c r="AL27" s="403">
        <f t="shared" si="2"/>
        <v>171387.15</v>
      </c>
      <c r="AM27" s="18">
        <v>66</v>
      </c>
      <c r="AN27" s="33">
        <v>483</v>
      </c>
      <c r="AO27" s="393">
        <v>-17717.45</v>
      </c>
      <c r="AP27" s="35"/>
      <c r="AQ27" s="35">
        <v>-1505.5</v>
      </c>
      <c r="AR27" s="35">
        <v>1.2</v>
      </c>
    </row>
    <row r="28" spans="1:44" x14ac:dyDescent="0.25">
      <c r="A28" s="383">
        <v>5427</v>
      </c>
      <c r="B28" s="367" t="s">
        <v>348</v>
      </c>
      <c r="C28" s="35">
        <v>3491277.49</v>
      </c>
      <c r="D28" s="35">
        <v>756440.35</v>
      </c>
      <c r="E28" s="397"/>
      <c r="F28" s="368"/>
      <c r="G28" s="368">
        <v>72278.5</v>
      </c>
      <c r="H28" s="370">
        <v>720.05</v>
      </c>
      <c r="I28" s="368">
        <v>358463.1</v>
      </c>
      <c r="J28" s="370">
        <v>88309.94</v>
      </c>
      <c r="K28" s="368">
        <v>2764.7</v>
      </c>
      <c r="L28" s="370">
        <v>436401.8</v>
      </c>
      <c r="M28" s="371">
        <f t="shared" si="0"/>
        <v>5206655.93</v>
      </c>
      <c r="N28" s="35">
        <v>11699.5</v>
      </c>
      <c r="O28" s="35">
        <v>16532.8</v>
      </c>
      <c r="P28" s="35">
        <v>245218.45</v>
      </c>
      <c r="Q28" s="35"/>
      <c r="R28" s="35">
        <v>220813.8</v>
      </c>
      <c r="S28" s="409"/>
      <c r="T28" s="35">
        <v>514</v>
      </c>
      <c r="U28" s="380">
        <v>4860</v>
      </c>
      <c r="V28" s="35"/>
      <c r="W28" s="393"/>
      <c r="X28" s="372">
        <f t="shared" si="1"/>
        <v>5706294.4799999995</v>
      </c>
      <c r="Y28" s="35">
        <v>16175.65</v>
      </c>
      <c r="Z28" s="380"/>
      <c r="AA28" s="35">
        <v>265562.59999999998</v>
      </c>
      <c r="AB28" s="380"/>
      <c r="AC28" s="35">
        <v>101536.05</v>
      </c>
      <c r="AD28" s="380"/>
      <c r="AE28" s="35"/>
      <c r="AF28" s="380"/>
      <c r="AG28" s="35"/>
      <c r="AH28" s="380"/>
      <c r="AI28" s="35"/>
      <c r="AJ28" s="380"/>
      <c r="AK28" s="35"/>
      <c r="AL28" s="403">
        <f t="shared" si="2"/>
        <v>383274.3</v>
      </c>
      <c r="AM28" s="18">
        <v>64</v>
      </c>
      <c r="AN28" s="33">
        <v>895</v>
      </c>
      <c r="AO28" s="393">
        <v>-1283.01</v>
      </c>
      <c r="AP28" s="35"/>
      <c r="AQ28" s="35">
        <v>0</v>
      </c>
      <c r="AR28" s="35">
        <v>1.3</v>
      </c>
    </row>
    <row r="29" spans="1:44" x14ac:dyDescent="0.25">
      <c r="A29" s="383">
        <v>5428</v>
      </c>
      <c r="B29" s="367" t="s">
        <v>349</v>
      </c>
      <c r="C29" s="35">
        <v>3435906.04</v>
      </c>
      <c r="D29" s="35">
        <v>341338.07</v>
      </c>
      <c r="E29" s="397"/>
      <c r="F29" s="368"/>
      <c r="G29" s="368">
        <v>178449.05</v>
      </c>
      <c r="H29" s="370">
        <v>982.05</v>
      </c>
      <c r="I29" s="368">
        <v>42710.2</v>
      </c>
      <c r="J29" s="370">
        <v>199789.47</v>
      </c>
      <c r="K29" s="368">
        <v>13021.65</v>
      </c>
      <c r="L29" s="370">
        <v>383433.9</v>
      </c>
      <c r="M29" s="371">
        <f t="shared" si="0"/>
        <v>4595630.4300000006</v>
      </c>
      <c r="N29" s="35">
        <v>186981.25</v>
      </c>
      <c r="O29" s="35">
        <v>336921.1</v>
      </c>
      <c r="P29" s="35">
        <v>240264.8</v>
      </c>
      <c r="Q29" s="35">
        <v>7605.41</v>
      </c>
      <c r="R29" s="35">
        <v>154451</v>
      </c>
      <c r="S29" s="409">
        <v>375</v>
      </c>
      <c r="T29" s="35">
        <v>6134.25</v>
      </c>
      <c r="U29" s="380">
        <v>9150</v>
      </c>
      <c r="V29" s="35"/>
      <c r="W29" s="393"/>
      <c r="X29" s="372">
        <f t="shared" si="1"/>
        <v>5537513.2400000002</v>
      </c>
      <c r="Y29" s="35">
        <v>54728.15</v>
      </c>
      <c r="Z29" s="380">
        <v>51569.3</v>
      </c>
      <c r="AA29" s="35">
        <v>264384.21000000002</v>
      </c>
      <c r="AB29" s="380"/>
      <c r="AC29" s="35">
        <v>196724.02</v>
      </c>
      <c r="AD29" s="380">
        <v>54728.15</v>
      </c>
      <c r="AE29" s="35">
        <v>51569.3</v>
      </c>
      <c r="AF29" s="380"/>
      <c r="AG29" s="35"/>
      <c r="AH29" s="380">
        <v>49322.1</v>
      </c>
      <c r="AI29" s="35"/>
      <c r="AJ29" s="380"/>
      <c r="AK29" s="35"/>
      <c r="AL29" s="403">
        <f t="shared" si="2"/>
        <v>723025.2300000001</v>
      </c>
      <c r="AM29" s="18">
        <v>71.5</v>
      </c>
      <c r="AN29" s="33">
        <v>2016</v>
      </c>
      <c r="AO29" s="393">
        <v>-56595.8</v>
      </c>
      <c r="AP29" s="35"/>
      <c r="AQ29" s="35">
        <v>-67.41</v>
      </c>
      <c r="AR29" s="35">
        <v>1.2</v>
      </c>
    </row>
    <row r="30" spans="1:44" x14ac:dyDescent="0.25">
      <c r="A30" s="383">
        <v>5429</v>
      </c>
      <c r="B30" s="367" t="s">
        <v>369</v>
      </c>
      <c r="C30" s="35">
        <v>975344.36</v>
      </c>
      <c r="D30" s="35">
        <v>118083.04</v>
      </c>
      <c r="E30" s="397"/>
      <c r="F30" s="368"/>
      <c r="G30" s="368">
        <v>3723.85</v>
      </c>
      <c r="H30" s="370">
        <v>4200.6000000000004</v>
      </c>
      <c r="I30" s="368"/>
      <c r="J30" s="370">
        <v>21013.1</v>
      </c>
      <c r="K30" s="368">
        <v>671.4</v>
      </c>
      <c r="L30" s="370">
        <v>93069.7</v>
      </c>
      <c r="M30" s="371">
        <f t="shared" si="0"/>
        <v>1216106.05</v>
      </c>
      <c r="N30" s="35"/>
      <c r="O30" s="35"/>
      <c r="P30" s="35">
        <v>62517.95</v>
      </c>
      <c r="Q30" s="35"/>
      <c r="R30" s="35">
        <v>20559.349999999999</v>
      </c>
      <c r="S30" s="409"/>
      <c r="T30" s="35"/>
      <c r="U30" s="380">
        <v>4680</v>
      </c>
      <c r="V30" s="35"/>
      <c r="W30" s="393"/>
      <c r="X30" s="372">
        <f t="shared" si="1"/>
        <v>1303863.3500000001</v>
      </c>
      <c r="Y30" s="35">
        <v>51025</v>
      </c>
      <c r="Z30" s="380"/>
      <c r="AA30" s="35">
        <v>38934</v>
      </c>
      <c r="AB30" s="380"/>
      <c r="AC30" s="35">
        <v>44735</v>
      </c>
      <c r="AD30" s="380">
        <v>51025</v>
      </c>
      <c r="AE30" s="35"/>
      <c r="AF30" s="380"/>
      <c r="AG30" s="35">
        <v>4162.6000000000004</v>
      </c>
      <c r="AH30" s="380"/>
      <c r="AI30" s="35"/>
      <c r="AJ30" s="380"/>
      <c r="AK30" s="35"/>
      <c r="AL30" s="403">
        <f t="shared" si="2"/>
        <v>189881.60000000001</v>
      </c>
      <c r="AM30" s="18">
        <v>81</v>
      </c>
      <c r="AN30" s="33">
        <v>469</v>
      </c>
      <c r="AO30" s="393">
        <v>-9605.93</v>
      </c>
      <c r="AP30" s="35"/>
      <c r="AQ30" s="35">
        <v>0</v>
      </c>
      <c r="AR30" s="35">
        <v>1</v>
      </c>
    </row>
    <row r="31" spans="1:44" x14ac:dyDescent="0.25">
      <c r="A31" s="383">
        <v>5430</v>
      </c>
      <c r="B31" s="367" t="s">
        <v>370</v>
      </c>
      <c r="C31" s="35">
        <v>874807.14</v>
      </c>
      <c r="D31" s="35">
        <v>116097.1</v>
      </c>
      <c r="E31" s="397"/>
      <c r="F31" s="368"/>
      <c r="G31" s="368">
        <v>3708.25</v>
      </c>
      <c r="H31" s="370">
        <v>279.8</v>
      </c>
      <c r="I31" s="368"/>
      <c r="J31" s="370">
        <v>2446.94</v>
      </c>
      <c r="K31" s="368">
        <v>1302.5</v>
      </c>
      <c r="L31" s="370">
        <v>79770.05</v>
      </c>
      <c r="M31" s="371">
        <f t="shared" si="0"/>
        <v>1078411.78</v>
      </c>
      <c r="N31" s="35">
        <v>8851.6</v>
      </c>
      <c r="O31" s="35"/>
      <c r="P31" s="35">
        <v>56643.45</v>
      </c>
      <c r="Q31" s="35">
        <v>3091.35</v>
      </c>
      <c r="R31" s="35">
        <v>42203.199999999997</v>
      </c>
      <c r="S31" s="409"/>
      <c r="T31" s="35"/>
      <c r="U31" s="380">
        <v>2680</v>
      </c>
      <c r="V31" s="35"/>
      <c r="W31" s="393"/>
      <c r="X31" s="372">
        <f t="shared" si="1"/>
        <v>1191881.3800000001</v>
      </c>
      <c r="Y31" s="35">
        <v>1375.85</v>
      </c>
      <c r="Z31" s="380"/>
      <c r="AA31" s="35">
        <v>47687.95</v>
      </c>
      <c r="AB31" s="380"/>
      <c r="AC31" s="35">
        <v>38940.949999999997</v>
      </c>
      <c r="AD31" s="380">
        <v>4268.8</v>
      </c>
      <c r="AE31" s="35"/>
      <c r="AF31" s="380"/>
      <c r="AG31" s="35">
        <v>79.599999999999994</v>
      </c>
      <c r="AH31" s="380"/>
      <c r="AI31" s="35"/>
      <c r="AJ31" s="380"/>
      <c r="AK31" s="35"/>
      <c r="AL31" s="403">
        <f t="shared" si="2"/>
        <v>92353.150000000009</v>
      </c>
      <c r="AM31" s="18">
        <v>79</v>
      </c>
      <c r="AN31" s="33">
        <v>455</v>
      </c>
      <c r="AO31" s="393">
        <v>-5111.91</v>
      </c>
      <c r="AP31" s="35"/>
      <c r="AQ31" s="35">
        <v>-85.02</v>
      </c>
      <c r="AR31" s="35">
        <v>1</v>
      </c>
    </row>
    <row r="32" spans="1:44" x14ac:dyDescent="0.25">
      <c r="A32" s="383">
        <v>5431</v>
      </c>
      <c r="B32" s="367" t="s">
        <v>371</v>
      </c>
      <c r="C32" s="35">
        <v>507575.03</v>
      </c>
      <c r="D32" s="35">
        <v>94195.64</v>
      </c>
      <c r="E32" s="397"/>
      <c r="F32" s="368"/>
      <c r="G32" s="368">
        <v>850.95</v>
      </c>
      <c r="H32" s="370">
        <v>118.25</v>
      </c>
      <c r="I32" s="368"/>
      <c r="J32" s="370">
        <v>10309.379999999999</v>
      </c>
      <c r="K32" s="368">
        <v>300.85000000000002</v>
      </c>
      <c r="L32" s="370">
        <v>48132.800000000003</v>
      </c>
      <c r="M32" s="371">
        <f t="shared" si="0"/>
        <v>661482.9</v>
      </c>
      <c r="N32" s="35"/>
      <c r="O32" s="35">
        <v>1318</v>
      </c>
      <c r="P32" s="35">
        <v>15198.9</v>
      </c>
      <c r="Q32" s="35">
        <v>3314.88</v>
      </c>
      <c r="R32" s="35">
        <v>12470.7</v>
      </c>
      <c r="S32" s="409"/>
      <c r="T32" s="35">
        <v>460</v>
      </c>
      <c r="U32" s="380">
        <v>2075</v>
      </c>
      <c r="V32" s="35"/>
      <c r="W32" s="393"/>
      <c r="X32" s="372">
        <f t="shared" si="1"/>
        <v>696320.38</v>
      </c>
      <c r="Y32" s="35">
        <v>2860.25</v>
      </c>
      <c r="Z32" s="380"/>
      <c r="AA32" s="35">
        <v>94575</v>
      </c>
      <c r="AB32" s="380"/>
      <c r="AC32" s="35">
        <v>16672.849999999999</v>
      </c>
      <c r="AD32" s="380">
        <v>2860.25</v>
      </c>
      <c r="AE32" s="35"/>
      <c r="AF32" s="380"/>
      <c r="AG32" s="35"/>
      <c r="AH32" s="380"/>
      <c r="AI32" s="35"/>
      <c r="AJ32" s="380"/>
      <c r="AK32" s="35"/>
      <c r="AL32" s="403">
        <f t="shared" si="2"/>
        <v>116968.35</v>
      </c>
      <c r="AM32" s="18">
        <v>74</v>
      </c>
      <c r="AN32" s="33">
        <v>301</v>
      </c>
      <c r="AO32" s="393">
        <v>-272.85000000000002</v>
      </c>
      <c r="AP32" s="35"/>
      <c r="AQ32" s="35">
        <v>-303.58</v>
      </c>
      <c r="AR32" s="35">
        <v>1</v>
      </c>
    </row>
    <row r="33" spans="1:44" x14ac:dyDescent="0.25">
      <c r="A33" s="383">
        <v>5432</v>
      </c>
      <c r="B33" s="367" t="s">
        <v>372</v>
      </c>
      <c r="C33" s="35">
        <v>1128463.48</v>
      </c>
      <c r="D33" s="35">
        <v>93299.48</v>
      </c>
      <c r="E33" s="397"/>
      <c r="F33" s="368"/>
      <c r="G33" s="368">
        <v>34239.449999999997</v>
      </c>
      <c r="H33" s="370">
        <v>745.3</v>
      </c>
      <c r="I33" s="368"/>
      <c r="J33" s="370">
        <v>61747.09</v>
      </c>
      <c r="K33" s="368">
        <v>5106.8</v>
      </c>
      <c r="L33" s="370">
        <v>92731.4</v>
      </c>
      <c r="M33" s="371">
        <f t="shared" si="0"/>
        <v>1416333</v>
      </c>
      <c r="N33" s="35">
        <v>15156.3</v>
      </c>
      <c r="O33" s="35"/>
      <c r="P33" s="35">
        <v>51422.55</v>
      </c>
      <c r="Q33" s="35">
        <v>391.87</v>
      </c>
      <c r="R33" s="35">
        <v>59758.35</v>
      </c>
      <c r="S33" s="409"/>
      <c r="T33" s="35">
        <v>220</v>
      </c>
      <c r="U33" s="380">
        <v>4745</v>
      </c>
      <c r="V33" s="35"/>
      <c r="W33" s="393"/>
      <c r="X33" s="372">
        <f t="shared" si="1"/>
        <v>1548027.0700000003</v>
      </c>
      <c r="Y33" s="35"/>
      <c r="Z33" s="380">
        <v>1354.5</v>
      </c>
      <c r="AA33" s="35">
        <v>38426.1</v>
      </c>
      <c r="AB33" s="380"/>
      <c r="AC33" s="35">
        <v>46990</v>
      </c>
      <c r="AD33" s="380"/>
      <c r="AE33" s="35">
        <v>1354.5</v>
      </c>
      <c r="AF33" s="380"/>
      <c r="AG33" s="35"/>
      <c r="AH33" s="380">
        <v>11253.2</v>
      </c>
      <c r="AI33" s="35"/>
      <c r="AJ33" s="380"/>
      <c r="AK33" s="35"/>
      <c r="AL33" s="403">
        <f t="shared" si="2"/>
        <v>99378.3</v>
      </c>
      <c r="AM33" s="18">
        <v>78</v>
      </c>
      <c r="AN33" s="33">
        <v>534</v>
      </c>
      <c r="AO33" s="393">
        <v>-11123.61</v>
      </c>
      <c r="AP33" s="35"/>
      <c r="AQ33" s="35">
        <v>-59.86</v>
      </c>
      <c r="AR33" s="35">
        <v>1</v>
      </c>
    </row>
    <row r="34" spans="1:44" x14ac:dyDescent="0.25">
      <c r="A34" s="383">
        <v>5434</v>
      </c>
      <c r="B34" s="367" t="s">
        <v>373</v>
      </c>
      <c r="C34" s="35">
        <v>2445269.73</v>
      </c>
      <c r="D34" s="35"/>
      <c r="E34" s="397"/>
      <c r="F34" s="368"/>
      <c r="G34" s="368">
        <v>24575.65</v>
      </c>
      <c r="H34" s="370">
        <v>613.1</v>
      </c>
      <c r="I34" s="368"/>
      <c r="J34" s="370">
        <v>-7793.03</v>
      </c>
      <c r="K34" s="368">
        <v>1605.7</v>
      </c>
      <c r="L34" s="370">
        <v>212425.8</v>
      </c>
      <c r="M34" s="371">
        <f t="shared" si="0"/>
        <v>2676696.9500000002</v>
      </c>
      <c r="N34" s="35">
        <v>34774.9</v>
      </c>
      <c r="O34" s="35">
        <v>129977.8</v>
      </c>
      <c r="P34" s="35">
        <v>172672.95</v>
      </c>
      <c r="Q34" s="35">
        <v>883.71</v>
      </c>
      <c r="R34" s="35">
        <v>126249.4</v>
      </c>
      <c r="S34" s="409"/>
      <c r="T34" s="35">
        <v>1031.8</v>
      </c>
      <c r="U34" s="380">
        <v>8840</v>
      </c>
      <c r="V34" s="35"/>
      <c r="W34" s="393"/>
      <c r="X34" s="372">
        <f t="shared" si="1"/>
        <v>3151127.51</v>
      </c>
      <c r="Y34" s="35">
        <v>28561.5</v>
      </c>
      <c r="Z34" s="380"/>
      <c r="AA34" s="35">
        <v>104554.13</v>
      </c>
      <c r="AB34" s="380"/>
      <c r="AC34" s="35">
        <v>85560.95</v>
      </c>
      <c r="AD34" s="380">
        <v>112626</v>
      </c>
      <c r="AE34" s="35"/>
      <c r="AF34" s="380"/>
      <c r="AG34" s="35">
        <v>11543.45</v>
      </c>
      <c r="AH34" s="380"/>
      <c r="AI34" s="35"/>
      <c r="AJ34" s="380"/>
      <c r="AK34" s="35"/>
      <c r="AL34" s="403">
        <f t="shared" si="2"/>
        <v>342846.03</v>
      </c>
      <c r="AM34" s="18">
        <v>71</v>
      </c>
      <c r="AN34" s="33">
        <v>1031</v>
      </c>
      <c r="AO34" s="393">
        <v>-33279.21</v>
      </c>
      <c r="AP34" s="35"/>
      <c r="AQ34" s="35">
        <v>0</v>
      </c>
      <c r="AR34" s="35">
        <v>1</v>
      </c>
    </row>
    <row r="35" spans="1:44" x14ac:dyDescent="0.25">
      <c r="A35" s="383">
        <v>5435</v>
      </c>
      <c r="B35" s="367" t="s">
        <v>350</v>
      </c>
      <c r="C35" s="35">
        <v>1471327.53</v>
      </c>
      <c r="D35" s="35">
        <v>177939.37</v>
      </c>
      <c r="E35" s="397"/>
      <c r="F35" s="368"/>
      <c r="G35" s="368">
        <v>23657.55</v>
      </c>
      <c r="H35" s="370">
        <v>199</v>
      </c>
      <c r="I35" s="368"/>
      <c r="J35" s="370">
        <v>18331.5</v>
      </c>
      <c r="K35" s="368"/>
      <c r="L35" s="370">
        <v>120872</v>
      </c>
      <c r="M35" s="371">
        <f t="shared" si="0"/>
        <v>1812326.95</v>
      </c>
      <c r="N35" s="35">
        <v>4006.05</v>
      </c>
      <c r="O35" s="35"/>
      <c r="P35" s="35">
        <v>3203.75</v>
      </c>
      <c r="Q35" s="35">
        <v>4584.68</v>
      </c>
      <c r="R35" s="35">
        <v>3202.5</v>
      </c>
      <c r="S35" s="409"/>
      <c r="T35" s="35">
        <v>330</v>
      </c>
      <c r="U35" s="380">
        <v>5470</v>
      </c>
      <c r="V35" s="35"/>
      <c r="W35" s="393"/>
      <c r="X35" s="372">
        <f t="shared" si="1"/>
        <v>1833123.93</v>
      </c>
      <c r="Y35" s="35">
        <v>3645.6</v>
      </c>
      <c r="Z35" s="380"/>
      <c r="AA35" s="35">
        <v>49571</v>
      </c>
      <c r="AB35" s="380"/>
      <c r="AC35" s="35">
        <v>58300</v>
      </c>
      <c r="AD35" s="380">
        <v>17244</v>
      </c>
      <c r="AE35" s="35"/>
      <c r="AF35" s="380"/>
      <c r="AG35" s="35"/>
      <c r="AH35" s="380">
        <v>11930.15</v>
      </c>
      <c r="AI35" s="35"/>
      <c r="AJ35" s="380"/>
      <c r="AK35" s="35"/>
      <c r="AL35" s="403">
        <f t="shared" si="2"/>
        <v>140690.75</v>
      </c>
      <c r="AM35" s="18">
        <v>69</v>
      </c>
      <c r="AN35" s="33">
        <v>683</v>
      </c>
      <c r="AO35" s="393">
        <v>-37786.370000000003</v>
      </c>
      <c r="AP35" s="35"/>
      <c r="AQ35" s="35">
        <v>-7.99</v>
      </c>
      <c r="AR35" s="35">
        <v>1</v>
      </c>
    </row>
    <row r="36" spans="1:44" x14ac:dyDescent="0.25">
      <c r="A36" s="383">
        <v>5436</v>
      </c>
      <c r="B36" s="367" t="s">
        <v>351</v>
      </c>
      <c r="C36" s="35">
        <v>784732.8</v>
      </c>
      <c r="D36" s="35">
        <v>58620.15</v>
      </c>
      <c r="E36" s="397"/>
      <c r="F36" s="368"/>
      <c r="G36" s="368">
        <v>885.9</v>
      </c>
      <c r="H36" s="370">
        <v>47.5</v>
      </c>
      <c r="I36" s="368"/>
      <c r="J36" s="370">
        <v>17617.02</v>
      </c>
      <c r="K36" s="368"/>
      <c r="L36" s="370">
        <v>48819.3</v>
      </c>
      <c r="M36" s="371">
        <f t="shared" si="0"/>
        <v>910722.67000000016</v>
      </c>
      <c r="N36" s="35"/>
      <c r="O36" s="35"/>
      <c r="P36" s="35">
        <v>162246.85</v>
      </c>
      <c r="Q36" s="35"/>
      <c r="R36" s="35">
        <v>10321.6</v>
      </c>
      <c r="S36" s="409"/>
      <c r="T36" s="35"/>
      <c r="U36" s="380">
        <v>3075</v>
      </c>
      <c r="V36" s="35"/>
      <c r="W36" s="393"/>
      <c r="X36" s="372">
        <f t="shared" si="1"/>
        <v>1086366.1200000003</v>
      </c>
      <c r="Y36" s="35">
        <v>5801.7</v>
      </c>
      <c r="Z36" s="380"/>
      <c r="AA36" s="35">
        <v>55924.95</v>
      </c>
      <c r="AB36" s="380">
        <v>3441.75</v>
      </c>
      <c r="AC36" s="35">
        <v>31304.400000000001</v>
      </c>
      <c r="AD36" s="380">
        <v>5801.7</v>
      </c>
      <c r="AE36" s="35"/>
      <c r="AF36" s="380"/>
      <c r="AG36" s="35"/>
      <c r="AH36" s="380">
        <v>7749.05</v>
      </c>
      <c r="AI36" s="35"/>
      <c r="AJ36" s="380"/>
      <c r="AK36" s="35"/>
      <c r="AL36" s="403">
        <f t="shared" si="2"/>
        <v>110023.54999999999</v>
      </c>
      <c r="AM36" s="18">
        <v>81</v>
      </c>
      <c r="AN36" s="33">
        <v>366</v>
      </c>
      <c r="AO36" s="393">
        <v>-4639.53</v>
      </c>
      <c r="AP36" s="35"/>
      <c r="AQ36" s="35">
        <v>-542.07000000000005</v>
      </c>
      <c r="AR36" s="35">
        <v>0.8</v>
      </c>
    </row>
    <row r="37" spans="1:44" x14ac:dyDescent="0.25">
      <c r="A37" s="383">
        <v>5437</v>
      </c>
      <c r="B37" s="367" t="s">
        <v>352</v>
      </c>
      <c r="C37" s="35">
        <v>643091.84</v>
      </c>
      <c r="D37" s="35">
        <v>67055.399999999994</v>
      </c>
      <c r="E37" s="397"/>
      <c r="F37" s="368"/>
      <c r="G37" s="368">
        <v>7357.35</v>
      </c>
      <c r="H37" s="370">
        <v>84.6</v>
      </c>
      <c r="I37" s="368"/>
      <c r="J37" s="370">
        <v>56625.17</v>
      </c>
      <c r="K37" s="368">
        <v>733.85</v>
      </c>
      <c r="L37" s="370">
        <v>63943.15</v>
      </c>
      <c r="M37" s="371">
        <f t="shared" si="0"/>
        <v>838891.36</v>
      </c>
      <c r="N37" s="35"/>
      <c r="O37" s="35">
        <v>50115.6</v>
      </c>
      <c r="P37" s="35">
        <v>1870</v>
      </c>
      <c r="Q37" s="35"/>
      <c r="R37" s="35">
        <v>-7384.4</v>
      </c>
      <c r="S37" s="409">
        <v>75</v>
      </c>
      <c r="T37" s="35"/>
      <c r="U37" s="380">
        <v>1725</v>
      </c>
      <c r="V37" s="35"/>
      <c r="W37" s="393"/>
      <c r="X37" s="372">
        <f t="shared" si="1"/>
        <v>885292.55999999994</v>
      </c>
      <c r="Y37" s="35"/>
      <c r="Z37" s="380"/>
      <c r="AA37" s="35"/>
      <c r="AB37" s="380"/>
      <c r="AC37" s="35">
        <v>38520</v>
      </c>
      <c r="AD37" s="380"/>
      <c r="AE37" s="35"/>
      <c r="AF37" s="380"/>
      <c r="AG37" s="35"/>
      <c r="AH37" s="380"/>
      <c r="AI37" s="35"/>
      <c r="AJ37" s="380"/>
      <c r="AK37" s="35"/>
      <c r="AL37" s="403">
        <f t="shared" si="2"/>
        <v>38520</v>
      </c>
      <c r="AM37" s="18">
        <v>80</v>
      </c>
      <c r="AN37" s="33">
        <v>420</v>
      </c>
      <c r="AO37" s="393">
        <v>-42993.87</v>
      </c>
      <c r="AP37" s="35"/>
      <c r="AQ37" s="35">
        <v>-1.31</v>
      </c>
      <c r="AR37" s="35">
        <v>1</v>
      </c>
    </row>
    <row r="38" spans="1:44" x14ac:dyDescent="0.25">
      <c r="A38" s="383">
        <v>5451</v>
      </c>
      <c r="B38" s="367" t="s">
        <v>353</v>
      </c>
      <c r="C38" s="35">
        <v>4575025.88</v>
      </c>
      <c r="D38" s="35">
        <v>529834.65</v>
      </c>
      <c r="E38" s="397"/>
      <c r="F38" s="368"/>
      <c r="G38" s="368">
        <v>429453.6</v>
      </c>
      <c r="H38" s="370">
        <v>20026.849999999999</v>
      </c>
      <c r="I38" s="368"/>
      <c r="J38" s="370">
        <v>447793.38</v>
      </c>
      <c r="K38" s="368">
        <v>105454.45</v>
      </c>
      <c r="L38" s="370">
        <v>1203323</v>
      </c>
      <c r="M38" s="371">
        <f t="shared" si="0"/>
        <v>7310911.8099999996</v>
      </c>
      <c r="N38" s="35">
        <v>533739.30000000005</v>
      </c>
      <c r="O38" s="35">
        <v>48706.7</v>
      </c>
      <c r="P38" s="35">
        <v>466125.65</v>
      </c>
      <c r="Q38" s="35">
        <v>203005.3</v>
      </c>
      <c r="R38" s="35">
        <v>71538.100000000006</v>
      </c>
      <c r="S38" s="409">
        <v>38368.449999999997</v>
      </c>
      <c r="T38" s="35">
        <v>1600</v>
      </c>
      <c r="U38" s="380">
        <v>22100</v>
      </c>
      <c r="V38" s="35"/>
      <c r="W38" s="393"/>
      <c r="X38" s="372">
        <f t="shared" si="1"/>
        <v>8696095.3099999987</v>
      </c>
      <c r="Y38" s="35">
        <v>267236.84999999998</v>
      </c>
      <c r="Z38" s="380">
        <v>7115.35</v>
      </c>
      <c r="AA38" s="35">
        <v>925204.6</v>
      </c>
      <c r="AB38" s="380"/>
      <c r="AC38" s="35">
        <v>448410.87</v>
      </c>
      <c r="AD38" s="380">
        <v>177360.65</v>
      </c>
      <c r="AE38" s="35">
        <v>7315.3</v>
      </c>
      <c r="AF38" s="380"/>
      <c r="AG38" s="35">
        <v>247484.25</v>
      </c>
      <c r="AH38" s="380"/>
      <c r="AI38" s="35"/>
      <c r="AJ38" s="380"/>
      <c r="AK38" s="35"/>
      <c r="AL38" s="403">
        <f t="shared" si="2"/>
        <v>2080127.8699999999</v>
      </c>
      <c r="AM38" s="18">
        <v>68</v>
      </c>
      <c r="AN38" s="33">
        <v>4210</v>
      </c>
      <c r="AO38" s="393">
        <v>-477003.92</v>
      </c>
      <c r="AP38" s="35"/>
      <c r="AQ38" s="35">
        <v>-92.12</v>
      </c>
      <c r="AR38" s="35">
        <v>1.5</v>
      </c>
    </row>
    <row r="39" spans="1:44" x14ac:dyDescent="0.25">
      <c r="A39" s="383">
        <v>5456</v>
      </c>
      <c r="B39" s="367" t="s">
        <v>354</v>
      </c>
      <c r="C39" s="35">
        <v>2609754.73</v>
      </c>
      <c r="D39" s="35">
        <v>233072.26</v>
      </c>
      <c r="E39" s="397"/>
      <c r="F39" s="368"/>
      <c r="G39" s="368">
        <v>158171</v>
      </c>
      <c r="H39" s="370">
        <v>1313</v>
      </c>
      <c r="I39" s="368"/>
      <c r="J39" s="370">
        <v>21989.02</v>
      </c>
      <c r="K39" s="368">
        <v>11428.05</v>
      </c>
      <c r="L39" s="370">
        <v>434177.95</v>
      </c>
      <c r="M39" s="371">
        <f t="shared" si="0"/>
        <v>3469906.0100000002</v>
      </c>
      <c r="N39" s="35">
        <v>4370.3</v>
      </c>
      <c r="O39" s="35">
        <v>50669.8</v>
      </c>
      <c r="P39" s="35">
        <v>195817.60000000001</v>
      </c>
      <c r="Q39" s="35">
        <v>5354.97</v>
      </c>
      <c r="R39" s="35">
        <v>128094.2</v>
      </c>
      <c r="S39" s="409"/>
      <c r="T39" s="35"/>
      <c r="U39" s="380">
        <v>6325</v>
      </c>
      <c r="V39" s="35"/>
      <c r="W39" s="393"/>
      <c r="X39" s="372">
        <f t="shared" si="1"/>
        <v>3860537.8800000004</v>
      </c>
      <c r="Y39" s="35">
        <v>135000</v>
      </c>
      <c r="Z39" s="380"/>
      <c r="AA39" s="35">
        <v>132145.5</v>
      </c>
      <c r="AB39" s="380"/>
      <c r="AC39" s="35">
        <v>222978.81</v>
      </c>
      <c r="AD39" s="380">
        <v>88777</v>
      </c>
      <c r="AE39" s="35"/>
      <c r="AF39" s="380"/>
      <c r="AG39" s="35">
        <v>120938.65</v>
      </c>
      <c r="AH39" s="380"/>
      <c r="AI39" s="35"/>
      <c r="AJ39" s="380"/>
      <c r="AK39" s="35"/>
      <c r="AL39" s="403">
        <f t="shared" si="2"/>
        <v>699839.96000000008</v>
      </c>
      <c r="AM39" s="18">
        <v>59</v>
      </c>
      <c r="AN39" s="33">
        <v>1589</v>
      </c>
      <c r="AO39" s="393">
        <v>-32330.28</v>
      </c>
      <c r="AP39" s="35"/>
      <c r="AQ39" s="35">
        <v>-16.29</v>
      </c>
      <c r="AR39" s="35">
        <v>1.5</v>
      </c>
    </row>
    <row r="40" spans="1:44" x14ac:dyDescent="0.25">
      <c r="A40" s="383">
        <v>5458</v>
      </c>
      <c r="B40" s="367" t="s">
        <v>355</v>
      </c>
      <c r="C40" s="35">
        <v>1765414.24</v>
      </c>
      <c r="D40" s="35">
        <v>274190.77</v>
      </c>
      <c r="E40" s="397"/>
      <c r="F40" s="368"/>
      <c r="G40" s="368">
        <v>37799</v>
      </c>
      <c r="H40" s="370">
        <v>737.2</v>
      </c>
      <c r="I40" s="368"/>
      <c r="J40" s="370">
        <v>29448.880000000001</v>
      </c>
      <c r="K40" s="368">
        <v>7920.95</v>
      </c>
      <c r="L40" s="370">
        <v>160851.20000000001</v>
      </c>
      <c r="M40" s="371">
        <f t="shared" si="0"/>
        <v>2276362.2400000002</v>
      </c>
      <c r="N40" s="35"/>
      <c r="O40" s="35">
        <v>31243.599999999999</v>
      </c>
      <c r="P40" s="35">
        <v>153893.20000000001</v>
      </c>
      <c r="Q40" s="35">
        <v>7896.36</v>
      </c>
      <c r="R40" s="35">
        <v>74247.100000000006</v>
      </c>
      <c r="S40" s="409"/>
      <c r="T40" s="35"/>
      <c r="U40" s="380">
        <v>7650</v>
      </c>
      <c r="V40" s="35"/>
      <c r="W40" s="393"/>
      <c r="X40" s="372">
        <f t="shared" si="1"/>
        <v>2551292.5000000005</v>
      </c>
      <c r="Y40" s="35">
        <v>57786.35</v>
      </c>
      <c r="Z40" s="380">
        <v>833</v>
      </c>
      <c r="AA40" s="35">
        <v>160412.54999999999</v>
      </c>
      <c r="AB40" s="380"/>
      <c r="AC40" s="35">
        <v>79059.05</v>
      </c>
      <c r="AD40" s="380">
        <v>57786.35</v>
      </c>
      <c r="AE40" s="35">
        <v>833</v>
      </c>
      <c r="AF40" s="380"/>
      <c r="AG40" s="35">
        <v>31637.4</v>
      </c>
      <c r="AH40" s="380">
        <v>24972.3</v>
      </c>
      <c r="AI40" s="35"/>
      <c r="AJ40" s="380"/>
      <c r="AK40" s="35"/>
      <c r="AL40" s="403">
        <f t="shared" si="2"/>
        <v>413320</v>
      </c>
      <c r="AM40" s="18">
        <v>64</v>
      </c>
      <c r="AN40" s="33">
        <v>893</v>
      </c>
      <c r="AO40" s="393">
        <v>-56984.93</v>
      </c>
      <c r="AP40" s="35"/>
      <c r="AQ40" s="35">
        <v>-58.53</v>
      </c>
      <c r="AR40" s="35">
        <v>1</v>
      </c>
    </row>
    <row r="41" spans="1:44" x14ac:dyDescent="0.25">
      <c r="A41" s="383">
        <v>5464</v>
      </c>
      <c r="B41" s="367" t="s">
        <v>440</v>
      </c>
      <c r="C41" s="35">
        <v>5125509.33</v>
      </c>
      <c r="D41" s="35">
        <v>809208.95</v>
      </c>
      <c r="E41" s="397"/>
      <c r="F41" s="368"/>
      <c r="G41" s="368">
        <v>52073.75</v>
      </c>
      <c r="H41" s="370">
        <v>2547.5</v>
      </c>
      <c r="I41" s="368"/>
      <c r="J41" s="370">
        <v>125033.72</v>
      </c>
      <c r="K41" s="368">
        <v>20149.7</v>
      </c>
      <c r="L41" s="370">
        <v>870052.8</v>
      </c>
      <c r="M41" s="371">
        <f t="shared" si="0"/>
        <v>7004575.75</v>
      </c>
      <c r="N41" s="35"/>
      <c r="O41" s="35">
        <v>83236.899999999994</v>
      </c>
      <c r="P41" s="35">
        <v>315629.7</v>
      </c>
      <c r="Q41" s="35">
        <v>37535.269999999997</v>
      </c>
      <c r="R41" s="35">
        <v>202902.5</v>
      </c>
      <c r="S41" s="409"/>
      <c r="T41" s="35">
        <v>5006.45</v>
      </c>
      <c r="U41" s="380">
        <v>22800</v>
      </c>
      <c r="V41" s="35"/>
      <c r="W41" s="393"/>
      <c r="X41" s="372">
        <f t="shared" si="1"/>
        <v>7671686.5700000003</v>
      </c>
      <c r="Y41" s="35">
        <v>109603.9</v>
      </c>
      <c r="Z41" s="380">
        <v>99102.5</v>
      </c>
      <c r="AA41" s="35">
        <v>469286.2</v>
      </c>
      <c r="AB41" s="380"/>
      <c r="AC41" s="35">
        <v>283839.32</v>
      </c>
      <c r="AD41" s="380">
        <v>181261.6</v>
      </c>
      <c r="AE41" s="35"/>
      <c r="AF41" s="380"/>
      <c r="AG41" s="35">
        <v>148624.04999999999</v>
      </c>
      <c r="AH41" s="380"/>
      <c r="AI41" s="35">
        <v>95716.85</v>
      </c>
      <c r="AJ41" s="380"/>
      <c r="AK41" s="35"/>
      <c r="AL41" s="403">
        <f t="shared" si="2"/>
        <v>1387434.4200000002</v>
      </c>
      <c r="AM41" s="18">
        <v>67</v>
      </c>
      <c r="AN41" s="33">
        <v>3080</v>
      </c>
      <c r="AO41" s="393">
        <v>-120830.2</v>
      </c>
      <c r="AP41" s="35"/>
      <c r="AQ41" s="35">
        <v>-1341.12</v>
      </c>
      <c r="AR41" s="35">
        <v>1.5</v>
      </c>
    </row>
    <row r="42" spans="1:44" x14ac:dyDescent="0.25">
      <c r="A42" s="383">
        <v>5471</v>
      </c>
      <c r="B42" s="367" t="s">
        <v>356</v>
      </c>
      <c r="C42" s="35">
        <v>1084011.3</v>
      </c>
      <c r="D42" s="35">
        <v>109934.43</v>
      </c>
      <c r="E42" s="397"/>
      <c r="F42" s="368"/>
      <c r="G42" s="368">
        <v>20884.25</v>
      </c>
      <c r="H42" s="370">
        <v>3331.55</v>
      </c>
      <c r="I42" s="368"/>
      <c r="J42" s="370">
        <v>19109.66</v>
      </c>
      <c r="K42" s="368">
        <v>524</v>
      </c>
      <c r="L42" s="370">
        <v>100811.25</v>
      </c>
      <c r="M42" s="371">
        <f t="shared" si="0"/>
        <v>1338606.44</v>
      </c>
      <c r="N42" s="35">
        <v>1531.2</v>
      </c>
      <c r="O42" s="35"/>
      <c r="P42" s="35">
        <v>110053.1</v>
      </c>
      <c r="Q42" s="35"/>
      <c r="R42" s="35">
        <v>103743.15</v>
      </c>
      <c r="S42" s="409"/>
      <c r="T42" s="35"/>
      <c r="U42" s="380">
        <v>4600</v>
      </c>
      <c r="V42" s="35"/>
      <c r="W42" s="393"/>
      <c r="X42" s="372">
        <f t="shared" si="1"/>
        <v>1558533.89</v>
      </c>
      <c r="Y42" s="35">
        <v>42576</v>
      </c>
      <c r="Z42" s="380"/>
      <c r="AA42" s="35">
        <v>64685</v>
      </c>
      <c r="AB42" s="380"/>
      <c r="AC42" s="35">
        <v>21420</v>
      </c>
      <c r="AD42" s="380">
        <v>12431</v>
      </c>
      <c r="AE42" s="35"/>
      <c r="AF42" s="380"/>
      <c r="AG42" s="35"/>
      <c r="AH42" s="380"/>
      <c r="AI42" s="35"/>
      <c r="AJ42" s="380"/>
      <c r="AK42" s="35"/>
      <c r="AL42" s="403">
        <f t="shared" si="2"/>
        <v>141112</v>
      </c>
      <c r="AM42" s="18">
        <v>70</v>
      </c>
      <c r="AN42" s="33">
        <v>574</v>
      </c>
      <c r="AO42" s="393">
        <v>-4722.03</v>
      </c>
      <c r="AP42" s="35"/>
      <c r="AQ42" s="35">
        <v>-6.83</v>
      </c>
      <c r="AR42" s="35">
        <v>0.9</v>
      </c>
    </row>
    <row r="43" spans="1:44" x14ac:dyDescent="0.25">
      <c r="A43" s="383">
        <v>5472</v>
      </c>
      <c r="B43" s="367" t="s">
        <v>357</v>
      </c>
      <c r="C43" s="35">
        <v>943095.52</v>
      </c>
      <c r="D43" s="35">
        <v>115757.05</v>
      </c>
      <c r="E43" s="397"/>
      <c r="F43" s="368"/>
      <c r="G43" s="368">
        <v>60549.2</v>
      </c>
      <c r="H43" s="370">
        <v>64.3</v>
      </c>
      <c r="I43" s="368"/>
      <c r="J43" s="370">
        <v>31341.52</v>
      </c>
      <c r="K43" s="368">
        <v>522.25</v>
      </c>
      <c r="L43" s="370">
        <v>77228.45</v>
      </c>
      <c r="M43" s="371">
        <f t="shared" si="0"/>
        <v>1228558.29</v>
      </c>
      <c r="N43" s="35"/>
      <c r="O43" s="35"/>
      <c r="P43" s="35">
        <v>16502.3</v>
      </c>
      <c r="Q43" s="35"/>
      <c r="R43" s="35">
        <v>34189.800000000003</v>
      </c>
      <c r="S43" s="409"/>
      <c r="T43" s="35">
        <v>272.25</v>
      </c>
      <c r="U43" s="380">
        <v>1470</v>
      </c>
      <c r="V43" s="35"/>
      <c r="W43" s="393"/>
      <c r="X43" s="372">
        <f t="shared" si="1"/>
        <v>1280992.6400000001</v>
      </c>
      <c r="Y43" s="35">
        <v>28978.45</v>
      </c>
      <c r="Z43" s="380"/>
      <c r="AA43" s="35">
        <v>79434.600000000006</v>
      </c>
      <c r="AB43" s="380"/>
      <c r="AC43" s="35">
        <v>31100</v>
      </c>
      <c r="AD43" s="380">
        <v>69018.45</v>
      </c>
      <c r="AE43" s="35"/>
      <c r="AF43" s="380"/>
      <c r="AG43" s="35"/>
      <c r="AH43" s="380"/>
      <c r="AI43" s="35"/>
      <c r="AJ43" s="380"/>
      <c r="AK43" s="35"/>
      <c r="AL43" s="403">
        <f t="shared" si="2"/>
        <v>208531.5</v>
      </c>
      <c r="AM43" s="18">
        <v>80</v>
      </c>
      <c r="AN43" s="33">
        <v>419</v>
      </c>
      <c r="AO43" s="393">
        <v>-17674.82</v>
      </c>
      <c r="AP43" s="35"/>
      <c r="AQ43" s="35">
        <v>-85.95</v>
      </c>
      <c r="AR43" s="35">
        <v>1</v>
      </c>
    </row>
    <row r="44" spans="1:44" x14ac:dyDescent="0.25">
      <c r="A44" s="383">
        <v>5473</v>
      </c>
      <c r="B44" s="367" t="s">
        <v>214</v>
      </c>
      <c r="C44" s="35">
        <v>1834861.08</v>
      </c>
      <c r="D44" s="35">
        <v>234128.28</v>
      </c>
      <c r="E44" s="397"/>
      <c r="F44" s="368"/>
      <c r="G44" s="368">
        <v>51259.25</v>
      </c>
      <c r="H44" s="370">
        <v>409.55</v>
      </c>
      <c r="I44" s="368"/>
      <c r="J44" s="370">
        <v>28567.74</v>
      </c>
      <c r="K44" s="368">
        <v>4388.2</v>
      </c>
      <c r="L44" s="370">
        <v>163551.1</v>
      </c>
      <c r="M44" s="371">
        <f t="shared" si="0"/>
        <v>2317165.2000000007</v>
      </c>
      <c r="N44" s="35"/>
      <c r="O44" s="35"/>
      <c r="P44" s="35">
        <v>52510.5</v>
      </c>
      <c r="Q44" s="35"/>
      <c r="R44" s="35">
        <v>41232</v>
      </c>
      <c r="S44" s="409"/>
      <c r="T44" s="35"/>
      <c r="U44" s="380">
        <v>5080</v>
      </c>
      <c r="V44" s="35"/>
      <c r="W44" s="393"/>
      <c r="X44" s="372">
        <f t="shared" si="1"/>
        <v>2415987.7000000007</v>
      </c>
      <c r="Y44" s="35">
        <v>35576</v>
      </c>
      <c r="Z44" s="380"/>
      <c r="AA44" s="35">
        <v>144230.79999999999</v>
      </c>
      <c r="AB44" s="380"/>
      <c r="AC44" s="35">
        <v>106598.12</v>
      </c>
      <c r="AD44" s="380"/>
      <c r="AE44" s="35"/>
      <c r="AF44" s="380"/>
      <c r="AG44" s="35"/>
      <c r="AH44" s="380"/>
      <c r="AI44" s="35"/>
      <c r="AJ44" s="380"/>
      <c r="AK44" s="35"/>
      <c r="AL44" s="403">
        <f t="shared" si="2"/>
        <v>286404.92</v>
      </c>
      <c r="AM44" s="18">
        <v>69</v>
      </c>
      <c r="AN44" s="33">
        <v>982</v>
      </c>
      <c r="AO44" s="393">
        <v>-20901.330000000002</v>
      </c>
      <c r="AP44" s="35"/>
      <c r="AQ44" s="35">
        <v>-28</v>
      </c>
      <c r="AR44" s="35">
        <v>1</v>
      </c>
    </row>
    <row r="45" spans="1:44" x14ac:dyDescent="0.25">
      <c r="A45" s="383">
        <v>5474</v>
      </c>
      <c r="B45" s="367" t="s">
        <v>215</v>
      </c>
      <c r="C45" s="35">
        <v>839050.89</v>
      </c>
      <c r="D45" s="35">
        <v>80440.899999999994</v>
      </c>
      <c r="E45" s="397"/>
      <c r="F45" s="368"/>
      <c r="G45" s="368">
        <v>5273.45</v>
      </c>
      <c r="H45" s="370">
        <v>115.65</v>
      </c>
      <c r="I45" s="368">
        <v>35177.050000000003</v>
      </c>
      <c r="J45" s="370">
        <v>-379.03</v>
      </c>
      <c r="K45" s="368">
        <v>617.5</v>
      </c>
      <c r="L45" s="370">
        <v>81847.600000000006</v>
      </c>
      <c r="M45" s="371">
        <f t="shared" si="0"/>
        <v>1042144.01</v>
      </c>
      <c r="N45" s="35">
        <v>5919.6</v>
      </c>
      <c r="O45" s="35">
        <v>160359.9</v>
      </c>
      <c r="P45" s="35">
        <v>20321.45</v>
      </c>
      <c r="Q45" s="35">
        <v>6628.6</v>
      </c>
      <c r="R45" s="35">
        <v>31545.9</v>
      </c>
      <c r="S45" s="409"/>
      <c r="T45" s="35"/>
      <c r="U45" s="380">
        <v>1600</v>
      </c>
      <c r="V45" s="35"/>
      <c r="W45" s="393"/>
      <c r="X45" s="372">
        <f t="shared" si="1"/>
        <v>1268519.46</v>
      </c>
      <c r="Y45" s="35">
        <v>27610</v>
      </c>
      <c r="Z45" s="380"/>
      <c r="AA45" s="35">
        <v>84195.25</v>
      </c>
      <c r="AB45" s="380"/>
      <c r="AC45" s="35">
        <v>27695</v>
      </c>
      <c r="AD45" s="380"/>
      <c r="AE45" s="35"/>
      <c r="AF45" s="380"/>
      <c r="AG45" s="35"/>
      <c r="AH45" s="380"/>
      <c r="AI45" s="35"/>
      <c r="AJ45" s="380"/>
      <c r="AK45" s="35"/>
      <c r="AL45" s="403">
        <f t="shared" si="2"/>
        <v>139500.25</v>
      </c>
      <c r="AM45" s="18">
        <v>77</v>
      </c>
      <c r="AN45" s="33">
        <v>420</v>
      </c>
      <c r="AO45" s="393">
        <v>-2262.0300000000002</v>
      </c>
      <c r="AP45" s="35"/>
      <c r="AQ45" s="35">
        <v>-44.92</v>
      </c>
      <c r="AR45" s="35">
        <v>1.2</v>
      </c>
    </row>
    <row r="46" spans="1:44" x14ac:dyDescent="0.25">
      <c r="A46" s="383">
        <v>5475</v>
      </c>
      <c r="B46" s="367" t="s">
        <v>379</v>
      </c>
      <c r="C46" s="35">
        <v>239957.47</v>
      </c>
      <c r="D46" s="35">
        <v>21743.95</v>
      </c>
      <c r="E46" s="397"/>
      <c r="F46" s="368"/>
      <c r="G46" s="368">
        <v>1580.6</v>
      </c>
      <c r="H46" s="370">
        <v>81.849999999999994</v>
      </c>
      <c r="I46" s="368"/>
      <c r="J46" s="370">
        <v>9747.01</v>
      </c>
      <c r="K46" s="368"/>
      <c r="L46" s="370">
        <v>22577.3</v>
      </c>
      <c r="M46" s="371">
        <f t="shared" si="0"/>
        <v>295688.18</v>
      </c>
      <c r="N46" s="35"/>
      <c r="O46" s="35"/>
      <c r="P46" s="35">
        <v>5500</v>
      </c>
      <c r="Q46" s="35"/>
      <c r="R46" s="35"/>
      <c r="S46" s="409"/>
      <c r="T46" s="35"/>
      <c r="U46" s="380">
        <v>510</v>
      </c>
      <c r="V46" s="35"/>
      <c r="W46" s="393"/>
      <c r="X46" s="372">
        <f t="shared" si="1"/>
        <v>301698.18</v>
      </c>
      <c r="Y46" s="35">
        <v>21020.65</v>
      </c>
      <c r="Z46" s="380">
        <v>9180</v>
      </c>
      <c r="AA46" s="35">
        <v>13209</v>
      </c>
      <c r="AB46" s="380"/>
      <c r="AC46" s="35">
        <v>15620.3</v>
      </c>
      <c r="AD46" s="380">
        <v>16088.65</v>
      </c>
      <c r="AE46" s="35"/>
      <c r="AF46" s="380"/>
      <c r="AG46" s="35"/>
      <c r="AH46" s="380"/>
      <c r="AI46" s="35"/>
      <c r="AJ46" s="380"/>
      <c r="AK46" s="35"/>
      <c r="AL46" s="403">
        <f t="shared" si="2"/>
        <v>75118.599999999991</v>
      </c>
      <c r="AM46" s="18">
        <v>77</v>
      </c>
      <c r="AN46" s="33">
        <v>141</v>
      </c>
      <c r="AO46" s="393">
        <v>-4390.1400000000003</v>
      </c>
      <c r="AP46" s="35"/>
      <c r="AQ46" s="35">
        <v>0</v>
      </c>
      <c r="AR46" s="35">
        <v>1</v>
      </c>
    </row>
    <row r="47" spans="1:44" x14ac:dyDescent="0.25">
      <c r="A47" s="383">
        <v>5476</v>
      </c>
      <c r="B47" s="367" t="s">
        <v>380</v>
      </c>
      <c r="C47" s="35">
        <v>556980.04</v>
      </c>
      <c r="D47" s="35">
        <v>122816.14</v>
      </c>
      <c r="E47" s="397"/>
      <c r="F47" s="368"/>
      <c r="G47" s="368">
        <v>6309.4</v>
      </c>
      <c r="H47" s="370">
        <v>1898.4</v>
      </c>
      <c r="I47" s="368"/>
      <c r="J47" s="370">
        <v>5679.14</v>
      </c>
      <c r="K47" s="368"/>
      <c r="L47" s="370">
        <v>85074.4</v>
      </c>
      <c r="M47" s="371">
        <f t="shared" si="0"/>
        <v>778757.52000000014</v>
      </c>
      <c r="N47" s="35"/>
      <c r="O47" s="35">
        <v>4409.2</v>
      </c>
      <c r="P47" s="35"/>
      <c r="Q47" s="35"/>
      <c r="R47" s="35">
        <v>0</v>
      </c>
      <c r="S47" s="409"/>
      <c r="T47" s="35"/>
      <c r="U47" s="380">
        <v>2950</v>
      </c>
      <c r="V47" s="35"/>
      <c r="W47" s="393"/>
      <c r="X47" s="372">
        <f t="shared" si="1"/>
        <v>786116.72000000009</v>
      </c>
      <c r="Y47" s="35">
        <v>3287.8</v>
      </c>
      <c r="Z47" s="380"/>
      <c r="AA47" s="35">
        <v>15525</v>
      </c>
      <c r="AB47" s="380"/>
      <c r="AC47" s="35">
        <v>15722.5</v>
      </c>
      <c r="AD47" s="380">
        <v>5479.65</v>
      </c>
      <c r="AE47" s="35"/>
      <c r="AF47" s="380"/>
      <c r="AG47" s="35"/>
      <c r="AH47" s="380"/>
      <c r="AI47" s="35"/>
      <c r="AJ47" s="380"/>
      <c r="AK47" s="35"/>
      <c r="AL47" s="403">
        <f t="shared" si="2"/>
        <v>40014.950000000004</v>
      </c>
      <c r="AM47" s="18">
        <v>74</v>
      </c>
      <c r="AN47" s="33">
        <v>298</v>
      </c>
      <c r="AO47" s="393">
        <v>-3774.47</v>
      </c>
      <c r="AP47" s="35"/>
      <c r="AQ47" s="35">
        <v>-3.16</v>
      </c>
      <c r="AR47" s="35">
        <v>1.5</v>
      </c>
    </row>
    <row r="48" spans="1:44" x14ac:dyDescent="0.25">
      <c r="A48" s="383">
        <v>5477</v>
      </c>
      <c r="B48" s="367" t="s">
        <v>381</v>
      </c>
      <c r="C48" s="35">
        <v>6847488.9900000002</v>
      </c>
      <c r="D48" s="35">
        <v>823349.46</v>
      </c>
      <c r="E48" s="397"/>
      <c r="F48" s="368"/>
      <c r="G48" s="368">
        <v>515077.5</v>
      </c>
      <c r="H48" s="370">
        <v>15483.7</v>
      </c>
      <c r="I48" s="368"/>
      <c r="J48" s="370">
        <v>246620</v>
      </c>
      <c r="K48" s="368">
        <v>7568.9</v>
      </c>
      <c r="L48" s="370">
        <v>593419.69999999995</v>
      </c>
      <c r="M48" s="371">
        <f t="shared" si="0"/>
        <v>9049008.25</v>
      </c>
      <c r="N48" s="35">
        <v>77640.55</v>
      </c>
      <c r="O48" s="35">
        <v>160803</v>
      </c>
      <c r="P48" s="35">
        <v>757341.75</v>
      </c>
      <c r="Q48" s="35">
        <v>11175.26</v>
      </c>
      <c r="R48" s="35">
        <v>211688</v>
      </c>
      <c r="S48" s="409"/>
      <c r="T48" s="35"/>
      <c r="U48" s="380">
        <v>19000</v>
      </c>
      <c r="V48" s="35"/>
      <c r="W48" s="393"/>
      <c r="X48" s="372">
        <f t="shared" si="1"/>
        <v>10286656.810000001</v>
      </c>
      <c r="Y48" s="35">
        <v>155417.1</v>
      </c>
      <c r="Z48" s="380">
        <v>327900</v>
      </c>
      <c r="AA48" s="35">
        <v>347061.2</v>
      </c>
      <c r="AB48" s="380">
        <v>493905.9</v>
      </c>
      <c r="AC48" s="35">
        <v>351556.7</v>
      </c>
      <c r="AD48" s="380">
        <v>113360.7</v>
      </c>
      <c r="AE48" s="35">
        <v>67645.100000000006</v>
      </c>
      <c r="AF48" s="380"/>
      <c r="AG48" s="35">
        <v>1213.8</v>
      </c>
      <c r="AH48" s="380">
        <v>77195.850000000006</v>
      </c>
      <c r="AI48" s="35"/>
      <c r="AJ48" s="380"/>
      <c r="AK48" s="35">
        <v>17263.400000000001</v>
      </c>
      <c r="AL48" s="403">
        <f t="shared" si="2"/>
        <v>1952519.7500000002</v>
      </c>
      <c r="AM48" s="18">
        <v>71</v>
      </c>
      <c r="AN48" s="33">
        <v>3808</v>
      </c>
      <c r="AO48" s="393">
        <v>-113022.57</v>
      </c>
      <c r="AP48" s="35"/>
      <c r="AQ48" s="35">
        <v>-221.81</v>
      </c>
      <c r="AR48" s="35">
        <v>1</v>
      </c>
    </row>
    <row r="49" spans="1:44" x14ac:dyDescent="0.25">
      <c r="A49" s="383">
        <v>5478</v>
      </c>
      <c r="B49" s="367" t="s">
        <v>246</v>
      </c>
      <c r="C49" s="35">
        <v>1013843.64</v>
      </c>
      <c r="D49" s="35">
        <v>126354</v>
      </c>
      <c r="E49" s="397"/>
      <c r="F49" s="368"/>
      <c r="G49" s="368">
        <v>29517.05</v>
      </c>
      <c r="H49" s="370">
        <v>74.75</v>
      </c>
      <c r="I49" s="368"/>
      <c r="J49" s="370">
        <v>12728.5</v>
      </c>
      <c r="K49" s="368">
        <v>250</v>
      </c>
      <c r="L49" s="370">
        <v>78073.25</v>
      </c>
      <c r="M49" s="371">
        <f t="shared" si="0"/>
        <v>1260841.1900000002</v>
      </c>
      <c r="N49" s="35"/>
      <c r="O49" s="35"/>
      <c r="P49" s="35">
        <v>40801.449999999997</v>
      </c>
      <c r="Q49" s="35">
        <v>5986.15</v>
      </c>
      <c r="R49" s="35">
        <v>39907.449999999997</v>
      </c>
      <c r="S49" s="409"/>
      <c r="T49" s="35">
        <v>420.55</v>
      </c>
      <c r="U49" s="380">
        <v>1875</v>
      </c>
      <c r="V49" s="35"/>
      <c r="W49" s="393"/>
      <c r="X49" s="372">
        <f t="shared" si="1"/>
        <v>1349831.79</v>
      </c>
      <c r="Y49" s="35">
        <v>10020</v>
      </c>
      <c r="Z49" s="380"/>
      <c r="AA49" s="35">
        <v>32234.5</v>
      </c>
      <c r="AB49" s="380"/>
      <c r="AC49" s="35">
        <v>28348.25</v>
      </c>
      <c r="AD49" s="380">
        <v>10020</v>
      </c>
      <c r="AE49" s="35"/>
      <c r="AF49" s="380"/>
      <c r="AG49" s="35"/>
      <c r="AH49" s="380"/>
      <c r="AI49" s="35"/>
      <c r="AJ49" s="380"/>
      <c r="AK49" s="35"/>
      <c r="AL49" s="403">
        <f t="shared" si="2"/>
        <v>80622.75</v>
      </c>
      <c r="AM49" s="18">
        <v>74</v>
      </c>
      <c r="AN49" s="33">
        <v>477</v>
      </c>
      <c r="AO49" s="393">
        <v>-6580.48</v>
      </c>
      <c r="AP49" s="35"/>
      <c r="AQ49" s="35">
        <v>0</v>
      </c>
      <c r="AR49" s="35">
        <v>1</v>
      </c>
    </row>
    <row r="50" spans="1:44" x14ac:dyDescent="0.25">
      <c r="A50" s="383">
        <v>5479</v>
      </c>
      <c r="B50" s="367" t="s">
        <v>247</v>
      </c>
      <c r="C50" s="35">
        <v>815270.96</v>
      </c>
      <c r="D50" s="35">
        <v>89620.14</v>
      </c>
      <c r="E50" s="397"/>
      <c r="F50" s="368"/>
      <c r="G50" s="368">
        <v>27028.95</v>
      </c>
      <c r="H50" s="370">
        <v>630.79999999999995</v>
      </c>
      <c r="I50" s="368">
        <v>485850.92</v>
      </c>
      <c r="J50" s="370">
        <v>13301.04</v>
      </c>
      <c r="K50" s="368">
        <v>2397.5</v>
      </c>
      <c r="L50" s="370">
        <v>86947.25</v>
      </c>
      <c r="M50" s="371">
        <f t="shared" si="0"/>
        <v>1521047.56</v>
      </c>
      <c r="N50" s="35">
        <v>9702.0499999999993</v>
      </c>
      <c r="O50" s="35">
        <v>5678.8</v>
      </c>
      <c r="P50" s="35">
        <v>63136.3</v>
      </c>
      <c r="Q50" s="35">
        <v>2314.04</v>
      </c>
      <c r="R50" s="35">
        <v>50667.85</v>
      </c>
      <c r="S50" s="409"/>
      <c r="T50" s="35">
        <v>1035.6500000000001</v>
      </c>
      <c r="U50" s="380">
        <v>1820</v>
      </c>
      <c r="V50" s="35">
        <v>136</v>
      </c>
      <c r="W50" s="393"/>
      <c r="X50" s="372">
        <f t="shared" si="1"/>
        <v>1655538.2500000002</v>
      </c>
      <c r="Y50" s="35"/>
      <c r="Z50" s="380"/>
      <c r="AA50" s="35">
        <v>56548</v>
      </c>
      <c r="AB50" s="380"/>
      <c r="AC50" s="35">
        <v>65688.399999999994</v>
      </c>
      <c r="AD50" s="380"/>
      <c r="AE50" s="35">
        <v>11690</v>
      </c>
      <c r="AF50" s="380"/>
      <c r="AG50" s="35"/>
      <c r="AH50" s="380">
        <v>13534</v>
      </c>
      <c r="AI50" s="35"/>
      <c r="AJ50" s="380"/>
      <c r="AK50" s="35"/>
      <c r="AL50" s="403">
        <f t="shared" si="2"/>
        <v>147460.4</v>
      </c>
      <c r="AM50" s="18">
        <v>77</v>
      </c>
      <c r="AN50" s="33">
        <v>479</v>
      </c>
      <c r="AO50" s="393">
        <v>-11975.34</v>
      </c>
      <c r="AP50" s="35"/>
      <c r="AQ50" s="35">
        <v>0</v>
      </c>
      <c r="AR50" s="35">
        <v>1</v>
      </c>
    </row>
    <row r="51" spans="1:44" x14ac:dyDescent="0.25">
      <c r="A51" s="383">
        <v>5480</v>
      </c>
      <c r="B51" s="367" t="s">
        <v>248</v>
      </c>
      <c r="C51" s="35">
        <v>2240363.85</v>
      </c>
      <c r="D51" s="35">
        <v>272192.69</v>
      </c>
      <c r="E51" s="397"/>
      <c r="F51" s="368"/>
      <c r="G51" s="368">
        <v>136421.65</v>
      </c>
      <c r="H51" s="370">
        <v>1633.9</v>
      </c>
      <c r="I51" s="368"/>
      <c r="J51" s="370">
        <v>39113.39</v>
      </c>
      <c r="K51" s="368">
        <v>8743.65</v>
      </c>
      <c r="L51" s="370">
        <v>278373.2</v>
      </c>
      <c r="M51" s="371">
        <f t="shared" si="0"/>
        <v>2976842.33</v>
      </c>
      <c r="N51" s="35">
        <v>129347.4</v>
      </c>
      <c r="O51" s="35">
        <v>3313.6</v>
      </c>
      <c r="P51" s="35">
        <v>58611.25</v>
      </c>
      <c r="Q51" s="35">
        <v>17470.11</v>
      </c>
      <c r="R51" s="35">
        <v>13602.25</v>
      </c>
      <c r="S51" s="409"/>
      <c r="T51" s="35">
        <v>850</v>
      </c>
      <c r="U51" s="380">
        <v>9100</v>
      </c>
      <c r="V51" s="35">
        <v>150</v>
      </c>
      <c r="W51" s="393">
        <v>766.4</v>
      </c>
      <c r="X51" s="372">
        <f t="shared" si="1"/>
        <v>3210053.34</v>
      </c>
      <c r="Y51" s="35">
        <v>36454.050000000003</v>
      </c>
      <c r="Z51" s="380"/>
      <c r="AA51" s="35">
        <v>103575.6</v>
      </c>
      <c r="AB51" s="380">
        <v>140397.9</v>
      </c>
      <c r="AC51" s="35">
        <v>72981.600000000006</v>
      </c>
      <c r="AD51" s="380">
        <v>13969.95</v>
      </c>
      <c r="AE51" s="35"/>
      <c r="AF51" s="380"/>
      <c r="AG51" s="35">
        <v>3726.8</v>
      </c>
      <c r="AH51" s="380">
        <v>61232.35</v>
      </c>
      <c r="AI51" s="35"/>
      <c r="AJ51" s="380"/>
      <c r="AK51" s="35"/>
      <c r="AL51" s="403">
        <f t="shared" si="2"/>
        <v>432338.25</v>
      </c>
      <c r="AM51" s="18">
        <v>71</v>
      </c>
      <c r="AN51" s="33">
        <v>998</v>
      </c>
      <c r="AO51" s="393">
        <v>-25645.24</v>
      </c>
      <c r="AP51" s="35"/>
      <c r="AQ51" s="35">
        <v>-205.82</v>
      </c>
      <c r="AR51" s="35">
        <v>1</v>
      </c>
    </row>
    <row r="52" spans="1:44" x14ac:dyDescent="0.25">
      <c r="A52" s="383">
        <v>5481</v>
      </c>
      <c r="B52" s="367" t="s">
        <v>249</v>
      </c>
      <c r="C52" s="35">
        <v>530040.04</v>
      </c>
      <c r="D52" s="35">
        <v>86399.89</v>
      </c>
      <c r="E52" s="397"/>
      <c r="F52" s="368"/>
      <c r="G52" s="368">
        <v>14452.2</v>
      </c>
      <c r="H52" s="370">
        <v>71.25</v>
      </c>
      <c r="I52" s="368"/>
      <c r="J52" s="370">
        <v>1796.6</v>
      </c>
      <c r="K52" s="368"/>
      <c r="L52" s="370">
        <v>37185.599999999999</v>
      </c>
      <c r="M52" s="371">
        <f t="shared" si="0"/>
        <v>669945.57999999996</v>
      </c>
      <c r="N52" s="35"/>
      <c r="O52" s="35">
        <v>486.6</v>
      </c>
      <c r="P52" s="35">
        <v>8580</v>
      </c>
      <c r="Q52" s="35">
        <v>2883.95</v>
      </c>
      <c r="R52" s="35">
        <v>8556.85</v>
      </c>
      <c r="S52" s="409"/>
      <c r="T52" s="35"/>
      <c r="U52" s="380">
        <v>750</v>
      </c>
      <c r="V52" s="35"/>
      <c r="W52" s="393"/>
      <c r="X52" s="372">
        <f t="shared" si="1"/>
        <v>691202.97999999986</v>
      </c>
      <c r="Y52" s="35"/>
      <c r="Z52" s="380"/>
      <c r="AA52" s="35">
        <v>59780.5</v>
      </c>
      <c r="AB52" s="380"/>
      <c r="AC52" s="35">
        <v>15474</v>
      </c>
      <c r="AD52" s="380"/>
      <c r="AE52" s="35"/>
      <c r="AF52" s="380"/>
      <c r="AG52" s="35"/>
      <c r="AH52" s="380"/>
      <c r="AI52" s="35"/>
      <c r="AJ52" s="380"/>
      <c r="AK52" s="35"/>
      <c r="AL52" s="403">
        <f t="shared" si="2"/>
        <v>75254.5</v>
      </c>
      <c r="AM52" s="18">
        <v>79</v>
      </c>
      <c r="AN52" s="33">
        <v>229</v>
      </c>
      <c r="AO52" s="393">
        <v>-3090.26</v>
      </c>
      <c r="AP52" s="35"/>
      <c r="AQ52" s="35">
        <v>-6.15</v>
      </c>
      <c r="AR52" s="35">
        <v>1</v>
      </c>
    </row>
    <row r="53" spans="1:44" x14ac:dyDescent="0.25">
      <c r="A53" s="383">
        <v>5482</v>
      </c>
      <c r="B53" s="367" t="s">
        <v>250</v>
      </c>
      <c r="C53" s="35">
        <v>1386224</v>
      </c>
      <c r="D53" s="35">
        <v>169559.42</v>
      </c>
      <c r="E53" s="397"/>
      <c r="F53" s="368"/>
      <c r="G53" s="368">
        <v>237109.15</v>
      </c>
      <c r="H53" s="370">
        <v>19694.8</v>
      </c>
      <c r="I53" s="368"/>
      <c r="J53" s="370">
        <v>86158.32</v>
      </c>
      <c r="K53" s="368">
        <v>39820.300000000003</v>
      </c>
      <c r="L53" s="370">
        <v>389150.65</v>
      </c>
      <c r="M53" s="371">
        <f t="shared" si="0"/>
        <v>2327716.64</v>
      </c>
      <c r="N53" s="35">
        <v>456709</v>
      </c>
      <c r="O53" s="35">
        <v>142602.79999999999</v>
      </c>
      <c r="P53" s="35">
        <v>60602.5</v>
      </c>
      <c r="Q53" s="35">
        <v>6101.33</v>
      </c>
      <c r="R53" s="35">
        <v>53855.8</v>
      </c>
      <c r="S53" s="409"/>
      <c r="T53" s="35"/>
      <c r="U53" s="380">
        <v>9225</v>
      </c>
      <c r="V53" s="35"/>
      <c r="W53" s="393"/>
      <c r="X53" s="372">
        <f t="shared" si="1"/>
        <v>3056813.07</v>
      </c>
      <c r="Y53" s="35">
        <v>31771.85</v>
      </c>
      <c r="Z53" s="380"/>
      <c r="AA53" s="35">
        <v>273061.45</v>
      </c>
      <c r="AB53" s="380"/>
      <c r="AC53" s="35">
        <v>106279.15</v>
      </c>
      <c r="AD53" s="380"/>
      <c r="AE53" s="35"/>
      <c r="AF53" s="380"/>
      <c r="AG53" s="35"/>
      <c r="AH53" s="380"/>
      <c r="AI53" s="35"/>
      <c r="AJ53" s="380"/>
      <c r="AK53" s="35"/>
      <c r="AL53" s="403">
        <f t="shared" si="2"/>
        <v>411112.44999999995</v>
      </c>
      <c r="AM53" s="18">
        <v>46</v>
      </c>
      <c r="AN53" s="33">
        <v>1091</v>
      </c>
      <c r="AO53" s="393">
        <v>-16784.3</v>
      </c>
      <c r="AP53" s="35"/>
      <c r="AQ53" s="35">
        <v>-72.56</v>
      </c>
      <c r="AR53" s="35">
        <v>1</v>
      </c>
    </row>
    <row r="54" spans="1:44" x14ac:dyDescent="0.25">
      <c r="A54" s="383">
        <v>5483</v>
      </c>
      <c r="B54" s="367" t="s">
        <v>145</v>
      </c>
      <c r="C54" s="35">
        <v>810576</v>
      </c>
      <c r="D54" s="35">
        <v>70797.2</v>
      </c>
      <c r="E54" s="397"/>
      <c r="F54" s="368"/>
      <c r="G54" s="368">
        <v>-1015.05</v>
      </c>
      <c r="H54" s="370">
        <v>52.15</v>
      </c>
      <c r="I54" s="368"/>
      <c r="J54" s="370">
        <v>4377.05</v>
      </c>
      <c r="K54" s="368"/>
      <c r="L54" s="370">
        <v>52168.15</v>
      </c>
      <c r="M54" s="371">
        <f t="shared" si="0"/>
        <v>936955.5</v>
      </c>
      <c r="N54" s="35">
        <v>163.95</v>
      </c>
      <c r="O54" s="35"/>
      <c r="P54" s="35">
        <v>20900</v>
      </c>
      <c r="Q54" s="35">
        <v>667.56</v>
      </c>
      <c r="R54" s="35">
        <v>5202.6000000000004</v>
      </c>
      <c r="S54" s="409"/>
      <c r="T54" s="35"/>
      <c r="U54" s="380">
        <v>1530</v>
      </c>
      <c r="V54" s="35"/>
      <c r="W54" s="393"/>
      <c r="X54" s="372">
        <f t="shared" si="1"/>
        <v>965419.61</v>
      </c>
      <c r="Y54" s="35"/>
      <c r="Z54" s="380">
        <v>11550</v>
      </c>
      <c r="AA54" s="35">
        <v>44986.3</v>
      </c>
      <c r="AB54" s="380"/>
      <c r="AC54" s="35">
        <v>30048.5</v>
      </c>
      <c r="AD54" s="380"/>
      <c r="AE54" s="35"/>
      <c r="AF54" s="380"/>
      <c r="AG54" s="35"/>
      <c r="AH54" s="380"/>
      <c r="AI54" s="35"/>
      <c r="AJ54" s="380"/>
      <c r="AK54" s="35"/>
      <c r="AL54" s="403">
        <f t="shared" si="2"/>
        <v>86584.8</v>
      </c>
      <c r="AM54" s="18">
        <v>76</v>
      </c>
      <c r="AN54" s="33">
        <v>322</v>
      </c>
      <c r="AO54" s="393">
        <v>-2427.13</v>
      </c>
      <c r="AP54" s="35"/>
      <c r="AQ54" s="35">
        <v>0</v>
      </c>
      <c r="AR54" s="35">
        <v>1</v>
      </c>
    </row>
    <row r="55" spans="1:44" x14ac:dyDescent="0.25">
      <c r="A55" s="383">
        <v>5484</v>
      </c>
      <c r="B55" s="367" t="s">
        <v>146</v>
      </c>
      <c r="C55" s="35">
        <v>1969525.1</v>
      </c>
      <c r="D55" s="35">
        <v>221088.38</v>
      </c>
      <c r="E55" s="397"/>
      <c r="F55" s="368"/>
      <c r="G55" s="368">
        <v>146769.5</v>
      </c>
      <c r="H55" s="370">
        <v>2325.75</v>
      </c>
      <c r="I55" s="368"/>
      <c r="J55" s="370">
        <v>59064.97</v>
      </c>
      <c r="K55" s="368">
        <v>5732.15</v>
      </c>
      <c r="L55" s="370">
        <v>159223.29999999999</v>
      </c>
      <c r="M55" s="371">
        <f t="shared" si="0"/>
        <v>2563729.15</v>
      </c>
      <c r="N55" s="35">
        <v>26602.55</v>
      </c>
      <c r="O55" s="35"/>
      <c r="P55" s="35">
        <v>195789.25</v>
      </c>
      <c r="Q55" s="35">
        <v>18606.099999999999</v>
      </c>
      <c r="R55" s="35">
        <v>139036.15</v>
      </c>
      <c r="S55" s="409"/>
      <c r="T55" s="35"/>
      <c r="U55" s="380">
        <v>4860</v>
      </c>
      <c r="V55" s="35"/>
      <c r="W55" s="393"/>
      <c r="X55" s="372">
        <f t="shared" si="1"/>
        <v>2948623.1999999997</v>
      </c>
      <c r="Y55" s="35">
        <v>208359</v>
      </c>
      <c r="Z55" s="380"/>
      <c r="AA55" s="35">
        <v>148614.85</v>
      </c>
      <c r="AB55" s="380"/>
      <c r="AC55" s="35">
        <v>97630.5</v>
      </c>
      <c r="AD55" s="380">
        <v>155410.4</v>
      </c>
      <c r="AE55" s="35"/>
      <c r="AF55" s="380"/>
      <c r="AG55" s="35"/>
      <c r="AH55" s="380"/>
      <c r="AI55" s="35"/>
      <c r="AJ55" s="380"/>
      <c r="AK55" s="35"/>
      <c r="AL55" s="403">
        <f t="shared" si="2"/>
        <v>610014.75</v>
      </c>
      <c r="AM55" s="18">
        <v>74</v>
      </c>
      <c r="AN55" s="33">
        <v>918</v>
      </c>
      <c r="AO55" s="393">
        <v>-9379.25</v>
      </c>
      <c r="AP55" s="35"/>
      <c r="AQ55" s="35">
        <v>-11.11</v>
      </c>
      <c r="AR55" s="35">
        <v>1</v>
      </c>
    </row>
    <row r="56" spans="1:44" x14ac:dyDescent="0.25">
      <c r="A56" s="383">
        <v>5485</v>
      </c>
      <c r="B56" s="367" t="s">
        <v>147</v>
      </c>
      <c r="C56" s="35">
        <v>986048.49</v>
      </c>
      <c r="D56" s="35">
        <v>149111.75</v>
      </c>
      <c r="E56" s="397"/>
      <c r="F56" s="368"/>
      <c r="G56" s="368">
        <v>22714.7</v>
      </c>
      <c r="H56" s="370">
        <v>84.3</v>
      </c>
      <c r="I56" s="368"/>
      <c r="J56" s="370">
        <v>27318.61</v>
      </c>
      <c r="K56" s="368"/>
      <c r="L56" s="370">
        <v>70419.55</v>
      </c>
      <c r="M56" s="371">
        <f t="shared" si="0"/>
        <v>1255697.4000000001</v>
      </c>
      <c r="N56" s="35">
        <v>9944.15</v>
      </c>
      <c r="O56" s="35"/>
      <c r="P56" s="35">
        <v>28930</v>
      </c>
      <c r="Q56" s="35"/>
      <c r="R56" s="35">
        <v>53920.15</v>
      </c>
      <c r="S56" s="409"/>
      <c r="T56" s="35"/>
      <c r="U56" s="380">
        <v>1400</v>
      </c>
      <c r="V56" s="35"/>
      <c r="W56" s="393"/>
      <c r="X56" s="372">
        <f t="shared" si="1"/>
        <v>1349891.7</v>
      </c>
      <c r="Y56" s="35">
        <v>21902</v>
      </c>
      <c r="Z56" s="380"/>
      <c r="AA56" s="35">
        <v>77874</v>
      </c>
      <c r="AB56" s="380"/>
      <c r="AC56" s="35">
        <v>28017</v>
      </c>
      <c r="AD56" s="380">
        <v>8109</v>
      </c>
      <c r="AE56" s="35"/>
      <c r="AF56" s="380"/>
      <c r="AG56" s="35"/>
      <c r="AH56" s="380"/>
      <c r="AI56" s="35"/>
      <c r="AJ56" s="380"/>
      <c r="AK56" s="35"/>
      <c r="AL56" s="403">
        <f t="shared" si="2"/>
        <v>135902</v>
      </c>
      <c r="AM56" s="18">
        <v>70</v>
      </c>
      <c r="AN56" s="33">
        <v>403</v>
      </c>
      <c r="AO56" s="393">
        <v>-5119.3</v>
      </c>
      <c r="AP56" s="35"/>
      <c r="AQ56" s="35">
        <v>-56.4</v>
      </c>
      <c r="AR56" s="35">
        <v>1</v>
      </c>
    </row>
    <row r="57" spans="1:44" x14ac:dyDescent="0.25">
      <c r="A57" s="383">
        <v>5486</v>
      </c>
      <c r="B57" s="367" t="s">
        <v>5</v>
      </c>
      <c r="C57" s="35">
        <v>1491000.48</v>
      </c>
      <c r="D57" s="35">
        <v>212065.5</v>
      </c>
      <c r="E57" s="397"/>
      <c r="F57" s="368"/>
      <c r="G57" s="368">
        <v>94634.55</v>
      </c>
      <c r="H57" s="370">
        <v>-50.900000000000098</v>
      </c>
      <c r="I57" s="368">
        <v>34494.85</v>
      </c>
      <c r="J57" s="370">
        <v>30992.86</v>
      </c>
      <c r="K57" s="368">
        <v>5736.3</v>
      </c>
      <c r="L57" s="370">
        <v>181422.25</v>
      </c>
      <c r="M57" s="371">
        <f t="shared" si="0"/>
        <v>2050295.8900000004</v>
      </c>
      <c r="N57" s="35">
        <v>45799.5</v>
      </c>
      <c r="O57" s="35">
        <v>8787.2000000000007</v>
      </c>
      <c r="P57" s="35">
        <v>61561.15</v>
      </c>
      <c r="Q57" s="35">
        <v>3736.62</v>
      </c>
      <c r="R57" s="35">
        <v>117078.25</v>
      </c>
      <c r="S57" s="409"/>
      <c r="T57" s="35">
        <v>700</v>
      </c>
      <c r="U57" s="380">
        <v>9400</v>
      </c>
      <c r="V57" s="35"/>
      <c r="W57" s="393"/>
      <c r="X57" s="372">
        <f t="shared" si="1"/>
        <v>2297358.6100000003</v>
      </c>
      <c r="Y57" s="35"/>
      <c r="Z57" s="380">
        <v>4860</v>
      </c>
      <c r="AA57" s="35">
        <v>207701.5</v>
      </c>
      <c r="AB57" s="380"/>
      <c r="AC57" s="35">
        <v>91866.4</v>
      </c>
      <c r="AD57" s="380"/>
      <c r="AE57" s="35">
        <v>4860</v>
      </c>
      <c r="AF57" s="380"/>
      <c r="AG57" s="35"/>
      <c r="AH57" s="380">
        <v>38042.300000000003</v>
      </c>
      <c r="AI57" s="35"/>
      <c r="AJ57" s="380"/>
      <c r="AK57" s="35"/>
      <c r="AL57" s="403">
        <f t="shared" si="2"/>
        <v>347330.2</v>
      </c>
      <c r="AM57" s="18">
        <v>76</v>
      </c>
      <c r="AN57" s="33">
        <v>1005</v>
      </c>
      <c r="AO57" s="393">
        <v>-63805.34</v>
      </c>
      <c r="AP57" s="35"/>
      <c r="AQ57" s="35">
        <v>0</v>
      </c>
      <c r="AR57" s="35">
        <v>1</v>
      </c>
    </row>
    <row r="58" spans="1:44" x14ac:dyDescent="0.25">
      <c r="A58" s="383">
        <v>5487</v>
      </c>
      <c r="B58" s="367" t="s">
        <v>6</v>
      </c>
      <c r="C58" s="35">
        <v>852331.63</v>
      </c>
      <c r="D58" s="35">
        <v>93632.91</v>
      </c>
      <c r="E58" s="397"/>
      <c r="F58" s="368"/>
      <c r="G58" s="368">
        <v>5338.6</v>
      </c>
      <c r="H58" s="370">
        <v>85.7</v>
      </c>
      <c r="I58" s="368"/>
      <c r="J58" s="370">
        <v>13296.17</v>
      </c>
      <c r="K58" s="368">
        <v>446.25</v>
      </c>
      <c r="L58" s="370">
        <v>72580.3</v>
      </c>
      <c r="M58" s="371">
        <f t="shared" si="0"/>
        <v>1037711.56</v>
      </c>
      <c r="N58" s="35">
        <v>2834.85</v>
      </c>
      <c r="O58" s="35"/>
      <c r="P58" s="35">
        <v>70491.199999999997</v>
      </c>
      <c r="Q58" s="35">
        <v>12200.82</v>
      </c>
      <c r="R58" s="35">
        <v>18136.900000000001</v>
      </c>
      <c r="S58" s="409"/>
      <c r="T58" s="35"/>
      <c r="U58" s="380">
        <v>1950</v>
      </c>
      <c r="V58" s="35"/>
      <c r="W58" s="393"/>
      <c r="X58" s="372">
        <f t="shared" si="1"/>
        <v>1143325.33</v>
      </c>
      <c r="Y58" s="35">
        <v>22667.9</v>
      </c>
      <c r="Z58" s="380"/>
      <c r="AA58" s="35">
        <v>40012.65</v>
      </c>
      <c r="AB58" s="380"/>
      <c r="AC58" s="35">
        <v>39150</v>
      </c>
      <c r="AD58" s="380">
        <v>143.35</v>
      </c>
      <c r="AE58" s="35"/>
      <c r="AF58" s="380"/>
      <c r="AG58" s="35">
        <v>442.6</v>
      </c>
      <c r="AH58" s="380">
        <v>9981.4</v>
      </c>
      <c r="AI58" s="35"/>
      <c r="AJ58" s="380"/>
      <c r="AK58" s="35"/>
      <c r="AL58" s="403">
        <f t="shared" si="2"/>
        <v>112397.90000000001</v>
      </c>
      <c r="AM58" s="18">
        <v>72</v>
      </c>
      <c r="AN58" s="33">
        <v>459</v>
      </c>
      <c r="AO58" s="393">
        <v>-15190.53</v>
      </c>
      <c r="AP58" s="35"/>
      <c r="AQ58" s="35">
        <v>-47.16</v>
      </c>
      <c r="AR58" s="35">
        <v>1</v>
      </c>
    </row>
    <row r="59" spans="1:44" x14ac:dyDescent="0.25">
      <c r="A59" s="383">
        <v>5488</v>
      </c>
      <c r="B59" s="367" t="s">
        <v>7</v>
      </c>
      <c r="C59" s="35">
        <v>102987.3</v>
      </c>
      <c r="D59" s="35">
        <v>9154.7900000000009</v>
      </c>
      <c r="E59" s="397"/>
      <c r="F59" s="368"/>
      <c r="G59" s="368">
        <v>251.45</v>
      </c>
      <c r="H59" s="370">
        <v>135.75</v>
      </c>
      <c r="I59" s="368"/>
      <c r="J59" s="370"/>
      <c r="K59" s="368"/>
      <c r="L59" s="370">
        <v>8474</v>
      </c>
      <c r="M59" s="371">
        <f t="shared" si="0"/>
        <v>121003.29</v>
      </c>
      <c r="N59" s="35"/>
      <c r="O59" s="35"/>
      <c r="P59" s="35"/>
      <c r="Q59" s="35"/>
      <c r="R59" s="35"/>
      <c r="S59" s="409"/>
      <c r="T59" s="35"/>
      <c r="U59" s="380">
        <v>100</v>
      </c>
      <c r="V59" s="35"/>
      <c r="W59" s="393"/>
      <c r="X59" s="372">
        <f t="shared" si="1"/>
        <v>121103.29</v>
      </c>
      <c r="Y59" s="35"/>
      <c r="Z59" s="380"/>
      <c r="AA59" s="35">
        <v>6134.5</v>
      </c>
      <c r="AB59" s="380"/>
      <c r="AC59" s="35">
        <v>5292.5</v>
      </c>
      <c r="AD59" s="380"/>
      <c r="AE59" s="35"/>
      <c r="AF59" s="380"/>
      <c r="AG59" s="35"/>
      <c r="AH59" s="380">
        <v>1222.05</v>
      </c>
      <c r="AI59" s="35"/>
      <c r="AJ59" s="380"/>
      <c r="AK59" s="35"/>
      <c r="AL59" s="403">
        <f t="shared" si="2"/>
        <v>12649.05</v>
      </c>
      <c r="AM59" s="18">
        <v>74</v>
      </c>
      <c r="AN59" s="33">
        <v>60</v>
      </c>
      <c r="AO59" s="393">
        <v>-17.93</v>
      </c>
      <c r="AP59" s="35"/>
      <c r="AQ59" s="35">
        <v>0</v>
      </c>
      <c r="AR59" s="35">
        <v>1</v>
      </c>
    </row>
    <row r="60" spans="1:44" x14ac:dyDescent="0.25">
      <c r="A60" s="383">
        <v>5489</v>
      </c>
      <c r="B60" s="367" t="s">
        <v>8</v>
      </c>
      <c r="C60" s="35">
        <v>2071625.12</v>
      </c>
      <c r="D60" s="35">
        <v>497485.41</v>
      </c>
      <c r="E60" s="397"/>
      <c r="F60" s="368"/>
      <c r="G60" s="368">
        <v>566860.9</v>
      </c>
      <c r="H60" s="370">
        <v>58537.5</v>
      </c>
      <c r="I60" s="368"/>
      <c r="J60" s="370">
        <v>39694.85</v>
      </c>
      <c r="K60" s="368">
        <v>5861</v>
      </c>
      <c r="L60" s="370">
        <v>275851.34999999998</v>
      </c>
      <c r="M60" s="371">
        <f t="shared" si="0"/>
        <v>3515916.1300000004</v>
      </c>
      <c r="N60" s="35">
        <v>193594.5</v>
      </c>
      <c r="O60" s="35"/>
      <c r="P60" s="35">
        <v>28736.400000000001</v>
      </c>
      <c r="Q60" s="35">
        <v>5985.85</v>
      </c>
      <c r="R60" s="35">
        <v>168803.9</v>
      </c>
      <c r="S60" s="409"/>
      <c r="T60" s="35"/>
      <c r="U60" s="380">
        <v>3600</v>
      </c>
      <c r="V60" s="35"/>
      <c r="W60" s="393"/>
      <c r="X60" s="372">
        <f t="shared" si="1"/>
        <v>3916636.7800000003</v>
      </c>
      <c r="Y60" s="35">
        <v>74801.149999999994</v>
      </c>
      <c r="Z60" s="380"/>
      <c r="AA60" s="35">
        <v>119669.35</v>
      </c>
      <c r="AB60" s="380"/>
      <c r="AC60" s="35">
        <v>42801.65</v>
      </c>
      <c r="AD60" s="380">
        <v>37619.949999999997</v>
      </c>
      <c r="AE60" s="35">
        <v>111175.26</v>
      </c>
      <c r="AF60" s="380"/>
      <c r="AG60" s="35"/>
      <c r="AH60" s="380"/>
      <c r="AI60" s="35"/>
      <c r="AJ60" s="380"/>
      <c r="AK60" s="35"/>
      <c r="AL60" s="403">
        <f t="shared" si="2"/>
        <v>386067.36</v>
      </c>
      <c r="AM60" s="18">
        <v>61</v>
      </c>
      <c r="AN60" s="33">
        <v>718</v>
      </c>
      <c r="AO60" s="393">
        <v>-20474.150000000001</v>
      </c>
      <c r="AP60" s="35"/>
      <c r="AQ60" s="35">
        <v>-110.62</v>
      </c>
      <c r="AR60" s="35">
        <v>1</v>
      </c>
    </row>
    <row r="61" spans="1:44" x14ac:dyDescent="0.25">
      <c r="A61" s="383">
        <v>5490</v>
      </c>
      <c r="B61" s="367" t="s">
        <v>9</v>
      </c>
      <c r="C61" s="35">
        <v>546902.68000000005</v>
      </c>
      <c r="D61" s="35">
        <v>90187.75</v>
      </c>
      <c r="E61" s="397"/>
      <c r="F61" s="368"/>
      <c r="G61" s="368">
        <v>169.8</v>
      </c>
      <c r="H61" s="370">
        <v>178</v>
      </c>
      <c r="I61" s="368"/>
      <c r="J61" s="370">
        <v>2489.36</v>
      </c>
      <c r="K61" s="368"/>
      <c r="L61" s="370">
        <v>41796.449999999997</v>
      </c>
      <c r="M61" s="371">
        <f t="shared" si="0"/>
        <v>681724.04</v>
      </c>
      <c r="N61" s="35"/>
      <c r="O61" s="35"/>
      <c r="P61" s="35">
        <v>16025.35</v>
      </c>
      <c r="Q61" s="35"/>
      <c r="R61" s="35">
        <v>-2822.6</v>
      </c>
      <c r="S61" s="409"/>
      <c r="T61" s="35"/>
      <c r="U61" s="380">
        <v>1300</v>
      </c>
      <c r="V61" s="35"/>
      <c r="W61" s="393"/>
      <c r="X61" s="372">
        <f t="shared" si="1"/>
        <v>696226.79</v>
      </c>
      <c r="Y61" s="35">
        <v>3400</v>
      </c>
      <c r="Z61" s="380">
        <v>1500</v>
      </c>
      <c r="AA61" s="35">
        <v>10530</v>
      </c>
      <c r="AB61" s="380"/>
      <c r="AC61" s="35">
        <v>27984.95</v>
      </c>
      <c r="AD61" s="380">
        <v>8550</v>
      </c>
      <c r="AE61" s="35">
        <v>600</v>
      </c>
      <c r="AF61" s="380"/>
      <c r="AG61" s="35"/>
      <c r="AH61" s="380">
        <v>6066.2</v>
      </c>
      <c r="AI61" s="35"/>
      <c r="AJ61" s="380"/>
      <c r="AK61" s="35"/>
      <c r="AL61" s="403">
        <f t="shared" si="2"/>
        <v>58631.149999999994</v>
      </c>
      <c r="AM61" s="18">
        <v>81</v>
      </c>
      <c r="AN61" s="33">
        <v>316</v>
      </c>
      <c r="AO61" s="393">
        <v>-20303.77</v>
      </c>
      <c r="AP61" s="35"/>
      <c r="AQ61" s="35">
        <v>-77.66</v>
      </c>
      <c r="AR61" s="35">
        <v>1</v>
      </c>
    </row>
    <row r="62" spans="1:44" x14ac:dyDescent="0.25">
      <c r="A62" s="383">
        <v>5491</v>
      </c>
      <c r="B62" s="367" t="s">
        <v>169</v>
      </c>
      <c r="C62" s="35">
        <v>628317.93000000005</v>
      </c>
      <c r="D62" s="35">
        <v>97394.61</v>
      </c>
      <c r="E62" s="397"/>
      <c r="F62" s="368">
        <v>2210</v>
      </c>
      <c r="G62" s="368">
        <v>1882.35</v>
      </c>
      <c r="H62" s="370">
        <v>1046.7</v>
      </c>
      <c r="I62" s="368"/>
      <c r="J62" s="370">
        <v>10911.39</v>
      </c>
      <c r="K62" s="368">
        <v>518.25</v>
      </c>
      <c r="L62" s="370">
        <v>67375.850000000006</v>
      </c>
      <c r="M62" s="371">
        <f t="shared" si="0"/>
        <v>809657.08</v>
      </c>
      <c r="N62" s="35">
        <v>2655.6</v>
      </c>
      <c r="O62" s="35"/>
      <c r="P62" s="35">
        <v>33585.199999999997</v>
      </c>
      <c r="Q62" s="35">
        <v>270.54000000000002</v>
      </c>
      <c r="R62" s="35">
        <v>12264.35</v>
      </c>
      <c r="S62" s="409"/>
      <c r="T62" s="35"/>
      <c r="U62" s="380">
        <v>3850</v>
      </c>
      <c r="V62" s="35"/>
      <c r="W62" s="393"/>
      <c r="X62" s="372">
        <f t="shared" si="1"/>
        <v>862282.7699999999</v>
      </c>
      <c r="Y62" s="35">
        <v>57745.9</v>
      </c>
      <c r="Z62" s="380"/>
      <c r="AA62" s="35">
        <v>45235</v>
      </c>
      <c r="AB62" s="380"/>
      <c r="AC62" s="35">
        <v>35027</v>
      </c>
      <c r="AD62" s="380">
        <v>37303</v>
      </c>
      <c r="AE62" s="35"/>
      <c r="AF62" s="380"/>
      <c r="AG62" s="35"/>
      <c r="AH62" s="380">
        <v>13795.05</v>
      </c>
      <c r="AI62" s="35"/>
      <c r="AJ62" s="380"/>
      <c r="AK62" s="35"/>
      <c r="AL62" s="403">
        <f t="shared" si="2"/>
        <v>189105.94999999998</v>
      </c>
      <c r="AM62" s="18">
        <v>76</v>
      </c>
      <c r="AN62" s="33">
        <v>417</v>
      </c>
      <c r="AO62" s="393">
        <v>-9003.11</v>
      </c>
      <c r="AP62" s="35"/>
      <c r="AQ62" s="35">
        <v>0</v>
      </c>
      <c r="AR62" s="35">
        <v>1</v>
      </c>
    </row>
    <row r="63" spans="1:44" x14ac:dyDescent="0.25">
      <c r="A63" s="383">
        <v>5492</v>
      </c>
      <c r="B63" s="367" t="s">
        <v>170</v>
      </c>
      <c r="C63" s="35">
        <v>6362616.8499999996</v>
      </c>
      <c r="D63" s="35">
        <v>7565181.4699999997</v>
      </c>
      <c r="E63" s="397"/>
      <c r="F63" s="368"/>
      <c r="G63" s="368">
        <v>140530.20000000001</v>
      </c>
      <c r="H63" s="370">
        <v>1702.2</v>
      </c>
      <c r="I63" s="368"/>
      <c r="J63" s="370">
        <v>26178.76</v>
      </c>
      <c r="K63" s="368">
        <v>3439.95</v>
      </c>
      <c r="L63" s="370">
        <v>70097</v>
      </c>
      <c r="M63" s="371">
        <f t="shared" si="0"/>
        <v>14169746.429999998</v>
      </c>
      <c r="N63" s="35">
        <v>3107.05</v>
      </c>
      <c r="O63" s="35">
        <v>105271.8</v>
      </c>
      <c r="P63" s="35">
        <v>24403.599999999999</v>
      </c>
      <c r="Q63" s="35">
        <v>7974.71</v>
      </c>
      <c r="R63" s="35">
        <v>31716.75</v>
      </c>
      <c r="S63" s="409"/>
      <c r="T63" s="35"/>
      <c r="U63" s="380">
        <v>6180</v>
      </c>
      <c r="V63" s="35"/>
      <c r="W63" s="393"/>
      <c r="X63" s="372">
        <f t="shared" si="1"/>
        <v>14348400.34</v>
      </c>
      <c r="Y63" s="35">
        <v>16519.75</v>
      </c>
      <c r="Z63" s="380"/>
      <c r="AA63" s="35">
        <v>10230</v>
      </c>
      <c r="AB63" s="380"/>
      <c r="AC63" s="35">
        <v>31380</v>
      </c>
      <c r="AD63" s="380">
        <v>14229.75</v>
      </c>
      <c r="AE63" s="35"/>
      <c r="AF63" s="380"/>
      <c r="AG63" s="35"/>
      <c r="AH63" s="380">
        <v>29828.65</v>
      </c>
      <c r="AI63" s="35"/>
      <c r="AJ63" s="380"/>
      <c r="AK63" s="35"/>
      <c r="AL63" s="403">
        <f t="shared" si="2"/>
        <v>102188.15</v>
      </c>
      <c r="AM63" s="18">
        <v>64</v>
      </c>
      <c r="AN63" s="33">
        <v>986</v>
      </c>
      <c r="AO63" s="393">
        <v>-24262.1</v>
      </c>
      <c r="AP63" s="35"/>
      <c r="AQ63" s="35">
        <v>-1131.31</v>
      </c>
      <c r="AR63" s="35">
        <v>0.3</v>
      </c>
    </row>
    <row r="64" spans="1:44" x14ac:dyDescent="0.25">
      <c r="A64" s="383">
        <v>5493</v>
      </c>
      <c r="B64" s="367" t="s">
        <v>171</v>
      </c>
      <c r="C64" s="35">
        <v>556151.51</v>
      </c>
      <c r="D64" s="35">
        <v>68505.94</v>
      </c>
      <c r="E64" s="397"/>
      <c r="F64" s="368"/>
      <c r="G64" s="368">
        <v>3052.6</v>
      </c>
      <c r="H64" s="370">
        <v>407.3</v>
      </c>
      <c r="I64" s="368"/>
      <c r="J64" s="370">
        <v>30811.8</v>
      </c>
      <c r="K64" s="368">
        <v>133.75</v>
      </c>
      <c r="L64" s="370">
        <v>35468.949999999997</v>
      </c>
      <c r="M64" s="371">
        <f t="shared" si="0"/>
        <v>694531.85</v>
      </c>
      <c r="N64" s="35">
        <v>65376.6</v>
      </c>
      <c r="O64" s="35">
        <v>65378.6</v>
      </c>
      <c r="P64" s="35">
        <v>3014</v>
      </c>
      <c r="Q64" s="35">
        <v>33149.67</v>
      </c>
      <c r="R64" s="35">
        <v>3261.65</v>
      </c>
      <c r="S64" s="409"/>
      <c r="T64" s="35"/>
      <c r="U64" s="380">
        <v>1250</v>
      </c>
      <c r="V64" s="35"/>
      <c r="W64" s="393"/>
      <c r="X64" s="372">
        <f t="shared" si="1"/>
        <v>865962.37</v>
      </c>
      <c r="Y64" s="35">
        <v>60690.2</v>
      </c>
      <c r="Z64" s="380"/>
      <c r="AA64" s="35">
        <v>50696.85</v>
      </c>
      <c r="AB64" s="380"/>
      <c r="AC64" s="35">
        <v>21125.15</v>
      </c>
      <c r="AD64" s="380"/>
      <c r="AE64" s="35"/>
      <c r="AF64" s="380"/>
      <c r="AG64" s="35"/>
      <c r="AH64" s="380"/>
      <c r="AI64" s="35"/>
      <c r="AJ64" s="380"/>
      <c r="AK64" s="35"/>
      <c r="AL64" s="403">
        <f t="shared" si="2"/>
        <v>132512.19999999998</v>
      </c>
      <c r="AM64" s="18">
        <v>73</v>
      </c>
      <c r="AN64" s="33">
        <v>356</v>
      </c>
      <c r="AO64" s="393">
        <v>-23831.54</v>
      </c>
      <c r="AP64" s="35"/>
      <c r="AQ64" s="35">
        <v>0</v>
      </c>
      <c r="AR64" s="35">
        <v>0.65</v>
      </c>
    </row>
    <row r="65" spans="1:44" x14ac:dyDescent="0.25">
      <c r="A65" s="383">
        <v>5494</v>
      </c>
      <c r="B65" s="367" t="s">
        <v>172</v>
      </c>
      <c r="C65" s="35">
        <v>2264849.9500000002</v>
      </c>
      <c r="D65" s="35">
        <v>229148.99</v>
      </c>
      <c r="E65" s="397"/>
      <c r="F65" s="368"/>
      <c r="G65" s="368">
        <v>41623.550000000003</v>
      </c>
      <c r="H65" s="370">
        <v>1161.2</v>
      </c>
      <c r="I65" s="368"/>
      <c r="J65" s="370">
        <v>76473.31</v>
      </c>
      <c r="K65" s="368">
        <v>1185.6500000000001</v>
      </c>
      <c r="L65" s="370">
        <v>225037.25</v>
      </c>
      <c r="M65" s="371">
        <f t="shared" si="0"/>
        <v>2839479.9000000004</v>
      </c>
      <c r="N65" s="35">
        <v>37615.550000000003</v>
      </c>
      <c r="O65" s="35"/>
      <c r="P65" s="35">
        <v>33154</v>
      </c>
      <c r="Q65" s="35">
        <v>14133.46</v>
      </c>
      <c r="R65" s="35">
        <v>3585.65</v>
      </c>
      <c r="S65" s="409">
        <v>200</v>
      </c>
      <c r="T65" s="35">
        <v>3880.65</v>
      </c>
      <c r="U65" s="380">
        <v>6600</v>
      </c>
      <c r="V65" s="35"/>
      <c r="W65" s="393"/>
      <c r="X65" s="372">
        <f t="shared" si="1"/>
        <v>2938649.21</v>
      </c>
      <c r="Y65" s="35">
        <v>112069.21</v>
      </c>
      <c r="Z65" s="380"/>
      <c r="AA65" s="35">
        <v>148795.19</v>
      </c>
      <c r="AB65" s="380"/>
      <c r="AC65" s="35">
        <v>120884.13</v>
      </c>
      <c r="AD65" s="380">
        <v>91511.22</v>
      </c>
      <c r="AE65" s="35"/>
      <c r="AF65" s="380"/>
      <c r="AG65" s="35"/>
      <c r="AH65" s="380"/>
      <c r="AI65" s="35"/>
      <c r="AJ65" s="380"/>
      <c r="AK65" s="35"/>
      <c r="AL65" s="403">
        <f t="shared" si="2"/>
        <v>473259.75</v>
      </c>
      <c r="AM65" s="18">
        <v>75</v>
      </c>
      <c r="AN65" s="33">
        <v>1124</v>
      </c>
      <c r="AO65" s="393">
        <v>-52673.67</v>
      </c>
      <c r="AP65" s="35"/>
      <c r="AQ65" s="35">
        <v>-158.27000000000001</v>
      </c>
      <c r="AR65" s="35">
        <v>1.05</v>
      </c>
    </row>
    <row r="66" spans="1:44" x14ac:dyDescent="0.25">
      <c r="A66" s="383">
        <v>5495</v>
      </c>
      <c r="B66" s="367" t="s">
        <v>173</v>
      </c>
      <c r="C66" s="35">
        <v>5453611.0800000001</v>
      </c>
      <c r="D66" s="35">
        <v>519184.46</v>
      </c>
      <c r="E66" s="397"/>
      <c r="F66" s="368"/>
      <c r="G66" s="368">
        <v>154591.1</v>
      </c>
      <c r="H66" s="370">
        <v>-221.15</v>
      </c>
      <c r="I66" s="368">
        <v>77536.600000000006</v>
      </c>
      <c r="J66" s="370">
        <v>214964.94</v>
      </c>
      <c r="K66" s="368">
        <v>89743</v>
      </c>
      <c r="L66" s="370">
        <v>494298.95</v>
      </c>
      <c r="M66" s="371">
        <f t="shared" si="0"/>
        <v>7003708.9799999995</v>
      </c>
      <c r="N66" s="35">
        <v>175056.8</v>
      </c>
      <c r="O66" s="35">
        <v>159664.35</v>
      </c>
      <c r="P66" s="35">
        <v>323392.75</v>
      </c>
      <c r="Q66" s="35">
        <v>41109.46</v>
      </c>
      <c r="R66" s="35">
        <v>170764.65</v>
      </c>
      <c r="S66" s="409"/>
      <c r="T66" s="35"/>
      <c r="U66" s="380">
        <v>11640</v>
      </c>
      <c r="V66" s="35"/>
      <c r="W66" s="393"/>
      <c r="X66" s="372">
        <f t="shared" si="1"/>
        <v>7885336.9899999993</v>
      </c>
      <c r="Y66" s="35">
        <v>-21078.5</v>
      </c>
      <c r="Z66" s="380"/>
      <c r="AA66" s="35">
        <v>84266.65</v>
      </c>
      <c r="AB66" s="380">
        <v>495588.25</v>
      </c>
      <c r="AC66" s="35">
        <v>307078.84999999998</v>
      </c>
      <c r="AD66" s="380">
        <v>-28830.5</v>
      </c>
      <c r="AE66" s="35"/>
      <c r="AF66" s="380"/>
      <c r="AG66" s="35"/>
      <c r="AH66" s="380"/>
      <c r="AI66" s="35"/>
      <c r="AJ66" s="380"/>
      <c r="AK66" s="35"/>
      <c r="AL66" s="403">
        <f t="shared" si="2"/>
        <v>837024.75</v>
      </c>
      <c r="AM66" s="18">
        <v>74</v>
      </c>
      <c r="AN66" s="33">
        <v>3282</v>
      </c>
      <c r="AO66" s="393">
        <v>-123470.05</v>
      </c>
      <c r="AP66" s="35"/>
      <c r="AQ66" s="35">
        <v>-201.39</v>
      </c>
      <c r="AR66" s="35">
        <v>1</v>
      </c>
    </row>
    <row r="67" spans="1:44" x14ac:dyDescent="0.25">
      <c r="A67" s="383">
        <v>5496</v>
      </c>
      <c r="B67" s="367" t="s">
        <v>174</v>
      </c>
      <c r="C67" s="35">
        <v>3158739.98</v>
      </c>
      <c r="D67" s="35">
        <v>322153.09000000003</v>
      </c>
      <c r="E67" s="397"/>
      <c r="F67" s="368"/>
      <c r="G67" s="368">
        <v>129326.9</v>
      </c>
      <c r="H67" s="370">
        <v>9239.2000000000007</v>
      </c>
      <c r="I67" s="368"/>
      <c r="J67" s="370">
        <v>67680.22</v>
      </c>
      <c r="K67" s="368">
        <v>14584.2</v>
      </c>
      <c r="L67" s="370">
        <v>294067.7</v>
      </c>
      <c r="M67" s="371">
        <f t="shared" si="0"/>
        <v>3995791.2900000005</v>
      </c>
      <c r="N67" s="35">
        <v>97292.1</v>
      </c>
      <c r="O67" s="35"/>
      <c r="P67" s="35">
        <v>169655.55</v>
      </c>
      <c r="Q67" s="35">
        <v>1882.93</v>
      </c>
      <c r="R67" s="35">
        <v>62488.3</v>
      </c>
      <c r="S67" s="409">
        <v>250</v>
      </c>
      <c r="T67" s="35">
        <v>7147.45</v>
      </c>
      <c r="U67" s="380">
        <v>13450</v>
      </c>
      <c r="V67" s="35"/>
      <c r="W67" s="393"/>
      <c r="X67" s="372">
        <f t="shared" si="1"/>
        <v>4347957.62</v>
      </c>
      <c r="Y67" s="35">
        <v>56623.7</v>
      </c>
      <c r="Z67" s="380"/>
      <c r="AA67" s="35"/>
      <c r="AB67" s="380">
        <v>222603.3</v>
      </c>
      <c r="AC67" s="35">
        <v>125840</v>
      </c>
      <c r="AD67" s="380">
        <v>57737.5</v>
      </c>
      <c r="AE67" s="35"/>
      <c r="AF67" s="380"/>
      <c r="AG67" s="35">
        <v>2381.4</v>
      </c>
      <c r="AH67" s="380">
        <v>48179.6</v>
      </c>
      <c r="AI67" s="35"/>
      <c r="AJ67" s="380"/>
      <c r="AK67" s="35"/>
      <c r="AL67" s="403">
        <f t="shared" si="2"/>
        <v>513365.5</v>
      </c>
      <c r="AM67" s="18">
        <v>71</v>
      </c>
      <c r="AN67" s="33">
        <v>1726</v>
      </c>
      <c r="AO67" s="393">
        <v>-66456.3</v>
      </c>
      <c r="AP67" s="35"/>
      <c r="AQ67" s="35">
        <v>-361.15</v>
      </c>
      <c r="AR67" s="35">
        <v>1</v>
      </c>
    </row>
    <row r="68" spans="1:44" x14ac:dyDescent="0.25">
      <c r="A68" s="383">
        <v>5497</v>
      </c>
      <c r="B68" s="367" t="s">
        <v>175</v>
      </c>
      <c r="C68" s="35">
        <v>1143312.6499999999</v>
      </c>
      <c r="D68" s="35">
        <v>121544.07</v>
      </c>
      <c r="E68" s="397"/>
      <c r="F68" s="368"/>
      <c r="G68" s="368">
        <v>7934.25</v>
      </c>
      <c r="H68" s="370">
        <v>284.89999999999998</v>
      </c>
      <c r="I68" s="368"/>
      <c r="J68" s="370">
        <v>61393.86</v>
      </c>
      <c r="K68" s="368">
        <v>3137</v>
      </c>
      <c r="L68" s="370">
        <v>112734.1</v>
      </c>
      <c r="M68" s="371">
        <f t="shared" si="0"/>
        <v>1450340.83</v>
      </c>
      <c r="N68" s="35">
        <v>241839.6</v>
      </c>
      <c r="O68" s="35">
        <v>219813.1</v>
      </c>
      <c r="P68" s="35">
        <v>102092.1</v>
      </c>
      <c r="Q68" s="35">
        <v>1962.3</v>
      </c>
      <c r="R68" s="35">
        <v>36343.199999999997</v>
      </c>
      <c r="S68" s="409"/>
      <c r="T68" s="35"/>
      <c r="U68" s="380">
        <v>2575</v>
      </c>
      <c r="V68" s="35"/>
      <c r="W68" s="393"/>
      <c r="X68" s="372">
        <f t="shared" si="1"/>
        <v>2054966.1300000004</v>
      </c>
      <c r="Y68" s="35">
        <v>17619.55</v>
      </c>
      <c r="Z68" s="380"/>
      <c r="AA68" s="35">
        <v>86438.75</v>
      </c>
      <c r="AB68" s="380"/>
      <c r="AC68" s="35">
        <v>91561.600000000006</v>
      </c>
      <c r="AD68" s="380"/>
      <c r="AE68" s="35"/>
      <c r="AF68" s="380"/>
      <c r="AG68" s="35"/>
      <c r="AH68" s="380">
        <v>30793.3</v>
      </c>
      <c r="AI68" s="35"/>
      <c r="AJ68" s="380"/>
      <c r="AK68" s="35"/>
      <c r="AL68" s="403">
        <f t="shared" si="2"/>
        <v>226413.2</v>
      </c>
      <c r="AM68" s="18">
        <v>66</v>
      </c>
      <c r="AN68" s="33">
        <v>854</v>
      </c>
      <c r="AO68" s="393">
        <v>-16392.759999999998</v>
      </c>
      <c r="AP68" s="35"/>
      <c r="AQ68" s="35">
        <v>-3.03</v>
      </c>
      <c r="AR68" s="35">
        <v>1</v>
      </c>
    </row>
    <row r="69" spans="1:44" x14ac:dyDescent="0.25">
      <c r="A69" s="383">
        <v>5498</v>
      </c>
      <c r="B69" s="367" t="s">
        <v>176</v>
      </c>
      <c r="C69" s="35">
        <v>3766288.17</v>
      </c>
      <c r="D69" s="35">
        <v>408426.47</v>
      </c>
      <c r="E69" s="397"/>
      <c r="F69" s="368"/>
      <c r="G69" s="368">
        <v>160826.4</v>
      </c>
      <c r="H69" s="370">
        <v>880.55</v>
      </c>
      <c r="I69" s="368"/>
      <c r="J69" s="370">
        <v>97882.77</v>
      </c>
      <c r="K69" s="368">
        <v>11990.15</v>
      </c>
      <c r="L69" s="370">
        <v>380916.05</v>
      </c>
      <c r="M69" s="371">
        <f t="shared" si="0"/>
        <v>4827210.5599999996</v>
      </c>
      <c r="N69" s="35">
        <v>66652.55</v>
      </c>
      <c r="O69" s="35">
        <v>493460.3</v>
      </c>
      <c r="P69" s="35">
        <v>226173.75</v>
      </c>
      <c r="Q69" s="35">
        <v>60865.43</v>
      </c>
      <c r="R69" s="35">
        <v>103377.75</v>
      </c>
      <c r="S69" s="409">
        <v>11199</v>
      </c>
      <c r="T69" s="35"/>
      <c r="U69" s="380">
        <v>18790</v>
      </c>
      <c r="V69" s="35"/>
      <c r="W69" s="393"/>
      <c r="X69" s="372">
        <f t="shared" si="1"/>
        <v>5807729.3399999989</v>
      </c>
      <c r="Y69" s="35">
        <v>14604.75</v>
      </c>
      <c r="Z69" s="380"/>
      <c r="AA69" s="35">
        <v>457275.95</v>
      </c>
      <c r="AB69" s="380"/>
      <c r="AC69" s="35">
        <v>281238.5</v>
      </c>
      <c r="AD69" s="380"/>
      <c r="AE69" s="35"/>
      <c r="AF69" s="380"/>
      <c r="AG69" s="35"/>
      <c r="AH69" s="380"/>
      <c r="AI69" s="35"/>
      <c r="AJ69" s="380"/>
      <c r="AK69" s="35"/>
      <c r="AL69" s="403">
        <f t="shared" si="2"/>
        <v>753119.2</v>
      </c>
      <c r="AM69" s="18">
        <v>66</v>
      </c>
      <c r="AN69" s="33">
        <v>2609</v>
      </c>
      <c r="AO69" s="393">
        <v>-144753.57</v>
      </c>
      <c r="AP69" s="35"/>
      <c r="AQ69" s="35">
        <v>-118.26</v>
      </c>
      <c r="AR69" s="35">
        <v>1</v>
      </c>
    </row>
    <row r="70" spans="1:44" x14ac:dyDescent="0.25">
      <c r="A70" s="383">
        <v>5499</v>
      </c>
      <c r="B70" s="367" t="s">
        <v>177</v>
      </c>
      <c r="C70" s="35">
        <v>1119060.27</v>
      </c>
      <c r="D70" s="35">
        <v>129970.77</v>
      </c>
      <c r="E70" s="397"/>
      <c r="F70" s="368"/>
      <c r="G70" s="368">
        <v>18664.599999999999</v>
      </c>
      <c r="H70" s="370">
        <v>674.8</v>
      </c>
      <c r="I70" s="368"/>
      <c r="J70" s="370">
        <v>29859.84</v>
      </c>
      <c r="K70" s="368"/>
      <c r="L70" s="370">
        <v>89021.8</v>
      </c>
      <c r="M70" s="371">
        <f t="shared" si="0"/>
        <v>1387252.0800000003</v>
      </c>
      <c r="N70" s="35">
        <v>17109.55</v>
      </c>
      <c r="O70" s="35">
        <v>219402.3</v>
      </c>
      <c r="P70" s="35">
        <v>91685</v>
      </c>
      <c r="Q70" s="35">
        <v>628.92999999999995</v>
      </c>
      <c r="R70" s="35">
        <v>33533.300000000003</v>
      </c>
      <c r="S70" s="409"/>
      <c r="T70" s="35">
        <v>200</v>
      </c>
      <c r="U70" s="380">
        <v>825</v>
      </c>
      <c r="V70" s="35"/>
      <c r="W70" s="393"/>
      <c r="X70" s="372">
        <f t="shared" si="1"/>
        <v>1750636.1600000004</v>
      </c>
      <c r="Y70" s="35">
        <v>2587.1999999999998</v>
      </c>
      <c r="Z70" s="380"/>
      <c r="AA70" s="35">
        <v>34620</v>
      </c>
      <c r="AB70" s="380"/>
      <c r="AC70" s="35">
        <v>41991.6</v>
      </c>
      <c r="AD70" s="380">
        <v>2587.1999999999998</v>
      </c>
      <c r="AE70" s="35"/>
      <c r="AF70" s="380"/>
      <c r="AG70" s="35"/>
      <c r="AH70" s="380"/>
      <c r="AI70" s="35"/>
      <c r="AJ70" s="380"/>
      <c r="AK70" s="35"/>
      <c r="AL70" s="403">
        <f t="shared" si="2"/>
        <v>81785.999999999985</v>
      </c>
      <c r="AM70" s="18">
        <v>68.5</v>
      </c>
      <c r="AN70" s="33">
        <v>505</v>
      </c>
      <c r="AO70" s="393">
        <v>-731.73</v>
      </c>
      <c r="AP70" s="35"/>
      <c r="AQ70" s="35">
        <v>-187.15</v>
      </c>
      <c r="AR70" s="35">
        <v>1</v>
      </c>
    </row>
    <row r="71" spans="1:44" x14ac:dyDescent="0.25">
      <c r="A71" s="383">
        <v>5500</v>
      </c>
      <c r="B71" s="367" t="s">
        <v>178</v>
      </c>
      <c r="C71" s="35">
        <v>468653.12</v>
      </c>
      <c r="D71" s="35">
        <v>156533.9</v>
      </c>
      <c r="E71" s="397"/>
      <c r="F71" s="368"/>
      <c r="G71" s="368">
        <v>4899.45</v>
      </c>
      <c r="H71" s="370">
        <v>289.25</v>
      </c>
      <c r="I71" s="368"/>
      <c r="J71" s="370">
        <v>1890.95</v>
      </c>
      <c r="K71" s="368">
        <v>153.94999999999999</v>
      </c>
      <c r="L71" s="370">
        <v>48305.3</v>
      </c>
      <c r="M71" s="371">
        <f t="shared" si="0"/>
        <v>680725.91999999993</v>
      </c>
      <c r="N71" s="35">
        <v>3276.4</v>
      </c>
      <c r="O71" s="35"/>
      <c r="P71" s="35">
        <v>20207</v>
      </c>
      <c r="Q71" s="35">
        <v>5209.04</v>
      </c>
      <c r="R71" s="35">
        <v>10649.25</v>
      </c>
      <c r="S71" s="409"/>
      <c r="T71" s="35">
        <v>228.85</v>
      </c>
      <c r="U71" s="380">
        <v>1750</v>
      </c>
      <c r="V71" s="35"/>
      <c r="W71" s="393"/>
      <c r="X71" s="372">
        <f t="shared" si="1"/>
        <v>722046.46</v>
      </c>
      <c r="Y71" s="35">
        <v>2851.42</v>
      </c>
      <c r="Z71" s="380"/>
      <c r="AA71" s="35">
        <v>26558.2</v>
      </c>
      <c r="AB71" s="380"/>
      <c r="AC71" s="35">
        <v>21459.05</v>
      </c>
      <c r="AD71" s="380">
        <v>1555.33</v>
      </c>
      <c r="AE71" s="35"/>
      <c r="AF71" s="380"/>
      <c r="AG71" s="35"/>
      <c r="AH71" s="380"/>
      <c r="AI71" s="35"/>
      <c r="AJ71" s="380"/>
      <c r="AK71" s="35"/>
      <c r="AL71" s="403">
        <f t="shared" si="2"/>
        <v>52424</v>
      </c>
      <c r="AM71" s="18">
        <v>75</v>
      </c>
      <c r="AN71" s="33">
        <v>233</v>
      </c>
      <c r="AO71" s="393">
        <v>-3626.87</v>
      </c>
      <c r="AP71" s="35"/>
      <c r="AQ71" s="35">
        <v>-2785.17</v>
      </c>
      <c r="AR71" s="35">
        <v>1.2</v>
      </c>
    </row>
    <row r="72" spans="1:44" x14ac:dyDescent="0.25">
      <c r="A72" s="383">
        <v>5501</v>
      </c>
      <c r="B72" s="367" t="s">
        <v>179</v>
      </c>
      <c r="C72" s="35">
        <v>1799291.37</v>
      </c>
      <c r="D72" s="35">
        <v>289998.55</v>
      </c>
      <c r="E72" s="397"/>
      <c r="F72" s="368"/>
      <c r="G72" s="368">
        <v>47876.35</v>
      </c>
      <c r="H72" s="370">
        <v>804.45</v>
      </c>
      <c r="I72" s="368">
        <v>38474.65</v>
      </c>
      <c r="J72" s="370">
        <v>46297.19</v>
      </c>
      <c r="K72" s="368"/>
      <c r="L72" s="370">
        <v>209166.45</v>
      </c>
      <c r="M72" s="371">
        <f t="shared" ref="M72:M135" si="3">SUM(C72:L72)</f>
        <v>2431909.0100000002</v>
      </c>
      <c r="N72" s="35">
        <v>62.3</v>
      </c>
      <c r="O72" s="35">
        <v>19752.2</v>
      </c>
      <c r="P72" s="35">
        <v>72985</v>
      </c>
      <c r="Q72" s="35">
        <v>-1881.88</v>
      </c>
      <c r="R72" s="35">
        <v>88206.85</v>
      </c>
      <c r="S72" s="409"/>
      <c r="T72" s="35"/>
      <c r="U72" s="380">
        <v>3100</v>
      </c>
      <c r="V72" s="35"/>
      <c r="W72" s="393"/>
      <c r="X72" s="372">
        <f t="shared" ref="X72:X135" si="4">SUM(M72:W72)</f>
        <v>2614133.4800000004</v>
      </c>
      <c r="Y72" s="35">
        <v>112792</v>
      </c>
      <c r="Z72" s="380">
        <v>1479</v>
      </c>
      <c r="AA72" s="35">
        <v>126649.8</v>
      </c>
      <c r="AB72" s="380"/>
      <c r="AC72" s="35">
        <v>108297.05</v>
      </c>
      <c r="AD72" s="380">
        <v>149859</v>
      </c>
      <c r="AE72" s="35">
        <v>1235.4000000000001</v>
      </c>
      <c r="AF72" s="380"/>
      <c r="AG72" s="35"/>
      <c r="AH72" s="380"/>
      <c r="AI72" s="35"/>
      <c r="AJ72" s="380"/>
      <c r="AK72" s="35"/>
      <c r="AL72" s="403">
        <f t="shared" ref="AL72:AL135" si="5">SUM(Y72:AK72)</f>
        <v>500312.25</v>
      </c>
      <c r="AM72" s="18">
        <v>70</v>
      </c>
      <c r="AN72" s="33">
        <v>1005</v>
      </c>
      <c r="AO72" s="393">
        <v>-13526.11</v>
      </c>
      <c r="AP72" s="35"/>
      <c r="AQ72" s="35">
        <v>-738.64</v>
      </c>
      <c r="AR72" s="35">
        <v>1</v>
      </c>
    </row>
    <row r="73" spans="1:44" x14ac:dyDescent="0.25">
      <c r="A73" s="383">
        <v>5503</v>
      </c>
      <c r="B73" s="367" t="s">
        <v>180</v>
      </c>
      <c r="C73" s="35">
        <v>2969120.44</v>
      </c>
      <c r="D73" s="35">
        <v>486087.66</v>
      </c>
      <c r="E73" s="397"/>
      <c r="F73" s="368"/>
      <c r="G73" s="368">
        <v>739864.5</v>
      </c>
      <c r="H73" s="370">
        <v>-5160.5</v>
      </c>
      <c r="I73" s="368"/>
      <c r="J73" s="370">
        <v>128569.27</v>
      </c>
      <c r="K73" s="368">
        <v>-6136.15</v>
      </c>
      <c r="L73" s="370">
        <v>399597.7</v>
      </c>
      <c r="M73" s="371">
        <f t="shared" si="3"/>
        <v>4711942.919999999</v>
      </c>
      <c r="N73" s="35">
        <v>101099.1</v>
      </c>
      <c r="O73" s="35">
        <v>3019</v>
      </c>
      <c r="P73" s="35">
        <v>77268.3</v>
      </c>
      <c r="Q73" s="35">
        <v>13016.97</v>
      </c>
      <c r="R73" s="35">
        <v>144206.95000000001</v>
      </c>
      <c r="S73" s="409"/>
      <c r="T73" s="35"/>
      <c r="U73" s="380">
        <v>5800</v>
      </c>
      <c r="V73" s="35"/>
      <c r="W73" s="393"/>
      <c r="X73" s="372">
        <f t="shared" si="4"/>
        <v>5056353.2399999984</v>
      </c>
      <c r="Y73" s="35">
        <v>46003.35</v>
      </c>
      <c r="Z73" s="380"/>
      <c r="AA73" s="35">
        <v>201033.95</v>
      </c>
      <c r="AB73" s="380"/>
      <c r="AC73" s="35">
        <v>146403.35</v>
      </c>
      <c r="AD73" s="380">
        <v>199575.4</v>
      </c>
      <c r="AE73" s="35"/>
      <c r="AF73" s="380"/>
      <c r="AG73" s="35"/>
      <c r="AH73" s="380"/>
      <c r="AI73" s="35"/>
      <c r="AJ73" s="380"/>
      <c r="AK73" s="35"/>
      <c r="AL73" s="403">
        <f t="shared" si="5"/>
        <v>593016.05000000005</v>
      </c>
      <c r="AM73" s="18">
        <v>67</v>
      </c>
      <c r="AN73" s="33">
        <v>1284</v>
      </c>
      <c r="AO73" s="393">
        <v>-2473.87</v>
      </c>
      <c r="AP73" s="35"/>
      <c r="AQ73" s="35">
        <v>-148.18</v>
      </c>
      <c r="AR73" s="35">
        <v>1.2</v>
      </c>
    </row>
    <row r="74" spans="1:44" x14ac:dyDescent="0.25">
      <c r="A74" s="383">
        <v>5511</v>
      </c>
      <c r="B74" s="367" t="s">
        <v>181</v>
      </c>
      <c r="C74" s="35">
        <v>2679710.31</v>
      </c>
      <c r="D74" s="35">
        <v>298995.09999999998</v>
      </c>
      <c r="E74" s="397"/>
      <c r="F74" s="368"/>
      <c r="G74" s="368">
        <v>288037.40000000002</v>
      </c>
      <c r="H74" s="370">
        <v>1266.4000000000001</v>
      </c>
      <c r="I74" s="368"/>
      <c r="J74" s="370">
        <v>16704.32</v>
      </c>
      <c r="K74" s="368">
        <v>775.3</v>
      </c>
      <c r="L74" s="370">
        <v>222168.85</v>
      </c>
      <c r="M74" s="371">
        <f t="shared" si="3"/>
        <v>3507657.6799999997</v>
      </c>
      <c r="N74" s="35">
        <v>15581.15</v>
      </c>
      <c r="O74" s="35"/>
      <c r="P74" s="35">
        <v>54389.5</v>
      </c>
      <c r="Q74" s="35"/>
      <c r="R74" s="35">
        <v>25055.599999999999</v>
      </c>
      <c r="S74" s="409"/>
      <c r="T74" s="35">
        <v>8073.5</v>
      </c>
      <c r="U74" s="380">
        <v>11400</v>
      </c>
      <c r="V74" s="35"/>
      <c r="W74" s="393"/>
      <c r="X74" s="372">
        <f t="shared" si="4"/>
        <v>3622157.4299999997</v>
      </c>
      <c r="Y74" s="35">
        <v>82182.600000000006</v>
      </c>
      <c r="Z74" s="380"/>
      <c r="AA74" s="35">
        <v>248126</v>
      </c>
      <c r="AB74" s="380"/>
      <c r="AC74" s="35">
        <v>119379.35</v>
      </c>
      <c r="AD74" s="380">
        <v>89236.55</v>
      </c>
      <c r="AE74" s="35"/>
      <c r="AF74" s="380"/>
      <c r="AG74" s="35"/>
      <c r="AH74" s="380">
        <v>25927.95</v>
      </c>
      <c r="AI74" s="35"/>
      <c r="AJ74" s="380"/>
      <c r="AK74" s="35"/>
      <c r="AL74" s="403">
        <f t="shared" si="5"/>
        <v>564852.44999999995</v>
      </c>
      <c r="AM74" s="18">
        <v>70</v>
      </c>
      <c r="AN74" s="33">
        <v>1070</v>
      </c>
      <c r="AO74" s="393">
        <v>-27752.29</v>
      </c>
      <c r="AP74" s="35"/>
      <c r="AQ74" s="35">
        <v>-10194.09</v>
      </c>
      <c r="AR74" s="35">
        <v>1</v>
      </c>
    </row>
    <row r="75" spans="1:44" x14ac:dyDescent="0.25">
      <c r="A75" s="383">
        <v>5512</v>
      </c>
      <c r="B75" s="367" t="s">
        <v>182</v>
      </c>
      <c r="C75" s="35">
        <v>2236364.15</v>
      </c>
      <c r="D75" s="35">
        <v>392212.08</v>
      </c>
      <c r="E75" s="397"/>
      <c r="F75" s="368"/>
      <c r="G75" s="368">
        <v>127196.35</v>
      </c>
      <c r="H75" s="370">
        <v>521.45000000000005</v>
      </c>
      <c r="I75" s="368"/>
      <c r="J75" s="370">
        <v>66454.080000000002</v>
      </c>
      <c r="K75" s="368">
        <v>-21.6999999999998</v>
      </c>
      <c r="L75" s="370">
        <v>229385.05</v>
      </c>
      <c r="M75" s="371">
        <f t="shared" si="3"/>
        <v>3052111.46</v>
      </c>
      <c r="N75" s="35">
        <v>24678.6</v>
      </c>
      <c r="O75" s="35">
        <v>82469.5</v>
      </c>
      <c r="P75" s="35">
        <v>78988.850000000006</v>
      </c>
      <c r="Q75" s="35">
        <v>14432.19</v>
      </c>
      <c r="R75" s="35">
        <v>63480.2</v>
      </c>
      <c r="S75" s="409">
        <v>7188.6</v>
      </c>
      <c r="T75" s="35"/>
      <c r="U75" s="380">
        <v>7650</v>
      </c>
      <c r="V75" s="35"/>
      <c r="W75" s="393"/>
      <c r="X75" s="372">
        <f t="shared" si="4"/>
        <v>3330999.4000000004</v>
      </c>
      <c r="Y75" s="35">
        <v>49398.1</v>
      </c>
      <c r="Z75" s="380"/>
      <c r="AA75" s="35">
        <v>385266.15</v>
      </c>
      <c r="AB75" s="380"/>
      <c r="AC75" s="35">
        <v>143954.57</v>
      </c>
      <c r="AD75" s="380">
        <v>52048.75</v>
      </c>
      <c r="AE75" s="35"/>
      <c r="AF75" s="380"/>
      <c r="AG75" s="35"/>
      <c r="AH75" s="380"/>
      <c r="AI75" s="35"/>
      <c r="AJ75" s="380"/>
      <c r="AK75" s="35"/>
      <c r="AL75" s="403">
        <f t="shared" si="5"/>
        <v>630667.57000000007</v>
      </c>
      <c r="AM75" s="18">
        <v>79</v>
      </c>
      <c r="AN75" s="33">
        <v>1221</v>
      </c>
      <c r="AO75" s="393">
        <v>-41053.599999999999</v>
      </c>
      <c r="AP75" s="35"/>
      <c r="AQ75" s="35">
        <v>-103.69</v>
      </c>
      <c r="AR75" s="35">
        <v>1</v>
      </c>
    </row>
    <row r="76" spans="1:44" x14ac:dyDescent="0.25">
      <c r="A76" s="383">
        <v>5513</v>
      </c>
      <c r="B76" s="367" t="s">
        <v>183</v>
      </c>
      <c r="C76" s="35">
        <v>887890.48</v>
      </c>
      <c r="D76" s="35">
        <v>82286.5</v>
      </c>
      <c r="E76" s="397"/>
      <c r="F76" s="368"/>
      <c r="G76" s="368">
        <v>438964.4</v>
      </c>
      <c r="H76" s="370">
        <v>10696.4</v>
      </c>
      <c r="I76" s="368"/>
      <c r="J76" s="370">
        <v>57238.25</v>
      </c>
      <c r="K76" s="368">
        <v>367</v>
      </c>
      <c r="L76" s="370">
        <v>51871.199999999997</v>
      </c>
      <c r="M76" s="371">
        <f t="shared" si="3"/>
        <v>1529314.2299999997</v>
      </c>
      <c r="N76" s="35">
        <v>94419.55</v>
      </c>
      <c r="O76" s="35">
        <v>266532.7</v>
      </c>
      <c r="P76" s="35">
        <v>69124</v>
      </c>
      <c r="Q76" s="35">
        <v>2822.24</v>
      </c>
      <c r="R76" s="35">
        <v>35135.85</v>
      </c>
      <c r="S76" s="409"/>
      <c r="T76" s="35">
        <v>896</v>
      </c>
      <c r="U76" s="380">
        <v>5250</v>
      </c>
      <c r="V76" s="35"/>
      <c r="W76" s="393"/>
      <c r="X76" s="372">
        <f t="shared" si="4"/>
        <v>2003494.5699999998</v>
      </c>
      <c r="Y76" s="35">
        <v>45961.85</v>
      </c>
      <c r="Z76" s="380"/>
      <c r="AA76" s="35">
        <v>65966.75</v>
      </c>
      <c r="AB76" s="380"/>
      <c r="AC76" s="35">
        <v>38839.199999999997</v>
      </c>
      <c r="AD76" s="380">
        <v>35186.199999999997</v>
      </c>
      <c r="AE76" s="35"/>
      <c r="AF76" s="380"/>
      <c r="AG76" s="35"/>
      <c r="AH76" s="380"/>
      <c r="AI76" s="35"/>
      <c r="AJ76" s="380"/>
      <c r="AK76" s="35"/>
      <c r="AL76" s="403">
        <f t="shared" si="5"/>
        <v>185954</v>
      </c>
      <c r="AM76" s="18">
        <v>68</v>
      </c>
      <c r="AN76" s="33">
        <v>499</v>
      </c>
      <c r="AO76" s="393">
        <v>-2253.0100000000002</v>
      </c>
      <c r="AP76" s="35"/>
      <c r="AQ76" s="35">
        <v>-0.03</v>
      </c>
      <c r="AR76" s="35">
        <v>0.5</v>
      </c>
    </row>
    <row r="77" spans="1:44" x14ac:dyDescent="0.25">
      <c r="A77" s="383">
        <v>5514</v>
      </c>
      <c r="B77" s="367" t="s">
        <v>184</v>
      </c>
      <c r="C77" s="35">
        <v>2227455.5499999998</v>
      </c>
      <c r="D77" s="35">
        <v>261672.98</v>
      </c>
      <c r="E77" s="397"/>
      <c r="F77" s="368"/>
      <c r="G77" s="368">
        <v>28158.85</v>
      </c>
      <c r="H77" s="370">
        <v>7161.65</v>
      </c>
      <c r="I77" s="368">
        <v>34069.5</v>
      </c>
      <c r="J77" s="370">
        <v>74958.11</v>
      </c>
      <c r="K77" s="368">
        <v>6533</v>
      </c>
      <c r="L77" s="370">
        <v>208983.95</v>
      </c>
      <c r="M77" s="371">
        <f t="shared" si="3"/>
        <v>2848993.59</v>
      </c>
      <c r="N77" s="35">
        <v>8743.1</v>
      </c>
      <c r="O77" s="35">
        <v>34382.5</v>
      </c>
      <c r="P77" s="35">
        <v>41746.199999999997</v>
      </c>
      <c r="Q77" s="35">
        <v>2673.4</v>
      </c>
      <c r="R77" s="35">
        <v>43207.35</v>
      </c>
      <c r="S77" s="409"/>
      <c r="T77" s="35">
        <v>2004.3</v>
      </c>
      <c r="U77" s="380">
        <v>8280</v>
      </c>
      <c r="V77" s="35"/>
      <c r="W77" s="393"/>
      <c r="X77" s="372">
        <f t="shared" si="4"/>
        <v>2990030.44</v>
      </c>
      <c r="Y77" s="35">
        <v>79186.5</v>
      </c>
      <c r="Z77" s="380"/>
      <c r="AA77" s="35">
        <v>285768.59999999998</v>
      </c>
      <c r="AB77" s="380"/>
      <c r="AC77" s="35">
        <v>134546.65</v>
      </c>
      <c r="AD77" s="380">
        <v>52740.41</v>
      </c>
      <c r="AE77" s="35"/>
      <c r="AF77" s="380"/>
      <c r="AG77" s="35"/>
      <c r="AH77" s="380">
        <v>33584.65</v>
      </c>
      <c r="AI77" s="35"/>
      <c r="AJ77" s="380"/>
      <c r="AK77" s="35"/>
      <c r="AL77" s="403">
        <f t="shared" si="5"/>
        <v>585826.81000000006</v>
      </c>
      <c r="AM77" s="18">
        <v>69</v>
      </c>
      <c r="AN77" s="33">
        <v>1263</v>
      </c>
      <c r="AO77" s="393">
        <v>-19074.3</v>
      </c>
      <c r="AP77" s="35"/>
      <c r="AQ77" s="35">
        <v>-24.26</v>
      </c>
      <c r="AR77" s="35">
        <v>1</v>
      </c>
    </row>
    <row r="78" spans="1:44" x14ac:dyDescent="0.25">
      <c r="A78" s="383">
        <v>5515</v>
      </c>
      <c r="B78" s="367" t="s">
        <v>185</v>
      </c>
      <c r="C78" s="35">
        <v>1641742.04</v>
      </c>
      <c r="D78" s="35">
        <v>157435.64000000001</v>
      </c>
      <c r="E78" s="397"/>
      <c r="F78" s="368"/>
      <c r="G78" s="368">
        <v>8992.85</v>
      </c>
      <c r="H78" s="370">
        <v>180.1</v>
      </c>
      <c r="I78" s="368"/>
      <c r="J78" s="370">
        <v>70431.5</v>
      </c>
      <c r="K78" s="368">
        <v>2000.55</v>
      </c>
      <c r="L78" s="370">
        <v>147887.15</v>
      </c>
      <c r="M78" s="371">
        <f t="shared" si="3"/>
        <v>2028669.8300000003</v>
      </c>
      <c r="N78" s="35">
        <v>9818.5</v>
      </c>
      <c r="O78" s="35"/>
      <c r="P78" s="35">
        <v>77005.45</v>
      </c>
      <c r="Q78" s="35"/>
      <c r="R78" s="35">
        <v>28531.7</v>
      </c>
      <c r="S78" s="409"/>
      <c r="T78" s="35">
        <v>937</v>
      </c>
      <c r="U78" s="380">
        <v>5715</v>
      </c>
      <c r="V78" s="35"/>
      <c r="W78" s="393"/>
      <c r="X78" s="372">
        <f t="shared" si="4"/>
        <v>2150677.4800000004</v>
      </c>
      <c r="Y78" s="35">
        <v>105556.5</v>
      </c>
      <c r="Z78" s="380"/>
      <c r="AA78" s="35">
        <v>205887.5</v>
      </c>
      <c r="AB78" s="380"/>
      <c r="AC78" s="35">
        <v>77290</v>
      </c>
      <c r="AD78" s="380">
        <v>39557.4</v>
      </c>
      <c r="AE78" s="35"/>
      <c r="AF78" s="380"/>
      <c r="AG78" s="35"/>
      <c r="AH78" s="380"/>
      <c r="AI78" s="35"/>
      <c r="AJ78" s="380"/>
      <c r="AK78" s="35"/>
      <c r="AL78" s="403">
        <f t="shared" si="5"/>
        <v>428291.4</v>
      </c>
      <c r="AM78" s="18">
        <v>73</v>
      </c>
      <c r="AN78" s="33">
        <v>825</v>
      </c>
      <c r="AO78" s="393">
        <v>-1885.34</v>
      </c>
      <c r="AP78" s="35">
        <v>-1684.5</v>
      </c>
      <c r="AQ78" s="35">
        <v>0</v>
      </c>
      <c r="AR78" s="35">
        <v>1</v>
      </c>
    </row>
    <row r="79" spans="1:44" x14ac:dyDescent="0.25">
      <c r="A79" s="383">
        <v>5516</v>
      </c>
      <c r="B79" s="367" t="s">
        <v>186</v>
      </c>
      <c r="C79" s="35">
        <v>5968787.6799999997</v>
      </c>
      <c r="D79" s="35">
        <v>923622.76</v>
      </c>
      <c r="E79" s="397"/>
      <c r="F79" s="368"/>
      <c r="G79" s="368">
        <v>246915.55</v>
      </c>
      <c r="H79" s="370">
        <v>2381</v>
      </c>
      <c r="I79" s="368">
        <v>804.55</v>
      </c>
      <c r="J79" s="370">
        <v>129530.09</v>
      </c>
      <c r="K79" s="368">
        <v>24513.4</v>
      </c>
      <c r="L79" s="370">
        <v>551009.1</v>
      </c>
      <c r="M79" s="371">
        <f t="shared" si="3"/>
        <v>7847564.129999999</v>
      </c>
      <c r="N79" s="35">
        <v>100206.7</v>
      </c>
      <c r="O79" s="35">
        <v>97960.9</v>
      </c>
      <c r="P79" s="35">
        <v>201189.5</v>
      </c>
      <c r="Q79" s="35">
        <v>11379.02</v>
      </c>
      <c r="R79" s="35">
        <v>252965.2</v>
      </c>
      <c r="S79" s="409">
        <v>500</v>
      </c>
      <c r="T79" s="35"/>
      <c r="U79" s="380">
        <v>13050</v>
      </c>
      <c r="V79" s="35"/>
      <c r="W79" s="393"/>
      <c r="X79" s="372">
        <f t="shared" si="4"/>
        <v>8524815.4499999993</v>
      </c>
      <c r="Y79" s="35">
        <v>195862.5</v>
      </c>
      <c r="Z79" s="380"/>
      <c r="AA79" s="35">
        <v>598954.15</v>
      </c>
      <c r="AB79" s="380"/>
      <c r="AC79" s="35">
        <v>273865.55</v>
      </c>
      <c r="AD79" s="380">
        <v>141162.79999999999</v>
      </c>
      <c r="AE79" s="35"/>
      <c r="AF79" s="380"/>
      <c r="AG79" s="35"/>
      <c r="AH79" s="380">
        <v>72524.149999999994</v>
      </c>
      <c r="AI79" s="35"/>
      <c r="AJ79" s="380"/>
      <c r="AK79" s="35"/>
      <c r="AL79" s="403">
        <f t="shared" si="5"/>
        <v>1282369.1499999999</v>
      </c>
      <c r="AM79" s="18">
        <v>70</v>
      </c>
      <c r="AN79" s="33">
        <v>2744</v>
      </c>
      <c r="AO79" s="393">
        <v>-59831.1</v>
      </c>
      <c r="AP79" s="35"/>
      <c r="AQ79" s="35">
        <v>-845.74</v>
      </c>
      <c r="AR79" s="35">
        <v>1</v>
      </c>
    </row>
    <row r="80" spans="1:44" x14ac:dyDescent="0.25">
      <c r="A80" s="383">
        <v>5518</v>
      </c>
      <c r="B80" s="367" t="s">
        <v>187</v>
      </c>
      <c r="C80" s="35">
        <v>10330995.470000001</v>
      </c>
      <c r="D80" s="35">
        <v>1249873.3600000001</v>
      </c>
      <c r="E80" s="397"/>
      <c r="F80" s="368"/>
      <c r="G80" s="368">
        <v>1479707.75</v>
      </c>
      <c r="H80" s="370">
        <v>43940</v>
      </c>
      <c r="I80" s="368"/>
      <c r="J80" s="370">
        <v>252557.19</v>
      </c>
      <c r="K80" s="368">
        <v>62484.55</v>
      </c>
      <c r="L80" s="370">
        <v>992100.1</v>
      </c>
      <c r="M80" s="371">
        <f t="shared" si="3"/>
        <v>14411658.42</v>
      </c>
      <c r="N80" s="35">
        <v>149387.6</v>
      </c>
      <c r="O80" s="35">
        <v>398441.4</v>
      </c>
      <c r="P80" s="35">
        <v>276105.95</v>
      </c>
      <c r="Q80" s="35">
        <v>116075.32</v>
      </c>
      <c r="R80" s="35">
        <v>-126575.55</v>
      </c>
      <c r="S80" s="409"/>
      <c r="T80" s="35">
        <v>38507.949999999997</v>
      </c>
      <c r="U80" s="380">
        <v>18970</v>
      </c>
      <c r="V80" s="35"/>
      <c r="W80" s="393">
        <v>1067.8</v>
      </c>
      <c r="X80" s="372">
        <f t="shared" si="4"/>
        <v>15283638.889999999</v>
      </c>
      <c r="Y80" s="35">
        <v>128452.2</v>
      </c>
      <c r="Z80" s="380"/>
      <c r="AA80" s="35">
        <v>1028814.15</v>
      </c>
      <c r="AB80" s="380"/>
      <c r="AC80" s="35">
        <v>335960.7</v>
      </c>
      <c r="AD80" s="380">
        <v>67310.45</v>
      </c>
      <c r="AE80" s="35"/>
      <c r="AF80" s="380"/>
      <c r="AG80" s="35"/>
      <c r="AH80" s="380"/>
      <c r="AI80" s="35"/>
      <c r="AJ80" s="380"/>
      <c r="AK80" s="35"/>
      <c r="AL80" s="403">
        <f t="shared" si="5"/>
        <v>1560537.5</v>
      </c>
      <c r="AM80" s="18">
        <v>74</v>
      </c>
      <c r="AN80" s="33">
        <v>5728</v>
      </c>
      <c r="AO80" s="393">
        <v>-198416.91</v>
      </c>
      <c r="AP80" s="35"/>
      <c r="AQ80" s="35">
        <v>-51.45</v>
      </c>
      <c r="AR80" s="35">
        <v>1</v>
      </c>
    </row>
    <row r="81" spans="1:44" x14ac:dyDescent="0.25">
      <c r="A81" s="383">
        <v>5520</v>
      </c>
      <c r="B81" s="367" t="s">
        <v>188</v>
      </c>
      <c r="C81" s="35">
        <v>1857605.36</v>
      </c>
      <c r="D81" s="35">
        <v>275721.48</v>
      </c>
      <c r="E81" s="397"/>
      <c r="F81" s="368"/>
      <c r="G81" s="368">
        <v>10072.1</v>
      </c>
      <c r="H81" s="370">
        <v>1345.4</v>
      </c>
      <c r="I81" s="368"/>
      <c r="J81" s="370">
        <v>23467.29</v>
      </c>
      <c r="K81" s="368">
        <v>1728.25</v>
      </c>
      <c r="L81" s="370">
        <v>173096.2</v>
      </c>
      <c r="M81" s="371">
        <f t="shared" si="3"/>
        <v>2343036.08</v>
      </c>
      <c r="N81" s="35">
        <v>11219.05</v>
      </c>
      <c r="O81" s="35">
        <v>19373.5</v>
      </c>
      <c r="P81" s="35">
        <v>150701.25</v>
      </c>
      <c r="Q81" s="35">
        <v>4509.1099999999997</v>
      </c>
      <c r="R81" s="35">
        <v>26267.4</v>
      </c>
      <c r="S81" s="409"/>
      <c r="T81" s="35">
        <v>896.9</v>
      </c>
      <c r="U81" s="380">
        <v>10425</v>
      </c>
      <c r="V81" s="35"/>
      <c r="W81" s="393"/>
      <c r="X81" s="372">
        <f t="shared" si="4"/>
        <v>2566428.2899999996</v>
      </c>
      <c r="Y81" s="35">
        <v>34989.5</v>
      </c>
      <c r="Z81" s="380">
        <v>62226.3</v>
      </c>
      <c r="AA81" s="35">
        <v>90474.5</v>
      </c>
      <c r="AB81" s="380"/>
      <c r="AC81" s="35">
        <v>63726.75</v>
      </c>
      <c r="AD81" s="380">
        <v>43476</v>
      </c>
      <c r="AE81" s="35">
        <v>31158.05</v>
      </c>
      <c r="AF81" s="380"/>
      <c r="AG81" s="35"/>
      <c r="AH81" s="380"/>
      <c r="AI81" s="35"/>
      <c r="AJ81" s="380"/>
      <c r="AK81" s="35"/>
      <c r="AL81" s="403">
        <f t="shared" si="5"/>
        <v>326051.09999999998</v>
      </c>
      <c r="AM81" s="18">
        <v>73</v>
      </c>
      <c r="AN81" s="33">
        <v>981</v>
      </c>
      <c r="AO81" s="393">
        <v>-9716.3799999999992</v>
      </c>
      <c r="AP81" s="35"/>
      <c r="AQ81" s="35">
        <v>-50.93</v>
      </c>
      <c r="AR81" s="35">
        <v>1</v>
      </c>
    </row>
    <row r="82" spans="1:44" x14ac:dyDescent="0.25">
      <c r="A82" s="383">
        <v>5521</v>
      </c>
      <c r="B82" s="367" t="s">
        <v>189</v>
      </c>
      <c r="C82" s="35">
        <v>2330139.54</v>
      </c>
      <c r="D82" s="35">
        <v>245612.32</v>
      </c>
      <c r="E82" s="397"/>
      <c r="F82" s="368"/>
      <c r="G82" s="368">
        <v>150739.35</v>
      </c>
      <c r="H82" s="370">
        <v>637.45000000000005</v>
      </c>
      <c r="I82" s="368"/>
      <c r="J82" s="370">
        <v>84184.09</v>
      </c>
      <c r="K82" s="368">
        <v>10733.75</v>
      </c>
      <c r="L82" s="370">
        <v>234159.1</v>
      </c>
      <c r="M82" s="371">
        <f t="shared" si="3"/>
        <v>3056205.6</v>
      </c>
      <c r="N82" s="35">
        <v>49840.9</v>
      </c>
      <c r="O82" s="35"/>
      <c r="P82" s="35">
        <v>119350</v>
      </c>
      <c r="Q82" s="35">
        <v>10436.26</v>
      </c>
      <c r="R82" s="35">
        <v>28604.7</v>
      </c>
      <c r="S82" s="409"/>
      <c r="T82" s="35"/>
      <c r="U82" s="380"/>
      <c r="V82" s="35"/>
      <c r="W82" s="393"/>
      <c r="X82" s="372">
        <f t="shared" si="4"/>
        <v>3264437.46</v>
      </c>
      <c r="Y82" s="35">
        <v>24290</v>
      </c>
      <c r="Z82" s="380">
        <v>960</v>
      </c>
      <c r="AA82" s="35">
        <v>208164</v>
      </c>
      <c r="AB82" s="380"/>
      <c r="AC82" s="35">
        <v>103567.75</v>
      </c>
      <c r="AD82" s="380"/>
      <c r="AE82" s="35"/>
      <c r="AF82" s="380"/>
      <c r="AG82" s="35"/>
      <c r="AH82" s="380">
        <v>32978.5</v>
      </c>
      <c r="AI82" s="35"/>
      <c r="AJ82" s="380"/>
      <c r="AK82" s="35"/>
      <c r="AL82" s="403">
        <f t="shared" si="5"/>
        <v>369960.25</v>
      </c>
      <c r="AM82" s="18">
        <v>73</v>
      </c>
      <c r="AN82" s="33">
        <v>1119</v>
      </c>
      <c r="AO82" s="393">
        <v>-16530.7</v>
      </c>
      <c r="AP82" s="35"/>
      <c r="AQ82" s="35">
        <v>-4.3600000000000003</v>
      </c>
      <c r="AR82" s="35">
        <v>1</v>
      </c>
    </row>
    <row r="83" spans="1:44" x14ac:dyDescent="0.25">
      <c r="A83" s="383">
        <v>5522</v>
      </c>
      <c r="B83" s="367" t="s">
        <v>190</v>
      </c>
      <c r="C83" s="35">
        <v>1213676.5</v>
      </c>
      <c r="D83" s="35">
        <v>157707.5</v>
      </c>
      <c r="E83" s="397"/>
      <c r="F83" s="368"/>
      <c r="G83" s="368">
        <v>51146.75</v>
      </c>
      <c r="H83" s="370">
        <v>320.89999999999998</v>
      </c>
      <c r="I83" s="368"/>
      <c r="J83" s="370">
        <v>8454.81</v>
      </c>
      <c r="K83" s="368">
        <v>1287.9000000000001</v>
      </c>
      <c r="L83" s="370">
        <v>119536.9</v>
      </c>
      <c r="M83" s="371">
        <f t="shared" si="3"/>
        <v>1552131.2599999998</v>
      </c>
      <c r="N83" s="35">
        <v>6207.7</v>
      </c>
      <c r="O83" s="35">
        <v>9107.9</v>
      </c>
      <c r="P83" s="35">
        <v>33578.65</v>
      </c>
      <c r="Q83" s="35"/>
      <c r="R83" s="35">
        <v>91475.45</v>
      </c>
      <c r="S83" s="409">
        <v>1050</v>
      </c>
      <c r="T83" s="35"/>
      <c r="U83" s="380">
        <v>2662.5</v>
      </c>
      <c r="V83" s="35"/>
      <c r="W83" s="393"/>
      <c r="X83" s="372">
        <f t="shared" si="4"/>
        <v>1696213.4599999995</v>
      </c>
      <c r="Y83" s="35">
        <v>14000</v>
      </c>
      <c r="Z83" s="380"/>
      <c r="AA83" s="35">
        <v>69347.8</v>
      </c>
      <c r="AB83" s="380"/>
      <c r="AC83" s="35">
        <v>30910</v>
      </c>
      <c r="AD83" s="380">
        <v>27202</v>
      </c>
      <c r="AE83" s="35"/>
      <c r="AF83" s="380"/>
      <c r="AG83" s="35"/>
      <c r="AH83" s="380"/>
      <c r="AI83" s="35"/>
      <c r="AJ83" s="380"/>
      <c r="AK83" s="35"/>
      <c r="AL83" s="403">
        <f t="shared" si="5"/>
        <v>141459.79999999999</v>
      </c>
      <c r="AM83" s="18">
        <v>75</v>
      </c>
      <c r="AN83" s="33">
        <v>703</v>
      </c>
      <c r="AO83" s="393">
        <v>-13047.43</v>
      </c>
      <c r="AP83" s="35"/>
      <c r="AQ83" s="35">
        <v>-2.46</v>
      </c>
      <c r="AR83" s="35">
        <v>1</v>
      </c>
    </row>
    <row r="84" spans="1:44" x14ac:dyDescent="0.25">
      <c r="A84" s="383">
        <v>5523</v>
      </c>
      <c r="B84" s="367" t="s">
        <v>191</v>
      </c>
      <c r="C84" s="35">
        <v>5224728.38</v>
      </c>
      <c r="D84" s="35">
        <v>558675.01</v>
      </c>
      <c r="E84" s="397"/>
      <c r="F84" s="368">
        <v>13870</v>
      </c>
      <c r="G84" s="368">
        <v>31692.2</v>
      </c>
      <c r="H84" s="370">
        <v>2775.5</v>
      </c>
      <c r="I84" s="368">
        <v>27098.55</v>
      </c>
      <c r="J84" s="370">
        <v>98193.44</v>
      </c>
      <c r="K84" s="368">
        <v>17825.5</v>
      </c>
      <c r="L84" s="370">
        <v>590120</v>
      </c>
      <c r="M84" s="371">
        <f t="shared" si="3"/>
        <v>6564978.5800000001</v>
      </c>
      <c r="N84" s="35">
        <v>1694.9</v>
      </c>
      <c r="O84" s="35">
        <v>3244.3</v>
      </c>
      <c r="P84" s="35">
        <v>187832.35</v>
      </c>
      <c r="Q84" s="35">
        <v>14774.32</v>
      </c>
      <c r="R84" s="35">
        <v>96751.75</v>
      </c>
      <c r="S84" s="409">
        <v>200</v>
      </c>
      <c r="T84" s="35">
        <v>3534.1</v>
      </c>
      <c r="U84" s="380">
        <v>13762.5</v>
      </c>
      <c r="V84" s="35"/>
      <c r="W84" s="393"/>
      <c r="X84" s="372">
        <f t="shared" si="4"/>
        <v>6886772.7999999998</v>
      </c>
      <c r="Y84" s="35">
        <v>149432.6</v>
      </c>
      <c r="Z84" s="380">
        <v>1548</v>
      </c>
      <c r="AA84" s="35">
        <v>532466.35</v>
      </c>
      <c r="AB84" s="380"/>
      <c r="AC84" s="35">
        <v>149953.70000000001</v>
      </c>
      <c r="AD84" s="380">
        <v>95721.65</v>
      </c>
      <c r="AE84" s="35">
        <v>2545</v>
      </c>
      <c r="AF84" s="380"/>
      <c r="AG84" s="35"/>
      <c r="AH84" s="380">
        <v>53680.35</v>
      </c>
      <c r="AI84" s="35"/>
      <c r="AJ84" s="380"/>
      <c r="AK84" s="35"/>
      <c r="AL84" s="403">
        <f t="shared" si="5"/>
        <v>985347.64999999991</v>
      </c>
      <c r="AM84" s="18">
        <v>76</v>
      </c>
      <c r="AN84" s="33">
        <v>2561</v>
      </c>
      <c r="AO84" s="393">
        <v>-88741.32</v>
      </c>
      <c r="AP84" s="35"/>
      <c r="AQ84" s="35">
        <v>-25.02</v>
      </c>
      <c r="AR84" s="35">
        <v>1.25</v>
      </c>
    </row>
    <row r="85" spans="1:44" x14ac:dyDescent="0.25">
      <c r="A85" s="383">
        <v>5527</v>
      </c>
      <c r="B85" s="367" t="s">
        <v>192</v>
      </c>
      <c r="C85" s="35">
        <v>2178574.7400000002</v>
      </c>
      <c r="D85" s="35">
        <v>367054.94</v>
      </c>
      <c r="E85" s="397"/>
      <c r="F85" s="368"/>
      <c r="G85" s="368">
        <v>14631.35</v>
      </c>
      <c r="H85" s="370">
        <v>2988.75</v>
      </c>
      <c r="I85" s="368"/>
      <c r="J85" s="370">
        <v>61320.45</v>
      </c>
      <c r="K85" s="368">
        <v>2321.0500000000002</v>
      </c>
      <c r="L85" s="370">
        <v>214518.65</v>
      </c>
      <c r="M85" s="371">
        <f t="shared" si="3"/>
        <v>2841409.93</v>
      </c>
      <c r="N85" s="35">
        <v>10589.6</v>
      </c>
      <c r="O85" s="35"/>
      <c r="P85" s="35">
        <v>73497.7</v>
      </c>
      <c r="Q85" s="35">
        <v>2646.04</v>
      </c>
      <c r="R85" s="35">
        <v>83651</v>
      </c>
      <c r="S85" s="409"/>
      <c r="T85" s="35">
        <v>1677.55</v>
      </c>
      <c r="U85" s="380">
        <v>10750</v>
      </c>
      <c r="V85" s="35"/>
      <c r="W85" s="393"/>
      <c r="X85" s="372">
        <f t="shared" si="4"/>
        <v>3024221.8200000003</v>
      </c>
      <c r="Y85" s="35">
        <v>8216.5</v>
      </c>
      <c r="Z85" s="380"/>
      <c r="AA85" s="35">
        <v>118250.05</v>
      </c>
      <c r="AB85" s="380"/>
      <c r="AC85" s="35">
        <v>82204.350000000006</v>
      </c>
      <c r="AD85" s="380">
        <v>9232.35</v>
      </c>
      <c r="AE85" s="35"/>
      <c r="AF85" s="380"/>
      <c r="AG85" s="35"/>
      <c r="AH85" s="380">
        <v>29403.8</v>
      </c>
      <c r="AI85" s="35"/>
      <c r="AJ85" s="380"/>
      <c r="AK85" s="35"/>
      <c r="AL85" s="403">
        <f t="shared" si="5"/>
        <v>247307.05000000002</v>
      </c>
      <c r="AM85" s="18">
        <v>71</v>
      </c>
      <c r="AN85" s="33">
        <v>1092</v>
      </c>
      <c r="AO85" s="393">
        <v>-17636.34</v>
      </c>
      <c r="AP85" s="35">
        <v>-4377.1000000000004</v>
      </c>
      <c r="AQ85" s="35">
        <v>-22.1</v>
      </c>
      <c r="AR85" s="35">
        <v>1</v>
      </c>
    </row>
    <row r="86" spans="1:44" x14ac:dyDescent="0.25">
      <c r="A86" s="383">
        <v>5529</v>
      </c>
      <c r="B86" s="367" t="s">
        <v>193</v>
      </c>
      <c r="C86" s="35">
        <v>1176932.78</v>
      </c>
      <c r="D86" s="35">
        <v>108237.13</v>
      </c>
      <c r="E86" s="397"/>
      <c r="F86" s="368"/>
      <c r="G86" s="368">
        <v>11913.25</v>
      </c>
      <c r="H86" s="370">
        <v>607.29999999999995</v>
      </c>
      <c r="I86" s="368"/>
      <c r="J86" s="370">
        <v>44743.28</v>
      </c>
      <c r="K86" s="368">
        <v>2543.75</v>
      </c>
      <c r="L86" s="370">
        <v>102971.15</v>
      </c>
      <c r="M86" s="371">
        <f t="shared" si="3"/>
        <v>1447948.6400000001</v>
      </c>
      <c r="N86" s="35"/>
      <c r="O86" s="35">
        <v>2507.8000000000002</v>
      </c>
      <c r="P86" s="35">
        <v>59757.65</v>
      </c>
      <c r="Q86" s="35"/>
      <c r="R86" s="35">
        <v>43417.25</v>
      </c>
      <c r="S86" s="409"/>
      <c r="T86" s="35"/>
      <c r="U86" s="380">
        <v>3320</v>
      </c>
      <c r="V86" s="35"/>
      <c r="W86" s="393"/>
      <c r="X86" s="372">
        <f t="shared" si="4"/>
        <v>1556951.34</v>
      </c>
      <c r="Y86" s="35">
        <v>43752</v>
      </c>
      <c r="Z86" s="380"/>
      <c r="AA86" s="35">
        <v>24206.6</v>
      </c>
      <c r="AB86" s="380"/>
      <c r="AC86" s="35">
        <v>42249.45</v>
      </c>
      <c r="AD86" s="35">
        <v>26256</v>
      </c>
      <c r="AE86" s="35"/>
      <c r="AF86" s="380"/>
      <c r="AG86" s="35"/>
      <c r="AH86" s="380"/>
      <c r="AI86" s="35"/>
      <c r="AJ86" s="380"/>
      <c r="AK86" s="35"/>
      <c r="AL86" s="403">
        <f t="shared" si="5"/>
        <v>136464.04999999999</v>
      </c>
      <c r="AM86" s="18">
        <v>71</v>
      </c>
      <c r="AN86" s="33">
        <v>577</v>
      </c>
      <c r="AO86" s="393">
        <v>-13674.43</v>
      </c>
      <c r="AP86" s="35"/>
      <c r="AQ86" s="35">
        <v>-0.17</v>
      </c>
      <c r="AR86" s="35">
        <v>1</v>
      </c>
    </row>
    <row r="87" spans="1:44" x14ac:dyDescent="0.25">
      <c r="A87" s="383">
        <v>5530</v>
      </c>
      <c r="B87" s="367" t="s">
        <v>194</v>
      </c>
      <c r="C87" s="35">
        <v>954033.37</v>
      </c>
      <c r="D87" s="35">
        <v>146339.43</v>
      </c>
      <c r="E87" s="397"/>
      <c r="F87" s="368"/>
      <c r="G87" s="368">
        <v>131903.70000000001</v>
      </c>
      <c r="H87" s="370">
        <v>188</v>
      </c>
      <c r="I87" s="368"/>
      <c r="J87" s="370">
        <v>16837.580000000002</v>
      </c>
      <c r="K87" s="368">
        <v>37.5</v>
      </c>
      <c r="L87" s="370">
        <v>92797.29</v>
      </c>
      <c r="M87" s="371">
        <f t="shared" si="3"/>
        <v>1342136.8700000001</v>
      </c>
      <c r="N87" s="35">
        <v>2846.5</v>
      </c>
      <c r="O87" s="35">
        <v>48871.4</v>
      </c>
      <c r="P87" s="35">
        <v>32528.1</v>
      </c>
      <c r="Q87" s="35"/>
      <c r="R87" s="35">
        <v>19063.75</v>
      </c>
      <c r="S87" s="409"/>
      <c r="T87" s="35"/>
      <c r="U87" s="380">
        <v>2490</v>
      </c>
      <c r="V87" s="35"/>
      <c r="W87" s="393"/>
      <c r="X87" s="372">
        <f t="shared" si="4"/>
        <v>1447936.62</v>
      </c>
      <c r="Y87" s="35">
        <v>13898.25</v>
      </c>
      <c r="Z87" s="380"/>
      <c r="AA87" s="35">
        <v>150605.25</v>
      </c>
      <c r="AB87" s="380"/>
      <c r="AC87" s="35">
        <v>41991.45</v>
      </c>
      <c r="AD87" s="380">
        <v>7157.7</v>
      </c>
      <c r="AE87" s="35"/>
      <c r="AF87" s="380"/>
      <c r="AG87" s="35"/>
      <c r="AH87" s="380"/>
      <c r="AI87" s="35"/>
      <c r="AJ87" s="380"/>
      <c r="AK87" s="35"/>
      <c r="AL87" s="403">
        <f t="shared" si="5"/>
        <v>213652.65000000002</v>
      </c>
      <c r="AM87" s="18">
        <v>77.5</v>
      </c>
      <c r="AN87" s="33">
        <v>543</v>
      </c>
      <c r="AO87" s="393">
        <v>-2379.5700000000002</v>
      </c>
      <c r="AP87" s="35">
        <v>-2402.85</v>
      </c>
      <c r="AQ87" s="35">
        <v>0</v>
      </c>
      <c r="AR87" s="35">
        <v>1.2</v>
      </c>
    </row>
    <row r="88" spans="1:44" x14ac:dyDescent="0.25">
      <c r="A88" s="383">
        <v>5531</v>
      </c>
      <c r="B88" s="367" t="s">
        <v>195</v>
      </c>
      <c r="C88" s="35">
        <v>799918.67</v>
      </c>
      <c r="D88" s="35">
        <v>138230.20000000001</v>
      </c>
      <c r="E88" s="397"/>
      <c r="F88" s="368"/>
      <c r="G88" s="368">
        <v>5547.85</v>
      </c>
      <c r="H88" s="370">
        <v>383.6</v>
      </c>
      <c r="I88" s="368"/>
      <c r="J88" s="370">
        <v>8482.7800000000007</v>
      </c>
      <c r="K88" s="368">
        <v>854</v>
      </c>
      <c r="L88" s="370">
        <v>71258.850000000006</v>
      </c>
      <c r="M88" s="371">
        <f t="shared" si="3"/>
        <v>1024675.9500000001</v>
      </c>
      <c r="N88" s="35">
        <v>14930.3</v>
      </c>
      <c r="O88" s="35"/>
      <c r="P88" s="35">
        <v>25232.7</v>
      </c>
      <c r="Q88" s="35"/>
      <c r="R88" s="35">
        <v>23416.7</v>
      </c>
      <c r="S88" s="409"/>
      <c r="T88" s="35"/>
      <c r="U88" s="380">
        <v>4050</v>
      </c>
      <c r="V88" s="35"/>
      <c r="W88" s="393"/>
      <c r="X88" s="372">
        <f t="shared" si="4"/>
        <v>1092305.6500000001</v>
      </c>
      <c r="Y88" s="35">
        <v>61600</v>
      </c>
      <c r="Z88" s="380"/>
      <c r="AA88" s="35">
        <v>89772.5</v>
      </c>
      <c r="AB88" s="380"/>
      <c r="AC88" s="35">
        <v>29337.5</v>
      </c>
      <c r="AD88" s="380">
        <v>12884.75</v>
      </c>
      <c r="AE88" s="35"/>
      <c r="AF88" s="380"/>
      <c r="AG88" s="35"/>
      <c r="AH88" s="380"/>
      <c r="AI88" s="35"/>
      <c r="AJ88" s="380"/>
      <c r="AK88" s="35"/>
      <c r="AL88" s="403">
        <f t="shared" si="5"/>
        <v>193594.75</v>
      </c>
      <c r="AM88" s="18">
        <v>78</v>
      </c>
      <c r="AN88" s="33">
        <v>418</v>
      </c>
      <c r="AO88" s="393">
        <v>-109.27</v>
      </c>
      <c r="AP88" s="35"/>
      <c r="AQ88" s="35">
        <v>-54.63</v>
      </c>
      <c r="AR88" s="35">
        <v>1</v>
      </c>
    </row>
    <row r="89" spans="1:44" x14ac:dyDescent="0.25">
      <c r="A89" s="383">
        <v>5533</v>
      </c>
      <c r="B89" s="367" t="s">
        <v>196</v>
      </c>
      <c r="C89" s="35">
        <v>1519440.63</v>
      </c>
      <c r="D89" s="35">
        <v>166034</v>
      </c>
      <c r="E89" s="397"/>
      <c r="F89" s="368"/>
      <c r="G89" s="368">
        <v>112219.6</v>
      </c>
      <c r="H89" s="370">
        <v>284.39999999999998</v>
      </c>
      <c r="I89" s="368"/>
      <c r="J89" s="370">
        <v>60560.08</v>
      </c>
      <c r="K89" s="368">
        <v>8480</v>
      </c>
      <c r="L89" s="370">
        <v>80873.850000000006</v>
      </c>
      <c r="M89" s="371">
        <f t="shared" si="3"/>
        <v>1947892.56</v>
      </c>
      <c r="N89" s="35">
        <v>2712.4</v>
      </c>
      <c r="O89" s="35"/>
      <c r="P89" s="35">
        <v>19047.849999999999</v>
      </c>
      <c r="Q89" s="35"/>
      <c r="R89" s="35">
        <v>16820.95</v>
      </c>
      <c r="S89" s="409"/>
      <c r="T89" s="35">
        <v>1354</v>
      </c>
      <c r="U89" s="380">
        <v>6850</v>
      </c>
      <c r="V89" s="35"/>
      <c r="W89" s="393"/>
      <c r="X89" s="372">
        <f t="shared" si="4"/>
        <v>1994677.76</v>
      </c>
      <c r="Y89" s="35">
        <v>39154.65</v>
      </c>
      <c r="Z89" s="380"/>
      <c r="AA89" s="35">
        <v>100557</v>
      </c>
      <c r="AB89" s="380"/>
      <c r="AC89" s="35">
        <v>39738</v>
      </c>
      <c r="AD89" s="380">
        <v>41074.400000000001</v>
      </c>
      <c r="AE89" s="35"/>
      <c r="AF89" s="380"/>
      <c r="AG89" s="35"/>
      <c r="AH89" s="380"/>
      <c r="AI89" s="35"/>
      <c r="AJ89" s="380"/>
      <c r="AK89" s="35"/>
      <c r="AL89" s="403">
        <f t="shared" si="5"/>
        <v>220524.05</v>
      </c>
      <c r="AM89" s="18">
        <v>71</v>
      </c>
      <c r="AN89" s="33">
        <v>849</v>
      </c>
      <c r="AO89" s="393">
        <v>-10746.98</v>
      </c>
      <c r="AP89" s="35"/>
      <c r="AQ89" s="35">
        <v>-15.75</v>
      </c>
      <c r="AR89" s="35">
        <v>0.6</v>
      </c>
    </row>
    <row r="90" spans="1:44" x14ac:dyDescent="0.25">
      <c r="A90" s="383">
        <v>5534</v>
      </c>
      <c r="B90" s="367" t="s">
        <v>197</v>
      </c>
      <c r="C90" s="35">
        <v>423567.71</v>
      </c>
      <c r="D90" s="35">
        <v>99773.09</v>
      </c>
      <c r="E90" s="397"/>
      <c r="F90" s="368"/>
      <c r="G90" s="368">
        <v>96845.1</v>
      </c>
      <c r="H90" s="370">
        <v>1934.2</v>
      </c>
      <c r="I90" s="368"/>
      <c r="J90" s="370">
        <v>18340.5</v>
      </c>
      <c r="K90" s="368">
        <v>1598.75</v>
      </c>
      <c r="L90" s="370">
        <v>70912</v>
      </c>
      <c r="M90" s="371">
        <f t="shared" si="3"/>
        <v>712971.35</v>
      </c>
      <c r="N90" s="35">
        <v>26152.25</v>
      </c>
      <c r="O90" s="35"/>
      <c r="P90" s="35">
        <v>7428.3</v>
      </c>
      <c r="Q90" s="35"/>
      <c r="R90" s="35"/>
      <c r="S90" s="409"/>
      <c r="T90" s="35">
        <v>574</v>
      </c>
      <c r="U90" s="380">
        <v>800</v>
      </c>
      <c r="V90" s="35"/>
      <c r="W90" s="393"/>
      <c r="X90" s="372">
        <f t="shared" si="4"/>
        <v>747925.9</v>
      </c>
      <c r="Y90" s="35"/>
      <c r="Z90" s="380"/>
      <c r="AA90" s="35">
        <v>13041.5</v>
      </c>
      <c r="AB90" s="380"/>
      <c r="AC90" s="35">
        <v>12335</v>
      </c>
      <c r="AD90" s="380"/>
      <c r="AE90" s="35"/>
      <c r="AF90" s="380"/>
      <c r="AG90" s="35"/>
      <c r="AH90" s="380"/>
      <c r="AI90" s="35"/>
      <c r="AJ90" s="380">
        <v>44719.7</v>
      </c>
      <c r="AK90" s="35"/>
      <c r="AL90" s="403">
        <f t="shared" si="5"/>
        <v>70096.2</v>
      </c>
      <c r="AM90" s="18">
        <v>73</v>
      </c>
      <c r="AN90" s="33">
        <v>257</v>
      </c>
      <c r="AO90" s="393">
        <v>-3260.55</v>
      </c>
      <c r="AP90" s="35"/>
      <c r="AQ90" s="35">
        <v>0</v>
      </c>
      <c r="AR90" s="35">
        <v>1</v>
      </c>
    </row>
    <row r="91" spans="1:44" x14ac:dyDescent="0.25">
      <c r="A91" s="383">
        <v>5535</v>
      </c>
      <c r="B91" s="367" t="s">
        <v>34</v>
      </c>
      <c r="C91" s="35">
        <v>1485994.2</v>
      </c>
      <c r="D91" s="35">
        <v>148339.97</v>
      </c>
      <c r="E91" s="397"/>
      <c r="F91" s="368"/>
      <c r="G91" s="368">
        <v>20980.95</v>
      </c>
      <c r="H91" s="370">
        <v>5550.75</v>
      </c>
      <c r="I91" s="368"/>
      <c r="J91" s="370">
        <v>6673.58</v>
      </c>
      <c r="K91" s="368">
        <v>2254.3000000000002</v>
      </c>
      <c r="L91" s="370">
        <v>137110.29999999999</v>
      </c>
      <c r="M91" s="371">
        <f t="shared" si="3"/>
        <v>1806904.05</v>
      </c>
      <c r="N91" s="35">
        <v>34037.4</v>
      </c>
      <c r="O91" s="35"/>
      <c r="P91" s="35">
        <v>14032.6</v>
      </c>
      <c r="Q91" s="35">
        <v>2086.3000000000002</v>
      </c>
      <c r="R91" s="35">
        <v>18069.7</v>
      </c>
      <c r="S91" s="409"/>
      <c r="T91" s="35">
        <v>645</v>
      </c>
      <c r="U91" s="380">
        <v>7275</v>
      </c>
      <c r="V91" s="35"/>
      <c r="W91" s="393"/>
      <c r="X91" s="372">
        <f t="shared" si="4"/>
        <v>1883050.05</v>
      </c>
      <c r="Y91" s="35">
        <v>10500</v>
      </c>
      <c r="Z91" s="380"/>
      <c r="AA91" s="35">
        <v>125913</v>
      </c>
      <c r="AB91" s="380"/>
      <c r="AC91" s="35">
        <v>57632</v>
      </c>
      <c r="AD91" s="380">
        <v>16900</v>
      </c>
      <c r="AE91" s="35"/>
      <c r="AF91" s="380"/>
      <c r="AG91" s="35"/>
      <c r="AH91" s="380"/>
      <c r="AI91" s="35"/>
      <c r="AJ91" s="380"/>
      <c r="AK91" s="35"/>
      <c r="AL91" s="403">
        <f t="shared" si="5"/>
        <v>210945</v>
      </c>
      <c r="AM91" s="18">
        <v>77</v>
      </c>
      <c r="AN91" s="33">
        <v>769</v>
      </c>
      <c r="AO91" s="393">
        <v>-13799.23</v>
      </c>
      <c r="AP91" s="35"/>
      <c r="AQ91" s="35">
        <v>-2.39</v>
      </c>
      <c r="AR91" s="35">
        <v>1</v>
      </c>
    </row>
    <row r="92" spans="1:44" x14ac:dyDescent="0.25">
      <c r="A92" s="383">
        <v>5537</v>
      </c>
      <c r="B92" s="367" t="s">
        <v>35</v>
      </c>
      <c r="C92" s="35">
        <v>2008720.51</v>
      </c>
      <c r="D92" s="35">
        <v>206626.12</v>
      </c>
      <c r="E92" s="397"/>
      <c r="F92" s="368">
        <v>6069.55</v>
      </c>
      <c r="G92" s="368">
        <v>44724.15</v>
      </c>
      <c r="H92" s="370">
        <v>166.25</v>
      </c>
      <c r="I92" s="368"/>
      <c r="J92" s="370">
        <v>38117.97</v>
      </c>
      <c r="K92" s="368">
        <v>1103.75</v>
      </c>
      <c r="L92" s="370">
        <v>158216</v>
      </c>
      <c r="M92" s="371">
        <f t="shared" si="3"/>
        <v>2463744.2999999998</v>
      </c>
      <c r="N92" s="35">
        <v>954.05</v>
      </c>
      <c r="O92" s="35">
        <v>2120.5</v>
      </c>
      <c r="P92" s="35">
        <v>91281.600000000006</v>
      </c>
      <c r="Q92" s="35">
        <v>-7364.15</v>
      </c>
      <c r="R92" s="35">
        <v>51227.6</v>
      </c>
      <c r="S92" s="409">
        <v>75</v>
      </c>
      <c r="T92" s="35"/>
      <c r="U92" s="380">
        <v>7085</v>
      </c>
      <c r="V92" s="35">
        <v>675</v>
      </c>
      <c r="W92" s="393"/>
      <c r="X92" s="372">
        <f t="shared" si="4"/>
        <v>2609798.9</v>
      </c>
      <c r="Y92" s="35">
        <v>43516.6</v>
      </c>
      <c r="Z92" s="380"/>
      <c r="AA92" s="35">
        <v>213876.12</v>
      </c>
      <c r="AB92" s="380"/>
      <c r="AC92" s="35">
        <v>117056.46</v>
      </c>
      <c r="AD92" s="380">
        <v>43377.7</v>
      </c>
      <c r="AE92" s="35"/>
      <c r="AF92" s="380"/>
      <c r="AG92" s="35"/>
      <c r="AH92" s="380"/>
      <c r="AI92" s="35"/>
      <c r="AJ92" s="380"/>
      <c r="AK92" s="35"/>
      <c r="AL92" s="403">
        <f t="shared" si="5"/>
        <v>417826.88</v>
      </c>
      <c r="AM92" s="18">
        <v>73</v>
      </c>
      <c r="AN92" s="33">
        <v>1150</v>
      </c>
      <c r="AO92" s="393">
        <v>-30080.9</v>
      </c>
      <c r="AP92" s="35"/>
      <c r="AQ92" s="35">
        <v>0</v>
      </c>
      <c r="AR92" s="35">
        <v>0.8</v>
      </c>
    </row>
    <row r="93" spans="1:44" x14ac:dyDescent="0.25">
      <c r="A93" s="383">
        <v>5539</v>
      </c>
      <c r="B93" s="367" t="s">
        <v>36</v>
      </c>
      <c r="C93" s="35">
        <v>1650826.61</v>
      </c>
      <c r="D93" s="35">
        <v>165821.35999999999</v>
      </c>
      <c r="E93" s="397"/>
      <c r="F93" s="368"/>
      <c r="G93" s="368">
        <v>9695.7000000000007</v>
      </c>
      <c r="H93" s="370">
        <v>561.9</v>
      </c>
      <c r="I93" s="368"/>
      <c r="J93" s="370">
        <v>9088.7000000000007</v>
      </c>
      <c r="K93" s="368">
        <v>3239.7</v>
      </c>
      <c r="L93" s="370">
        <v>136332.35</v>
      </c>
      <c r="M93" s="371">
        <f t="shared" si="3"/>
        <v>1975566.32</v>
      </c>
      <c r="N93" s="35">
        <v>34768.85</v>
      </c>
      <c r="O93" s="35">
        <v>11461.3</v>
      </c>
      <c r="P93" s="35">
        <v>44306.15</v>
      </c>
      <c r="Q93" s="35">
        <v>34053.21</v>
      </c>
      <c r="R93" s="35">
        <v>18892.55</v>
      </c>
      <c r="S93" s="409">
        <v>200</v>
      </c>
      <c r="T93" s="35"/>
      <c r="U93" s="380">
        <v>6800</v>
      </c>
      <c r="V93" s="35"/>
      <c r="W93" s="393"/>
      <c r="X93" s="372">
        <f t="shared" si="4"/>
        <v>2126048.38</v>
      </c>
      <c r="Y93" s="35">
        <v>16030.1</v>
      </c>
      <c r="Z93" s="380"/>
      <c r="AA93" s="35">
        <v>309772.55</v>
      </c>
      <c r="AB93" s="380"/>
      <c r="AC93" s="35">
        <v>60710</v>
      </c>
      <c r="AD93" s="380">
        <v>9945</v>
      </c>
      <c r="AE93" s="35"/>
      <c r="AF93" s="380"/>
      <c r="AG93" s="35"/>
      <c r="AH93" s="380">
        <v>21003.5</v>
      </c>
      <c r="AI93" s="35"/>
      <c r="AJ93" s="380"/>
      <c r="AK93" s="35"/>
      <c r="AL93" s="403">
        <f t="shared" si="5"/>
        <v>417461.14999999997</v>
      </c>
      <c r="AM93" s="18">
        <v>75</v>
      </c>
      <c r="AN93" s="33">
        <v>1003</v>
      </c>
      <c r="AO93" s="393">
        <v>-21512.86</v>
      </c>
      <c r="AP93" s="35"/>
      <c r="AQ93" s="35">
        <v>-40.229999999999997</v>
      </c>
      <c r="AR93" s="35">
        <v>0.8</v>
      </c>
    </row>
    <row r="94" spans="1:44" x14ac:dyDescent="0.25">
      <c r="A94" s="383">
        <v>5540</v>
      </c>
      <c r="B94" s="367" t="s">
        <v>442</v>
      </c>
      <c r="C94" s="35">
        <v>3348133.96</v>
      </c>
      <c r="D94" s="35">
        <v>463771.17</v>
      </c>
      <c r="E94" s="397"/>
      <c r="F94" s="368"/>
      <c r="G94" s="368">
        <v>110383.9</v>
      </c>
      <c r="H94" s="370">
        <v>2719.4</v>
      </c>
      <c r="I94" s="368"/>
      <c r="J94" s="370">
        <v>67914.2</v>
      </c>
      <c r="K94" s="368">
        <v>6081.85</v>
      </c>
      <c r="L94" s="370">
        <v>246803.1</v>
      </c>
      <c r="M94" s="371">
        <f t="shared" si="3"/>
        <v>4245807.58</v>
      </c>
      <c r="N94" s="35">
        <v>2349.8000000000002</v>
      </c>
      <c r="O94" s="35">
        <v>15898.9</v>
      </c>
      <c r="P94" s="35">
        <v>152128.95000000001</v>
      </c>
      <c r="Q94" s="35">
        <v>2204.2800000000002</v>
      </c>
      <c r="R94" s="35">
        <v>41705.800000000003</v>
      </c>
      <c r="S94" s="409"/>
      <c r="T94" s="35">
        <v>2830.3</v>
      </c>
      <c r="U94" s="380">
        <v>12850</v>
      </c>
      <c r="V94" s="35"/>
      <c r="W94" s="393"/>
      <c r="X94" s="372">
        <f t="shared" si="4"/>
        <v>4475775.6100000003</v>
      </c>
      <c r="Y94" s="35">
        <v>58955.35</v>
      </c>
      <c r="Z94" s="380"/>
      <c r="AA94" s="35">
        <v>155003.54999999999</v>
      </c>
      <c r="AB94" s="380"/>
      <c r="AC94" s="35">
        <v>117963.75</v>
      </c>
      <c r="AD94" s="380">
        <v>39762.15</v>
      </c>
      <c r="AE94" s="35"/>
      <c r="AF94" s="380"/>
      <c r="AG94" s="35"/>
      <c r="AH94" s="380"/>
      <c r="AI94" s="35"/>
      <c r="AJ94" s="380"/>
      <c r="AK94" s="35"/>
      <c r="AL94" s="403">
        <f t="shared" si="5"/>
        <v>371684.80000000005</v>
      </c>
      <c r="AM94" s="18">
        <v>74</v>
      </c>
      <c r="AN94" s="33">
        <v>1731</v>
      </c>
      <c r="AO94" s="393">
        <v>-19340.84</v>
      </c>
      <c r="AP94" s="35">
        <v>-32732</v>
      </c>
      <c r="AQ94" s="35">
        <v>-118.95</v>
      </c>
      <c r="AR94" s="35">
        <v>0.8</v>
      </c>
    </row>
    <row r="95" spans="1:44" x14ac:dyDescent="0.25">
      <c r="A95" s="383">
        <v>5541</v>
      </c>
      <c r="B95" s="367" t="s">
        <v>441</v>
      </c>
      <c r="C95" s="35">
        <v>2426782.34</v>
      </c>
      <c r="D95" s="35">
        <v>274112.65000000002</v>
      </c>
      <c r="E95" s="397"/>
      <c r="F95" s="368"/>
      <c r="G95" s="368">
        <v>83428.95</v>
      </c>
      <c r="H95" s="370">
        <v>2193.8000000000002</v>
      </c>
      <c r="I95" s="368"/>
      <c r="J95" s="370">
        <v>38121.31</v>
      </c>
      <c r="K95" s="368">
        <v>1170.1500000000001</v>
      </c>
      <c r="L95" s="370">
        <v>192791.35</v>
      </c>
      <c r="M95" s="371">
        <f t="shared" si="3"/>
        <v>3018600.55</v>
      </c>
      <c r="N95" s="35">
        <v>7197</v>
      </c>
      <c r="O95" s="35">
        <v>56271.9</v>
      </c>
      <c r="P95" s="35">
        <v>35585.4</v>
      </c>
      <c r="Q95" s="35"/>
      <c r="R95" s="35">
        <v>48023.45</v>
      </c>
      <c r="S95" s="409"/>
      <c r="T95" s="35"/>
      <c r="U95" s="380">
        <v>6550</v>
      </c>
      <c r="V95" s="35"/>
      <c r="W95" s="393"/>
      <c r="X95" s="372">
        <f t="shared" si="4"/>
        <v>3172228.3</v>
      </c>
      <c r="Y95" s="35">
        <v>17809.400000000001</v>
      </c>
      <c r="Z95" s="380"/>
      <c r="AA95" s="35">
        <v>58910.6</v>
      </c>
      <c r="AB95" s="380"/>
      <c r="AC95" s="35">
        <v>65316.7</v>
      </c>
      <c r="AD95" s="380">
        <v>11088.95</v>
      </c>
      <c r="AE95" s="35"/>
      <c r="AF95" s="380"/>
      <c r="AG95" s="35"/>
      <c r="AH95" s="380"/>
      <c r="AI95" s="35"/>
      <c r="AJ95" s="380"/>
      <c r="AK95" s="35"/>
      <c r="AL95" s="403">
        <f t="shared" si="5"/>
        <v>153125.65000000002</v>
      </c>
      <c r="AM95" s="18">
        <v>77</v>
      </c>
      <c r="AN95" s="33">
        <v>1110</v>
      </c>
      <c r="AO95" s="393">
        <v>-18125.009999999998</v>
      </c>
      <c r="AP95" s="35"/>
      <c r="AQ95" s="35">
        <v>-2.44</v>
      </c>
      <c r="AR95" s="35">
        <v>1</v>
      </c>
    </row>
    <row r="96" spans="1:44" x14ac:dyDescent="0.25">
      <c r="A96" s="383">
        <v>5551</v>
      </c>
      <c r="B96" s="367" t="s">
        <v>37</v>
      </c>
      <c r="C96" s="35">
        <v>785643.31</v>
      </c>
      <c r="D96" s="35">
        <v>120805.96</v>
      </c>
      <c r="E96" s="397"/>
      <c r="F96" s="368"/>
      <c r="G96" s="368">
        <v>21379.45</v>
      </c>
      <c r="H96" s="370">
        <v>198.45</v>
      </c>
      <c r="I96" s="368"/>
      <c r="J96" s="370">
        <v>4440.8999999999996</v>
      </c>
      <c r="K96" s="368">
        <v>5013.6000000000004</v>
      </c>
      <c r="L96" s="373">
        <v>103441.8</v>
      </c>
      <c r="M96" s="371">
        <f t="shared" si="3"/>
        <v>1040923.47</v>
      </c>
      <c r="N96" s="35">
        <v>10619.35</v>
      </c>
      <c r="O96" s="35"/>
      <c r="P96" s="35">
        <v>100674.4</v>
      </c>
      <c r="Q96" s="35"/>
      <c r="R96" s="35">
        <v>15155.5</v>
      </c>
      <c r="S96" s="409"/>
      <c r="T96" s="35"/>
      <c r="U96" s="380">
        <v>3208.35</v>
      </c>
      <c r="V96" s="35"/>
      <c r="W96" s="393"/>
      <c r="X96" s="372">
        <f t="shared" si="4"/>
        <v>1170581.07</v>
      </c>
      <c r="Y96" s="35">
        <v>4446.8999999999996</v>
      </c>
      <c r="Z96" s="380">
        <v>37348.5</v>
      </c>
      <c r="AA96" s="35">
        <v>40293.300000000003</v>
      </c>
      <c r="AB96" s="380"/>
      <c r="AC96" s="35">
        <v>28778.5</v>
      </c>
      <c r="AD96" s="380">
        <v>4941</v>
      </c>
      <c r="AE96" s="35"/>
      <c r="AF96" s="380"/>
      <c r="AG96" s="35">
        <v>2196</v>
      </c>
      <c r="AH96" s="380"/>
      <c r="AI96" s="35"/>
      <c r="AJ96" s="380"/>
      <c r="AK96" s="35"/>
      <c r="AL96" s="403">
        <f t="shared" si="5"/>
        <v>118004.20000000001</v>
      </c>
      <c r="AM96" s="18">
        <v>55</v>
      </c>
      <c r="AN96" s="33">
        <v>495</v>
      </c>
      <c r="AO96" s="393">
        <v>-89.15</v>
      </c>
      <c r="AP96" s="35"/>
      <c r="AQ96" s="35">
        <v>-251.57</v>
      </c>
      <c r="AR96" s="35">
        <v>1</v>
      </c>
    </row>
    <row r="97" spans="1:44" x14ac:dyDescent="0.25">
      <c r="A97" s="383">
        <v>5552</v>
      </c>
      <c r="B97" s="367" t="s">
        <v>38</v>
      </c>
      <c r="C97" s="35">
        <v>935720.63</v>
      </c>
      <c r="D97" s="35">
        <v>150811.93</v>
      </c>
      <c r="E97" s="397"/>
      <c r="F97" s="368"/>
      <c r="G97" s="368">
        <v>27411.45</v>
      </c>
      <c r="H97" s="370">
        <v>1371</v>
      </c>
      <c r="I97" s="368">
        <v>18158.48</v>
      </c>
      <c r="J97" s="370">
        <v>16042.29</v>
      </c>
      <c r="K97" s="368">
        <v>1528.9</v>
      </c>
      <c r="L97" s="370">
        <v>112420.6</v>
      </c>
      <c r="M97" s="371">
        <f t="shared" si="3"/>
        <v>1263465.28</v>
      </c>
      <c r="N97" s="35">
        <v>44648.35</v>
      </c>
      <c r="O97" s="35">
        <v>16432.599999999999</v>
      </c>
      <c r="P97" s="35">
        <v>55621.95</v>
      </c>
      <c r="Q97" s="35">
        <v>459.57</v>
      </c>
      <c r="R97" s="35">
        <v>19506.400000000001</v>
      </c>
      <c r="S97" s="409"/>
      <c r="T97" s="35">
        <v>364.9</v>
      </c>
      <c r="U97" s="380">
        <v>5400</v>
      </c>
      <c r="V97" s="35"/>
      <c r="W97" s="393"/>
      <c r="X97" s="372">
        <f t="shared" si="4"/>
        <v>1405899.05</v>
      </c>
      <c r="Y97" s="35">
        <v>18000</v>
      </c>
      <c r="Z97" s="380"/>
      <c r="AA97" s="35">
        <v>102018.5</v>
      </c>
      <c r="AB97" s="380"/>
      <c r="AC97" s="35">
        <v>72643.100000000006</v>
      </c>
      <c r="AD97" s="380">
        <v>13888.7</v>
      </c>
      <c r="AE97" s="35"/>
      <c r="AF97" s="380"/>
      <c r="AG97" s="35">
        <v>64783.45</v>
      </c>
      <c r="AH97" s="380">
        <v>23175.5</v>
      </c>
      <c r="AI97" s="35"/>
      <c r="AJ97" s="380"/>
      <c r="AK97" s="35"/>
      <c r="AL97" s="403">
        <f t="shared" si="5"/>
        <v>294509.25</v>
      </c>
      <c r="AM97" s="18">
        <v>70</v>
      </c>
      <c r="AN97" s="33">
        <v>644</v>
      </c>
      <c r="AO97" s="393">
        <v>-6636.37</v>
      </c>
      <c r="AP97" s="35"/>
      <c r="AQ97" s="35">
        <v>-2.21</v>
      </c>
      <c r="AR97" s="35">
        <v>1</v>
      </c>
    </row>
    <row r="98" spans="1:44" x14ac:dyDescent="0.25">
      <c r="A98" s="383">
        <v>5553</v>
      </c>
      <c r="B98" s="367" t="s">
        <v>39</v>
      </c>
      <c r="C98" s="35">
        <v>1644132.03</v>
      </c>
      <c r="D98" s="35">
        <v>253204.55</v>
      </c>
      <c r="E98" s="397"/>
      <c r="F98" s="368"/>
      <c r="G98" s="368">
        <v>81026.149999999994</v>
      </c>
      <c r="H98" s="370">
        <v>18672.95</v>
      </c>
      <c r="I98" s="368"/>
      <c r="J98" s="370">
        <v>44721.53</v>
      </c>
      <c r="K98" s="368">
        <v>18615.5</v>
      </c>
      <c r="L98" s="370">
        <v>205121.6</v>
      </c>
      <c r="M98" s="371">
        <f t="shared" si="3"/>
        <v>2265494.31</v>
      </c>
      <c r="N98" s="35">
        <v>128249.75</v>
      </c>
      <c r="O98" s="35">
        <v>5573.9</v>
      </c>
      <c r="P98" s="35">
        <v>110224.3</v>
      </c>
      <c r="Q98" s="35"/>
      <c r="R98" s="35">
        <v>18822.400000000001</v>
      </c>
      <c r="S98" s="409"/>
      <c r="T98" s="35">
        <v>100</v>
      </c>
      <c r="U98" s="380">
        <v>5700</v>
      </c>
      <c r="V98" s="35">
        <v>827.9</v>
      </c>
      <c r="W98" s="393"/>
      <c r="X98" s="372">
        <f t="shared" si="4"/>
        <v>2534992.5599999996</v>
      </c>
      <c r="Y98" s="35">
        <v>13314.1</v>
      </c>
      <c r="Z98" s="380"/>
      <c r="AA98" s="35">
        <v>133699.70000000001</v>
      </c>
      <c r="AB98" s="380"/>
      <c r="AC98" s="35">
        <v>59693.9</v>
      </c>
      <c r="AD98" s="380">
        <v>17683.400000000001</v>
      </c>
      <c r="AE98" s="35"/>
      <c r="AF98" s="380"/>
      <c r="AG98" s="35"/>
      <c r="AH98" s="380">
        <v>80340.149999999994</v>
      </c>
      <c r="AI98" s="35"/>
      <c r="AJ98" s="380"/>
      <c r="AK98" s="35"/>
      <c r="AL98" s="403">
        <f t="shared" si="5"/>
        <v>304731.25</v>
      </c>
      <c r="AM98" s="18">
        <v>65</v>
      </c>
      <c r="AN98" s="33">
        <v>1027</v>
      </c>
      <c r="AO98" s="393">
        <v>-22312.42</v>
      </c>
      <c r="AP98" s="35"/>
      <c r="AQ98" s="35">
        <v>-453.75</v>
      </c>
      <c r="AR98" s="35">
        <v>1</v>
      </c>
    </row>
    <row r="99" spans="1:44" x14ac:dyDescent="0.25">
      <c r="A99" s="383">
        <v>5554</v>
      </c>
      <c r="B99" s="367" t="s">
        <v>40</v>
      </c>
      <c r="C99" s="35">
        <v>1779892.41</v>
      </c>
      <c r="D99" s="35">
        <v>365167.88</v>
      </c>
      <c r="E99" s="397"/>
      <c r="F99" s="368"/>
      <c r="G99" s="368">
        <v>10460.9</v>
      </c>
      <c r="H99" s="370">
        <v>623.45000000000005</v>
      </c>
      <c r="I99" s="368"/>
      <c r="J99" s="370">
        <v>39776.75</v>
      </c>
      <c r="K99" s="368">
        <v>6538.85</v>
      </c>
      <c r="L99" s="370">
        <v>167391.5</v>
      </c>
      <c r="M99" s="371">
        <f t="shared" si="3"/>
        <v>2369851.7400000002</v>
      </c>
      <c r="N99" s="35">
        <v>1585.3</v>
      </c>
      <c r="O99" s="35">
        <v>24244.400000000001</v>
      </c>
      <c r="P99" s="35">
        <v>52994.6</v>
      </c>
      <c r="Q99" s="35">
        <v>43217.08</v>
      </c>
      <c r="R99" s="35">
        <v>40015.1</v>
      </c>
      <c r="S99" s="409">
        <v>1377.25</v>
      </c>
      <c r="T99" s="35"/>
      <c r="U99" s="380">
        <v>5400</v>
      </c>
      <c r="V99" s="35"/>
      <c r="W99" s="393">
        <v>331.2</v>
      </c>
      <c r="X99" s="372">
        <f t="shared" si="4"/>
        <v>2539016.6700000004</v>
      </c>
      <c r="Y99" s="35">
        <v>1380</v>
      </c>
      <c r="Z99" s="380">
        <v>49114</v>
      </c>
      <c r="AA99" s="35">
        <v>120750</v>
      </c>
      <c r="AB99" s="380"/>
      <c r="AC99" s="35">
        <v>56082.9</v>
      </c>
      <c r="AD99" s="380">
        <v>2875</v>
      </c>
      <c r="AE99" s="35">
        <v>119890</v>
      </c>
      <c r="AF99" s="380"/>
      <c r="AG99" s="35">
        <v>37146.949999999997</v>
      </c>
      <c r="AH99" s="380">
        <v>28331.05</v>
      </c>
      <c r="AI99" s="35"/>
      <c r="AJ99" s="380"/>
      <c r="AK99" s="35"/>
      <c r="AL99" s="403">
        <f t="shared" si="5"/>
        <v>415569.9</v>
      </c>
      <c r="AM99" s="18">
        <v>75</v>
      </c>
      <c r="AN99" s="33">
        <v>969</v>
      </c>
      <c r="AO99" s="393">
        <v>-34091.85</v>
      </c>
      <c r="AP99" s="35"/>
      <c r="AQ99" s="35">
        <v>-915.76</v>
      </c>
      <c r="AR99" s="35">
        <v>1</v>
      </c>
    </row>
    <row r="100" spans="1:44" x14ac:dyDescent="0.25">
      <c r="A100" s="383">
        <v>5555</v>
      </c>
      <c r="B100" s="367" t="s">
        <v>41</v>
      </c>
      <c r="C100" s="35">
        <v>682944.37</v>
      </c>
      <c r="D100" s="35">
        <v>171564.11</v>
      </c>
      <c r="E100" s="397"/>
      <c r="F100" s="368"/>
      <c r="G100" s="368">
        <v>8763.25</v>
      </c>
      <c r="H100" s="370">
        <v>2062.75</v>
      </c>
      <c r="I100" s="368"/>
      <c r="J100" s="370">
        <v>25954.69</v>
      </c>
      <c r="K100" s="368">
        <v>1829.1</v>
      </c>
      <c r="L100" s="370">
        <v>81681.25</v>
      </c>
      <c r="M100" s="371">
        <f t="shared" si="3"/>
        <v>974799.5199999999</v>
      </c>
      <c r="N100" s="35">
        <v>7825.5</v>
      </c>
      <c r="O100" s="35">
        <v>1530.3</v>
      </c>
      <c r="P100" s="35">
        <v>60753.05</v>
      </c>
      <c r="Q100" s="35">
        <v>3049.2</v>
      </c>
      <c r="R100" s="35">
        <v>56927.35</v>
      </c>
      <c r="S100" s="409"/>
      <c r="T100" s="35"/>
      <c r="U100" s="380">
        <v>1680</v>
      </c>
      <c r="V100" s="35"/>
      <c r="W100" s="393"/>
      <c r="X100" s="372">
        <f t="shared" si="4"/>
        <v>1106564.92</v>
      </c>
      <c r="Y100" s="35">
        <v>5196</v>
      </c>
      <c r="Z100" s="380"/>
      <c r="AA100" s="35">
        <v>93514.7</v>
      </c>
      <c r="AB100" s="380"/>
      <c r="AC100" s="35">
        <v>19914.2</v>
      </c>
      <c r="AD100" s="380">
        <v>8660</v>
      </c>
      <c r="AE100" s="35"/>
      <c r="AF100" s="380"/>
      <c r="AG100" s="35">
        <v>10472.6</v>
      </c>
      <c r="AH100" s="380">
        <v>4700</v>
      </c>
      <c r="AI100" s="35"/>
      <c r="AJ100" s="380"/>
      <c r="AK100" s="35"/>
      <c r="AL100" s="403">
        <f t="shared" si="5"/>
        <v>142457.5</v>
      </c>
      <c r="AM100" s="18">
        <v>71</v>
      </c>
      <c r="AN100" s="33">
        <v>377</v>
      </c>
      <c r="AO100" s="393">
        <v>-8875.9500000000007</v>
      </c>
      <c r="AP100" s="35"/>
      <c r="AQ100" s="35">
        <v>-0.86</v>
      </c>
      <c r="AR100" s="35">
        <v>1</v>
      </c>
    </row>
    <row r="101" spans="1:44" x14ac:dyDescent="0.25">
      <c r="A101" s="383">
        <v>5556</v>
      </c>
      <c r="B101" s="367" t="s">
        <v>42</v>
      </c>
      <c r="C101" s="35">
        <v>737822.71999999997</v>
      </c>
      <c r="D101" s="35">
        <v>79609.149999999994</v>
      </c>
      <c r="E101" s="397"/>
      <c r="F101" s="368">
        <v>2200</v>
      </c>
      <c r="G101" s="368">
        <v>1254.9000000000001</v>
      </c>
      <c r="H101" s="370">
        <v>15.15</v>
      </c>
      <c r="I101" s="368"/>
      <c r="J101" s="370">
        <v>5726.85</v>
      </c>
      <c r="K101" s="368">
        <v>519.15</v>
      </c>
      <c r="L101" s="373">
        <v>78147.8</v>
      </c>
      <c r="M101" s="371">
        <f t="shared" si="3"/>
        <v>905295.72000000009</v>
      </c>
      <c r="N101" s="35"/>
      <c r="O101" s="35">
        <v>425344.2</v>
      </c>
      <c r="P101" s="35">
        <v>31181</v>
      </c>
      <c r="Q101" s="35"/>
      <c r="R101" s="35">
        <v>18020.849999999999</v>
      </c>
      <c r="S101" s="409">
        <v>125</v>
      </c>
      <c r="T101" s="35">
        <v>247.25</v>
      </c>
      <c r="U101" s="380">
        <v>3290</v>
      </c>
      <c r="V101" s="35"/>
      <c r="W101" s="393"/>
      <c r="X101" s="372">
        <f t="shared" si="4"/>
        <v>1383504.0200000003</v>
      </c>
      <c r="Y101" s="35"/>
      <c r="Z101" s="380"/>
      <c r="AA101" s="35">
        <v>64105.25</v>
      </c>
      <c r="AB101" s="380"/>
      <c r="AC101" s="35">
        <v>12383</v>
      </c>
      <c r="AD101" s="380"/>
      <c r="AE101" s="35"/>
      <c r="AF101" s="380"/>
      <c r="AG101" s="35">
        <v>480</v>
      </c>
      <c r="AH101" s="380"/>
      <c r="AI101" s="35"/>
      <c r="AJ101" s="380"/>
      <c r="AK101" s="35"/>
      <c r="AL101" s="403">
        <f t="shared" si="5"/>
        <v>76968.25</v>
      </c>
      <c r="AM101" s="18">
        <v>69</v>
      </c>
      <c r="AN101" s="33">
        <v>425</v>
      </c>
      <c r="AO101" s="393">
        <v>-1314</v>
      </c>
      <c r="AP101" s="35"/>
      <c r="AQ101" s="35">
        <v>-0.12</v>
      </c>
      <c r="AR101" s="35">
        <v>1.2</v>
      </c>
    </row>
    <row r="102" spans="1:44" x14ac:dyDescent="0.25">
      <c r="A102" s="383">
        <v>5557</v>
      </c>
      <c r="B102" s="367" t="s">
        <v>43</v>
      </c>
      <c r="C102" s="35">
        <v>245212.76</v>
      </c>
      <c r="D102" s="35">
        <v>26122.84</v>
      </c>
      <c r="E102" s="397"/>
      <c r="F102" s="368">
        <v>990</v>
      </c>
      <c r="G102" s="368">
        <v>8661.7999999999993</v>
      </c>
      <c r="H102" s="370">
        <v>162.75</v>
      </c>
      <c r="I102" s="368"/>
      <c r="J102" s="370">
        <v>1486.95</v>
      </c>
      <c r="K102" s="368">
        <v>270.89999999999998</v>
      </c>
      <c r="L102" s="370">
        <v>30035.7</v>
      </c>
      <c r="M102" s="371">
        <f t="shared" si="3"/>
        <v>312943.70000000007</v>
      </c>
      <c r="N102" s="35"/>
      <c r="O102" s="35">
        <v>945.6</v>
      </c>
      <c r="P102" s="35">
        <v>21738</v>
      </c>
      <c r="Q102" s="35">
        <v>800.77</v>
      </c>
      <c r="R102" s="35">
        <v>7943.8</v>
      </c>
      <c r="S102" s="409"/>
      <c r="T102" s="35"/>
      <c r="U102" s="380">
        <v>705</v>
      </c>
      <c r="V102" s="35"/>
      <c r="W102" s="393"/>
      <c r="X102" s="372">
        <f t="shared" si="4"/>
        <v>345076.87000000005</v>
      </c>
      <c r="Y102" s="35"/>
      <c r="Z102" s="380"/>
      <c r="AA102" s="35">
        <v>24600</v>
      </c>
      <c r="AB102" s="380"/>
      <c r="AC102" s="35">
        <v>14097</v>
      </c>
      <c r="AD102" s="380"/>
      <c r="AE102" s="35"/>
      <c r="AF102" s="380"/>
      <c r="AG102" s="35"/>
      <c r="AH102" s="380"/>
      <c r="AI102" s="35"/>
      <c r="AJ102" s="380"/>
      <c r="AK102" s="35"/>
      <c r="AL102" s="403">
        <f t="shared" si="5"/>
        <v>38697</v>
      </c>
      <c r="AM102" s="18">
        <v>69</v>
      </c>
      <c r="AN102" s="33">
        <v>210</v>
      </c>
      <c r="AO102" s="393">
        <v>-5164.3100000000004</v>
      </c>
      <c r="AP102" s="35"/>
      <c r="AQ102" s="35">
        <v>0</v>
      </c>
      <c r="AR102" s="35">
        <v>1</v>
      </c>
    </row>
    <row r="103" spans="1:44" x14ac:dyDescent="0.25">
      <c r="A103" s="383">
        <v>5559</v>
      </c>
      <c r="B103" s="367" t="s">
        <v>44</v>
      </c>
      <c r="C103" s="35">
        <v>758871.01</v>
      </c>
      <c r="D103" s="35">
        <v>261896.04</v>
      </c>
      <c r="E103" s="397"/>
      <c r="F103" s="368"/>
      <c r="G103" s="368">
        <v>-153556.45000000001</v>
      </c>
      <c r="H103" s="370">
        <v>1656</v>
      </c>
      <c r="I103" s="368"/>
      <c r="J103" s="370">
        <v>7128</v>
      </c>
      <c r="K103" s="368">
        <v>3427.8</v>
      </c>
      <c r="L103" s="370">
        <v>84923.3</v>
      </c>
      <c r="M103" s="371">
        <f t="shared" si="3"/>
        <v>964345.70000000019</v>
      </c>
      <c r="N103" s="35">
        <v>18858.099999999999</v>
      </c>
      <c r="O103" s="35">
        <v>2548.6999999999998</v>
      </c>
      <c r="P103" s="35">
        <v>23033.35</v>
      </c>
      <c r="Q103" s="35">
        <v>1666.8</v>
      </c>
      <c r="R103" s="35">
        <v>31515.85</v>
      </c>
      <c r="S103" s="409"/>
      <c r="T103" s="35">
        <v>247.25</v>
      </c>
      <c r="U103" s="380">
        <v>880</v>
      </c>
      <c r="V103" s="35">
        <v>219.75</v>
      </c>
      <c r="W103" s="393"/>
      <c r="X103" s="372">
        <f t="shared" si="4"/>
        <v>1043315.5000000001</v>
      </c>
      <c r="Y103" s="35">
        <v>19168</v>
      </c>
      <c r="Z103" s="380"/>
      <c r="AA103" s="35">
        <v>82212.649999999994</v>
      </c>
      <c r="AB103" s="380"/>
      <c r="AC103" s="35">
        <v>26126.9</v>
      </c>
      <c r="AD103" s="380">
        <v>5600</v>
      </c>
      <c r="AE103" s="35"/>
      <c r="AF103" s="380"/>
      <c r="AG103" s="35">
        <v>5251.2</v>
      </c>
      <c r="AH103" s="380"/>
      <c r="AI103" s="35"/>
      <c r="AJ103" s="380"/>
      <c r="AK103" s="35"/>
      <c r="AL103" s="403">
        <f t="shared" si="5"/>
        <v>138358.75</v>
      </c>
      <c r="AM103" s="18">
        <v>66</v>
      </c>
      <c r="AN103" s="33">
        <v>421</v>
      </c>
      <c r="AO103" s="393">
        <v>-15820.41</v>
      </c>
      <c r="AP103" s="35"/>
      <c r="AQ103" s="35">
        <v>-398.96</v>
      </c>
      <c r="AR103" s="35">
        <v>1</v>
      </c>
    </row>
    <row r="104" spans="1:44" x14ac:dyDescent="0.25">
      <c r="A104" s="383">
        <v>5560</v>
      </c>
      <c r="B104" s="367" t="s">
        <v>45</v>
      </c>
      <c r="C104" s="35">
        <v>375607.48</v>
      </c>
      <c r="D104" s="35">
        <v>34657.89</v>
      </c>
      <c r="E104" s="397"/>
      <c r="F104" s="368"/>
      <c r="G104" s="368">
        <v>802.85</v>
      </c>
      <c r="H104" s="370">
        <v>4.5999999999999996</v>
      </c>
      <c r="I104" s="368"/>
      <c r="J104" s="370">
        <v>-6587.12</v>
      </c>
      <c r="K104" s="368">
        <v>566.70000000000005</v>
      </c>
      <c r="L104" s="370">
        <v>39826.550000000003</v>
      </c>
      <c r="M104" s="371">
        <f t="shared" si="3"/>
        <v>444878.94999999995</v>
      </c>
      <c r="N104" s="35"/>
      <c r="O104" s="35">
        <v>230.3</v>
      </c>
      <c r="P104" s="35">
        <v>18468.5</v>
      </c>
      <c r="Q104" s="35"/>
      <c r="R104" s="35">
        <v>8668.25</v>
      </c>
      <c r="S104" s="409"/>
      <c r="T104" s="35"/>
      <c r="U104" s="380">
        <v>1625</v>
      </c>
      <c r="V104" s="35"/>
      <c r="W104" s="393"/>
      <c r="X104" s="372">
        <f t="shared" si="4"/>
        <v>473870.99999999994</v>
      </c>
      <c r="Y104" s="35">
        <v>2431</v>
      </c>
      <c r="Z104" s="380"/>
      <c r="AA104" s="35">
        <v>33357</v>
      </c>
      <c r="AB104" s="380"/>
      <c r="AC104" s="35">
        <v>12343.55</v>
      </c>
      <c r="AD104" s="380">
        <v>4480</v>
      </c>
      <c r="AE104" s="35"/>
      <c r="AF104" s="380"/>
      <c r="AG104" s="35">
        <v>2495</v>
      </c>
      <c r="AH104" s="380"/>
      <c r="AI104" s="35"/>
      <c r="AJ104" s="380"/>
      <c r="AK104" s="35"/>
      <c r="AL104" s="403">
        <f t="shared" si="5"/>
        <v>55106.55</v>
      </c>
      <c r="AM104" s="18">
        <v>68</v>
      </c>
      <c r="AN104" s="33">
        <v>229</v>
      </c>
      <c r="AO104" s="393">
        <v>-18640.64</v>
      </c>
      <c r="AP104" s="35"/>
      <c r="AQ104" s="35">
        <v>0</v>
      </c>
      <c r="AR104" s="35">
        <v>1</v>
      </c>
    </row>
    <row r="105" spans="1:44" x14ac:dyDescent="0.25">
      <c r="A105" s="383">
        <v>5561</v>
      </c>
      <c r="B105" s="367" t="s">
        <v>46</v>
      </c>
      <c r="C105" s="35">
        <v>6116231.0300000003</v>
      </c>
      <c r="D105" s="35">
        <v>1043158.96</v>
      </c>
      <c r="E105" s="397"/>
      <c r="F105" s="368"/>
      <c r="G105" s="368">
        <v>280960.84999999998</v>
      </c>
      <c r="H105" s="370">
        <v>7651.1</v>
      </c>
      <c r="I105" s="368"/>
      <c r="J105" s="370">
        <v>115848.41</v>
      </c>
      <c r="K105" s="368">
        <v>28638.35</v>
      </c>
      <c r="L105" s="370">
        <v>555808.6</v>
      </c>
      <c r="M105" s="371">
        <f t="shared" si="3"/>
        <v>8148297.2999999989</v>
      </c>
      <c r="N105" s="35">
        <v>286091.09999999998</v>
      </c>
      <c r="O105" s="35">
        <v>183273.15</v>
      </c>
      <c r="P105" s="35">
        <v>144671</v>
      </c>
      <c r="Q105" s="35">
        <v>21529.73</v>
      </c>
      <c r="R105" s="35">
        <v>57269.75</v>
      </c>
      <c r="S105" s="409"/>
      <c r="T105" s="35">
        <v>9809.65</v>
      </c>
      <c r="U105" s="380">
        <v>11100</v>
      </c>
      <c r="V105" s="35">
        <v>680</v>
      </c>
      <c r="W105" s="393">
        <v>80</v>
      </c>
      <c r="X105" s="372">
        <f t="shared" si="4"/>
        <v>8862801.6799999997</v>
      </c>
      <c r="Y105" s="35">
        <v>32994.25</v>
      </c>
      <c r="Z105" s="380"/>
      <c r="AA105" s="35">
        <v>244526.45</v>
      </c>
      <c r="AB105" s="380"/>
      <c r="AC105" s="35">
        <v>333801.5</v>
      </c>
      <c r="AD105" s="380">
        <v>254395.05</v>
      </c>
      <c r="AE105" s="35"/>
      <c r="AF105" s="380"/>
      <c r="AG105" s="35">
        <v>59507.8</v>
      </c>
      <c r="AH105" s="380">
        <v>93872.95</v>
      </c>
      <c r="AI105" s="35"/>
      <c r="AJ105" s="380"/>
      <c r="AK105" s="35"/>
      <c r="AL105" s="403">
        <f t="shared" si="5"/>
        <v>1019098</v>
      </c>
      <c r="AM105" s="18">
        <v>69</v>
      </c>
      <c r="AN105" s="33">
        <v>3284</v>
      </c>
      <c r="AO105" s="393">
        <v>-99993.88</v>
      </c>
      <c r="AP105" s="35"/>
      <c r="AQ105" s="35">
        <v>-205.46</v>
      </c>
      <c r="AR105" s="35">
        <v>1</v>
      </c>
    </row>
    <row r="106" spans="1:44" x14ac:dyDescent="0.25">
      <c r="A106" s="383">
        <v>5562</v>
      </c>
      <c r="B106" s="367" t="s">
        <v>47</v>
      </c>
      <c r="C106" s="35">
        <v>241310.96</v>
      </c>
      <c r="D106" s="35">
        <v>135719.07</v>
      </c>
      <c r="E106" s="397"/>
      <c r="F106" s="368">
        <v>730</v>
      </c>
      <c r="G106" s="368">
        <v>2342.25</v>
      </c>
      <c r="H106" s="370">
        <v>57.05</v>
      </c>
      <c r="I106" s="368"/>
      <c r="J106" s="370">
        <v>6000.03</v>
      </c>
      <c r="K106" s="368">
        <v>1155.5</v>
      </c>
      <c r="L106" s="370">
        <v>32818.949999999997</v>
      </c>
      <c r="M106" s="371">
        <f t="shared" si="3"/>
        <v>420133.81000000006</v>
      </c>
      <c r="N106" s="35"/>
      <c r="O106" s="35">
        <v>9400.5</v>
      </c>
      <c r="P106" s="35">
        <v>3704.95</v>
      </c>
      <c r="Q106" s="35">
        <v>110.97</v>
      </c>
      <c r="R106" s="35"/>
      <c r="S106" s="409"/>
      <c r="T106" s="35">
        <v>25</v>
      </c>
      <c r="U106" s="380">
        <v>550</v>
      </c>
      <c r="V106" s="35">
        <v>218.75</v>
      </c>
      <c r="W106" s="393"/>
      <c r="X106" s="372">
        <f t="shared" si="4"/>
        <v>434143.98000000004</v>
      </c>
      <c r="Y106" s="35">
        <v>7200</v>
      </c>
      <c r="Z106" s="380"/>
      <c r="AA106" s="35">
        <v>39738</v>
      </c>
      <c r="AB106" s="380"/>
      <c r="AC106" s="35">
        <v>17581.7</v>
      </c>
      <c r="AD106" s="380"/>
      <c r="AE106" s="35"/>
      <c r="AF106" s="380"/>
      <c r="AG106" s="35">
        <v>7106.05</v>
      </c>
      <c r="AH106" s="380"/>
      <c r="AI106" s="35"/>
      <c r="AJ106" s="380"/>
      <c r="AK106" s="35"/>
      <c r="AL106" s="403">
        <f t="shared" si="5"/>
        <v>71625.75</v>
      </c>
      <c r="AM106" s="18">
        <v>70</v>
      </c>
      <c r="AN106" s="33">
        <v>119</v>
      </c>
      <c r="AO106" s="393">
        <v>-739.61</v>
      </c>
      <c r="AP106" s="35"/>
      <c r="AQ106" s="35">
        <v>0</v>
      </c>
      <c r="AR106" s="35">
        <v>1.2</v>
      </c>
    </row>
    <row r="107" spans="1:44" x14ac:dyDescent="0.25">
      <c r="A107" s="383">
        <v>5563</v>
      </c>
      <c r="B107" s="367" t="s">
        <v>290</v>
      </c>
      <c r="C107" s="35">
        <v>177090.76</v>
      </c>
      <c r="D107" s="35">
        <v>44987.42</v>
      </c>
      <c r="E107" s="397"/>
      <c r="F107" s="368">
        <v>534</v>
      </c>
      <c r="G107" s="368">
        <v>810</v>
      </c>
      <c r="H107" s="370">
        <v>11.25</v>
      </c>
      <c r="I107" s="368"/>
      <c r="J107" s="370">
        <v>332.06</v>
      </c>
      <c r="K107" s="368"/>
      <c r="L107" s="370">
        <v>20665.95</v>
      </c>
      <c r="M107" s="371">
        <f t="shared" si="3"/>
        <v>244431.44</v>
      </c>
      <c r="N107" s="35"/>
      <c r="O107" s="35">
        <v>26.9</v>
      </c>
      <c r="P107" s="35">
        <v>11950.95</v>
      </c>
      <c r="Q107" s="35"/>
      <c r="R107" s="35">
        <v>265.14999999999998</v>
      </c>
      <c r="S107" s="409"/>
      <c r="T107" s="35">
        <v>200</v>
      </c>
      <c r="U107" s="380">
        <v>681</v>
      </c>
      <c r="V107" s="35"/>
      <c r="W107" s="393"/>
      <c r="X107" s="372">
        <f t="shared" si="4"/>
        <v>257555.44</v>
      </c>
      <c r="Y107" s="35"/>
      <c r="Z107" s="380"/>
      <c r="AA107" s="35">
        <v>29888</v>
      </c>
      <c r="AB107" s="380"/>
      <c r="AC107" s="35">
        <v>11057</v>
      </c>
      <c r="AD107" s="380"/>
      <c r="AE107" s="35"/>
      <c r="AF107" s="380"/>
      <c r="AG107" s="35"/>
      <c r="AH107" s="380"/>
      <c r="AI107" s="35"/>
      <c r="AJ107" s="380"/>
      <c r="AK107" s="35"/>
      <c r="AL107" s="403">
        <f t="shared" si="5"/>
        <v>40945</v>
      </c>
      <c r="AM107" s="18">
        <v>78.5</v>
      </c>
      <c r="AN107" s="33">
        <v>163</v>
      </c>
      <c r="AO107" s="393">
        <v>-58.14</v>
      </c>
      <c r="AP107" s="35"/>
      <c r="AQ107" s="35">
        <v>0</v>
      </c>
      <c r="AR107" s="35">
        <v>1</v>
      </c>
    </row>
    <row r="108" spans="1:44" x14ac:dyDescent="0.25">
      <c r="A108" s="383">
        <v>5564</v>
      </c>
      <c r="B108" s="367" t="s">
        <v>291</v>
      </c>
      <c r="C108" s="35">
        <v>175592.64</v>
      </c>
      <c r="D108" s="35">
        <v>15016.12</v>
      </c>
      <c r="E108" s="397"/>
      <c r="F108" s="368"/>
      <c r="G108" s="368">
        <v>221.5</v>
      </c>
      <c r="H108" s="370">
        <v>11.85</v>
      </c>
      <c r="I108" s="368"/>
      <c r="J108" s="370">
        <v>-235.32</v>
      </c>
      <c r="K108" s="368"/>
      <c r="L108" s="370">
        <v>10289.75</v>
      </c>
      <c r="M108" s="371">
        <f t="shared" si="3"/>
        <v>200896.54</v>
      </c>
      <c r="N108" s="35"/>
      <c r="O108" s="35"/>
      <c r="P108" s="35">
        <v>9361</v>
      </c>
      <c r="Q108" s="35"/>
      <c r="R108" s="35">
        <v>7491.2</v>
      </c>
      <c r="S108" s="409"/>
      <c r="T108" s="35">
        <v>200</v>
      </c>
      <c r="U108" s="380">
        <v>200</v>
      </c>
      <c r="V108" s="35"/>
      <c r="W108" s="393"/>
      <c r="X108" s="372">
        <f t="shared" si="4"/>
        <v>218148.74000000002</v>
      </c>
      <c r="Y108" s="35"/>
      <c r="Z108" s="380"/>
      <c r="AA108" s="35">
        <v>21745.85</v>
      </c>
      <c r="AB108" s="380"/>
      <c r="AC108" s="35">
        <v>11695.9</v>
      </c>
      <c r="AD108" s="380"/>
      <c r="AE108" s="35"/>
      <c r="AF108" s="380"/>
      <c r="AG108" s="35"/>
      <c r="AH108" s="380"/>
      <c r="AI108" s="35"/>
      <c r="AJ108" s="380"/>
      <c r="AK108" s="35"/>
      <c r="AL108" s="403">
        <f t="shared" si="5"/>
        <v>33441.75</v>
      </c>
      <c r="AM108" s="18">
        <v>76</v>
      </c>
      <c r="AN108" s="33">
        <v>101</v>
      </c>
      <c r="AO108" s="393">
        <v>-3823.54</v>
      </c>
      <c r="AP108" s="35"/>
      <c r="AQ108" s="35">
        <v>-9.23</v>
      </c>
      <c r="AR108" s="35">
        <v>0.8</v>
      </c>
    </row>
    <row r="109" spans="1:44" x14ac:dyDescent="0.25">
      <c r="A109" s="383">
        <v>5565</v>
      </c>
      <c r="B109" s="367" t="s">
        <v>292</v>
      </c>
      <c r="C109" s="35">
        <v>931094.6</v>
      </c>
      <c r="D109" s="35">
        <v>81586.06</v>
      </c>
      <c r="E109" s="397"/>
      <c r="F109" s="368"/>
      <c r="G109" s="368">
        <v>100610.25</v>
      </c>
      <c r="H109" s="370">
        <v>3810.95</v>
      </c>
      <c r="I109" s="368"/>
      <c r="J109" s="370">
        <v>1925.84</v>
      </c>
      <c r="K109" s="368">
        <v>789.15</v>
      </c>
      <c r="L109" s="370">
        <v>120553.25</v>
      </c>
      <c r="M109" s="371">
        <f t="shared" si="3"/>
        <v>1240370.0999999999</v>
      </c>
      <c r="N109" s="35">
        <v>31110.9</v>
      </c>
      <c r="O109" s="35">
        <v>3481.8</v>
      </c>
      <c r="P109" s="35">
        <v>20231.849999999999</v>
      </c>
      <c r="Q109" s="35">
        <v>2138.75</v>
      </c>
      <c r="R109" s="35">
        <v>56108.15</v>
      </c>
      <c r="S109" s="409"/>
      <c r="T109" s="35"/>
      <c r="U109" s="380">
        <v>2880</v>
      </c>
      <c r="V109" s="35"/>
      <c r="W109" s="393"/>
      <c r="X109" s="372">
        <f t="shared" si="4"/>
        <v>1356321.5499999998</v>
      </c>
      <c r="Y109" s="35"/>
      <c r="Z109" s="380"/>
      <c r="AA109" s="35">
        <v>101272.3</v>
      </c>
      <c r="AB109" s="380"/>
      <c r="AC109" s="35">
        <v>27704.9</v>
      </c>
      <c r="AD109" s="380"/>
      <c r="AE109" s="35"/>
      <c r="AF109" s="380"/>
      <c r="AG109" s="35">
        <v>5027.1499999999996</v>
      </c>
      <c r="AH109" s="380">
        <v>36992.75</v>
      </c>
      <c r="AI109" s="35"/>
      <c r="AJ109" s="380"/>
      <c r="AK109" s="35"/>
      <c r="AL109" s="403">
        <f t="shared" si="5"/>
        <v>170997.1</v>
      </c>
      <c r="AM109" s="18">
        <v>65</v>
      </c>
      <c r="AN109" s="33">
        <v>477</v>
      </c>
      <c r="AO109" s="393">
        <v>-5300.93</v>
      </c>
      <c r="AP109" s="35"/>
      <c r="AQ109" s="35">
        <v>-1131.3499999999999</v>
      </c>
      <c r="AR109" s="35">
        <v>1</v>
      </c>
    </row>
    <row r="110" spans="1:44" x14ac:dyDescent="0.25">
      <c r="A110" s="383">
        <v>5566</v>
      </c>
      <c r="B110" s="367" t="s">
        <v>293</v>
      </c>
      <c r="C110" s="35">
        <v>523710.27</v>
      </c>
      <c r="D110" s="35">
        <v>58343.87</v>
      </c>
      <c r="E110" s="397"/>
      <c r="F110" s="368">
        <v>2640</v>
      </c>
      <c r="G110" s="368">
        <v>6504.15</v>
      </c>
      <c r="H110" s="370">
        <v>1801.35</v>
      </c>
      <c r="I110" s="368"/>
      <c r="J110" s="370">
        <v>9052.56</v>
      </c>
      <c r="K110" s="368">
        <v>-23.099999999999898</v>
      </c>
      <c r="L110" s="370">
        <v>75224.600000000006</v>
      </c>
      <c r="M110" s="371">
        <f t="shared" si="3"/>
        <v>677253.70000000007</v>
      </c>
      <c r="N110" s="35">
        <v>50657.7</v>
      </c>
      <c r="O110" s="35">
        <v>1.7</v>
      </c>
      <c r="P110" s="35">
        <v>8915.7999999999993</v>
      </c>
      <c r="Q110" s="35"/>
      <c r="R110" s="35">
        <v>290.2</v>
      </c>
      <c r="S110" s="409">
        <v>150</v>
      </c>
      <c r="T110" s="35">
        <v>897.25</v>
      </c>
      <c r="U110" s="380">
        <v>1755</v>
      </c>
      <c r="V110" s="35"/>
      <c r="W110" s="393"/>
      <c r="X110" s="372">
        <f t="shared" si="4"/>
        <v>739921.35</v>
      </c>
      <c r="Y110" s="35">
        <v>2998.55</v>
      </c>
      <c r="Z110" s="380"/>
      <c r="AA110" s="35">
        <v>58704.05</v>
      </c>
      <c r="AB110" s="380"/>
      <c r="AC110" s="35">
        <v>32596.91</v>
      </c>
      <c r="AD110" s="380">
        <v>2500</v>
      </c>
      <c r="AE110" s="35"/>
      <c r="AF110" s="380"/>
      <c r="AG110" s="35"/>
      <c r="AH110" s="380"/>
      <c r="AI110" s="35"/>
      <c r="AJ110" s="380"/>
      <c r="AK110" s="35"/>
      <c r="AL110" s="403">
        <f t="shared" si="5"/>
        <v>96799.510000000009</v>
      </c>
      <c r="AM110" s="18">
        <v>81</v>
      </c>
      <c r="AN110" s="33">
        <v>388</v>
      </c>
      <c r="AO110" s="393">
        <v>-8666.65</v>
      </c>
      <c r="AP110" s="35"/>
      <c r="AQ110" s="35">
        <v>0</v>
      </c>
      <c r="AR110" s="35">
        <v>1.5</v>
      </c>
    </row>
    <row r="111" spans="1:44" x14ac:dyDescent="0.25">
      <c r="A111" s="383">
        <v>5568</v>
      </c>
      <c r="B111" s="367" t="s">
        <v>124</v>
      </c>
      <c r="C111" s="35">
        <v>5576252.7199999997</v>
      </c>
      <c r="D111" s="35">
        <v>655255.12</v>
      </c>
      <c r="E111" s="397"/>
      <c r="F111" s="368"/>
      <c r="G111" s="368">
        <v>253264.15</v>
      </c>
      <c r="H111" s="370">
        <v>16572.400000000001</v>
      </c>
      <c r="I111" s="368">
        <v>20500.55</v>
      </c>
      <c r="J111" s="370">
        <v>192599.97</v>
      </c>
      <c r="K111" s="368">
        <v>26904.6</v>
      </c>
      <c r="L111" s="370">
        <v>562788.85</v>
      </c>
      <c r="M111" s="371">
        <f t="shared" si="3"/>
        <v>7304138.3599999994</v>
      </c>
      <c r="N111" s="35">
        <v>1743574.2</v>
      </c>
      <c r="O111" s="35">
        <v>258421.5</v>
      </c>
      <c r="P111" s="35">
        <v>366778.65</v>
      </c>
      <c r="Q111" s="35">
        <v>25893.38</v>
      </c>
      <c r="R111" s="35">
        <v>191597.4</v>
      </c>
      <c r="S111" s="409">
        <v>24226.85</v>
      </c>
      <c r="T111" s="35"/>
      <c r="U111" s="380">
        <v>20962.5</v>
      </c>
      <c r="V111" s="35"/>
      <c r="W111" s="393">
        <v>945</v>
      </c>
      <c r="X111" s="372">
        <f t="shared" si="4"/>
        <v>9936537.8399999999</v>
      </c>
      <c r="Y111" s="35">
        <v>10881.05</v>
      </c>
      <c r="Z111" s="380"/>
      <c r="AA111" s="35">
        <v>1426279.75</v>
      </c>
      <c r="AB111" s="380"/>
      <c r="AC111" s="35">
        <v>835657.49</v>
      </c>
      <c r="AD111" s="380">
        <v>45300.3</v>
      </c>
      <c r="AE111" s="35"/>
      <c r="AF111" s="380"/>
      <c r="AG111" s="35">
        <v>47445.95</v>
      </c>
      <c r="AH111" s="380"/>
      <c r="AI111" s="35"/>
      <c r="AJ111" s="380">
        <v>96994.65</v>
      </c>
      <c r="AK111" s="35"/>
      <c r="AL111" s="403">
        <f t="shared" si="5"/>
        <v>2462559.19</v>
      </c>
      <c r="AM111" s="18">
        <v>70</v>
      </c>
      <c r="AN111" s="33">
        <v>4919</v>
      </c>
      <c r="AO111" s="393">
        <v>-274598.14</v>
      </c>
      <c r="AP111" s="35"/>
      <c r="AQ111" s="35">
        <v>-192.32</v>
      </c>
      <c r="AR111" s="35">
        <v>1</v>
      </c>
    </row>
    <row r="112" spans="1:44" x14ac:dyDescent="0.25">
      <c r="A112" s="383">
        <v>5571</v>
      </c>
      <c r="B112" s="367" t="s">
        <v>439</v>
      </c>
      <c r="C112" s="35">
        <v>1225692.1599999999</v>
      </c>
      <c r="D112" s="35">
        <v>153869.65</v>
      </c>
      <c r="E112" s="397"/>
      <c r="F112" s="368"/>
      <c r="G112" s="368">
        <v>5825.85</v>
      </c>
      <c r="H112" s="370">
        <v>155.05000000000001</v>
      </c>
      <c r="I112" s="368"/>
      <c r="J112" s="370">
        <v>26791.5</v>
      </c>
      <c r="K112" s="368">
        <v>5592.2</v>
      </c>
      <c r="L112" s="370">
        <v>176239.05</v>
      </c>
      <c r="M112" s="371">
        <f t="shared" si="3"/>
        <v>1594165.46</v>
      </c>
      <c r="N112" s="35">
        <v>63422.35</v>
      </c>
      <c r="O112" s="35">
        <v>19082.3</v>
      </c>
      <c r="P112" s="35">
        <v>55632.45</v>
      </c>
      <c r="Q112" s="35">
        <v>178</v>
      </c>
      <c r="R112" s="35">
        <v>7670.85</v>
      </c>
      <c r="S112" s="409">
        <v>297.25</v>
      </c>
      <c r="T112" s="35"/>
      <c r="U112" s="380">
        <v>10100</v>
      </c>
      <c r="V112" s="35"/>
      <c r="W112" s="393"/>
      <c r="X112" s="372">
        <f t="shared" si="4"/>
        <v>1750548.6600000001</v>
      </c>
      <c r="Y112" s="35">
        <v>20535</v>
      </c>
      <c r="Z112" s="380"/>
      <c r="AA112" s="35">
        <v>103780.75</v>
      </c>
      <c r="AB112" s="380">
        <v>21582.639999999999</v>
      </c>
      <c r="AC112" s="35">
        <v>22416</v>
      </c>
      <c r="AD112" s="380">
        <v>34125</v>
      </c>
      <c r="AE112" s="35"/>
      <c r="AF112" s="380"/>
      <c r="AG112" s="35">
        <v>13939</v>
      </c>
      <c r="AH112" s="380">
        <v>26788.35</v>
      </c>
      <c r="AI112" s="35"/>
      <c r="AJ112" s="380"/>
      <c r="AK112" s="35"/>
      <c r="AL112" s="403">
        <f t="shared" si="5"/>
        <v>243166.74000000002</v>
      </c>
      <c r="AM112" s="18">
        <v>73</v>
      </c>
      <c r="AN112" s="33">
        <v>843</v>
      </c>
      <c r="AO112" s="393">
        <v>-5991.38</v>
      </c>
      <c r="AP112" s="35"/>
      <c r="AQ112" s="35">
        <v>-12.32</v>
      </c>
      <c r="AR112" s="35">
        <v>1.2</v>
      </c>
    </row>
    <row r="113" spans="1:44" x14ac:dyDescent="0.25">
      <c r="A113" s="383">
        <v>5581</v>
      </c>
      <c r="B113" s="367" t="s">
        <v>395</v>
      </c>
      <c r="C113" s="35">
        <v>10456519.57</v>
      </c>
      <c r="D113" s="35">
        <v>1768091.96</v>
      </c>
      <c r="E113" s="397"/>
      <c r="F113" s="368"/>
      <c r="G113" s="368">
        <v>150077.4</v>
      </c>
      <c r="H113" s="370">
        <v>2410.15</v>
      </c>
      <c r="I113" s="368">
        <v>45845.8</v>
      </c>
      <c r="J113" s="370">
        <v>230574.48</v>
      </c>
      <c r="K113" s="368">
        <v>15263.3</v>
      </c>
      <c r="L113" s="370">
        <v>1251240.8500000001</v>
      </c>
      <c r="M113" s="371">
        <f t="shared" si="3"/>
        <v>13920023.510000004</v>
      </c>
      <c r="N113" s="35">
        <v>1995.25</v>
      </c>
      <c r="O113" s="35">
        <v>284598.40000000002</v>
      </c>
      <c r="P113" s="35">
        <v>451188.45</v>
      </c>
      <c r="Q113" s="35">
        <v>6150.02</v>
      </c>
      <c r="R113" s="35">
        <v>272878.59999999998</v>
      </c>
      <c r="S113" s="409"/>
      <c r="T113" s="35"/>
      <c r="U113" s="380">
        <v>34970</v>
      </c>
      <c r="V113" s="35"/>
      <c r="W113" s="393"/>
      <c r="X113" s="372">
        <f t="shared" si="4"/>
        <v>14971804.230000002</v>
      </c>
      <c r="Y113" s="35">
        <v>355465.52</v>
      </c>
      <c r="Z113" s="380"/>
      <c r="AA113" s="35">
        <v>938081.37</v>
      </c>
      <c r="AB113" s="380"/>
      <c r="AC113" s="35">
        <v>533351.93999999994</v>
      </c>
      <c r="AD113" s="380">
        <v>175787.99</v>
      </c>
      <c r="AE113" s="35"/>
      <c r="AF113" s="380"/>
      <c r="AG113" s="35">
        <v>10432.799999999999</v>
      </c>
      <c r="AH113" s="380"/>
      <c r="AI113" s="35">
        <v>75090.8</v>
      </c>
      <c r="AJ113" s="380"/>
      <c r="AK113" s="35"/>
      <c r="AL113" s="403">
        <f t="shared" si="5"/>
        <v>2088210.4200000002</v>
      </c>
      <c r="AM113" s="18">
        <v>69.5</v>
      </c>
      <c r="AN113" s="33">
        <v>3662</v>
      </c>
      <c r="AO113" s="393">
        <v>-103362.51</v>
      </c>
      <c r="AP113" s="35"/>
      <c r="AQ113" s="35">
        <v>-6240.87</v>
      </c>
      <c r="AR113" s="35">
        <v>1.5</v>
      </c>
    </row>
    <row r="114" spans="1:44" x14ac:dyDescent="0.25">
      <c r="A114" s="383">
        <v>5582</v>
      </c>
      <c r="B114" s="367" t="s">
        <v>396</v>
      </c>
      <c r="C114" s="35">
        <v>10177902.939999999</v>
      </c>
      <c r="D114" s="35">
        <v>1094553.56</v>
      </c>
      <c r="E114" s="397"/>
      <c r="F114" s="368"/>
      <c r="G114" s="368">
        <v>736882.35</v>
      </c>
      <c r="H114" s="370">
        <v>473576.3</v>
      </c>
      <c r="I114" s="368">
        <v>6112.4</v>
      </c>
      <c r="J114" s="370">
        <v>306180.03999999998</v>
      </c>
      <c r="K114" s="368">
        <v>56605</v>
      </c>
      <c r="L114" s="370">
        <v>806348.25</v>
      </c>
      <c r="M114" s="371">
        <f t="shared" si="3"/>
        <v>13658160.84</v>
      </c>
      <c r="N114" s="35">
        <v>427863.35</v>
      </c>
      <c r="O114" s="35">
        <v>28288.75</v>
      </c>
      <c r="P114" s="35">
        <v>86737.5</v>
      </c>
      <c r="Q114" s="35">
        <v>39020.6</v>
      </c>
      <c r="R114" s="35">
        <v>68341.649999999994</v>
      </c>
      <c r="S114" s="409"/>
      <c r="T114" s="35">
        <v>8159.75</v>
      </c>
      <c r="U114" s="380">
        <v>18800</v>
      </c>
      <c r="V114" s="35"/>
      <c r="W114" s="393"/>
      <c r="X114" s="372">
        <f t="shared" si="4"/>
        <v>14335372.439999999</v>
      </c>
      <c r="Y114" s="35"/>
      <c r="Z114" s="380"/>
      <c r="AA114" s="35">
        <v>668904.25</v>
      </c>
      <c r="AB114" s="380"/>
      <c r="AC114" s="35">
        <v>485361</v>
      </c>
      <c r="AD114" s="380"/>
      <c r="AE114" s="35"/>
      <c r="AF114" s="380"/>
      <c r="AG114" s="35"/>
      <c r="AH114" s="380">
        <v>205420.65</v>
      </c>
      <c r="AI114" s="35"/>
      <c r="AJ114" s="380"/>
      <c r="AK114" s="35"/>
      <c r="AL114" s="403">
        <f t="shared" si="5"/>
        <v>1359685.9</v>
      </c>
      <c r="AM114" s="18">
        <v>74.5</v>
      </c>
      <c r="AN114" s="33">
        <v>4357</v>
      </c>
      <c r="AO114" s="393">
        <v>-180259.86</v>
      </c>
      <c r="AP114" s="35"/>
      <c r="AQ114" s="35">
        <v>-21557.85</v>
      </c>
      <c r="AR114" s="35">
        <v>1</v>
      </c>
    </row>
    <row r="115" spans="1:44" x14ac:dyDescent="0.25">
      <c r="A115" s="383">
        <v>5583</v>
      </c>
      <c r="B115" s="367" t="s">
        <v>397</v>
      </c>
      <c r="C115" s="35">
        <v>11356037.949999999</v>
      </c>
      <c r="D115" s="35">
        <v>1481765.05</v>
      </c>
      <c r="E115" s="397"/>
      <c r="F115" s="368"/>
      <c r="G115" s="368">
        <v>4155487.05</v>
      </c>
      <c r="H115" s="370">
        <v>267695.75</v>
      </c>
      <c r="I115" s="368"/>
      <c r="J115" s="370">
        <v>959554.86</v>
      </c>
      <c r="K115" s="368">
        <v>251936.15</v>
      </c>
      <c r="L115" s="370">
        <v>2220672.4</v>
      </c>
      <c r="M115" s="371">
        <f t="shared" si="3"/>
        <v>20693149.209999997</v>
      </c>
      <c r="N115" s="35">
        <v>1504095.45</v>
      </c>
      <c r="O115" s="35">
        <v>232239.5</v>
      </c>
      <c r="P115" s="35">
        <v>588448.1</v>
      </c>
      <c r="Q115" s="35">
        <v>45886.8</v>
      </c>
      <c r="R115" s="35">
        <v>265995.95</v>
      </c>
      <c r="S115" s="409"/>
      <c r="T115" s="35"/>
      <c r="U115" s="380">
        <v>44400</v>
      </c>
      <c r="V115" s="35">
        <v>1050</v>
      </c>
      <c r="W115" s="393">
        <v>156117.25</v>
      </c>
      <c r="X115" s="372">
        <f t="shared" si="4"/>
        <v>23531382.259999998</v>
      </c>
      <c r="Y115" s="35"/>
      <c r="Z115" s="380"/>
      <c r="AA115" s="35">
        <v>1612115.6</v>
      </c>
      <c r="AB115" s="380"/>
      <c r="AC115" s="35">
        <v>957304.2</v>
      </c>
      <c r="AD115" s="380">
        <v>978017.15</v>
      </c>
      <c r="AE115" s="35">
        <v>60006.8</v>
      </c>
      <c r="AF115" s="380">
        <v>407.75</v>
      </c>
      <c r="AG115" s="35">
        <v>242155.2</v>
      </c>
      <c r="AH115" s="380">
        <v>551974.80000000005</v>
      </c>
      <c r="AI115" s="35"/>
      <c r="AJ115" s="380">
        <v>82315</v>
      </c>
      <c r="AK115" s="35"/>
      <c r="AL115" s="403">
        <f t="shared" si="5"/>
        <v>4484296.5</v>
      </c>
      <c r="AM115" s="18">
        <v>65</v>
      </c>
      <c r="AN115" s="33">
        <v>8008</v>
      </c>
      <c r="AO115" s="393">
        <v>-211215.1</v>
      </c>
      <c r="AP115" s="35"/>
      <c r="AQ115" s="35">
        <v>-892.31</v>
      </c>
      <c r="AR115" s="35">
        <v>1</v>
      </c>
    </row>
    <row r="116" spans="1:44" x14ac:dyDescent="0.25">
      <c r="A116" s="383">
        <v>5584</v>
      </c>
      <c r="B116" s="367" t="s">
        <v>398</v>
      </c>
      <c r="C116" s="35">
        <v>20613461.73</v>
      </c>
      <c r="D116" s="35">
        <v>3789782.94</v>
      </c>
      <c r="E116" s="397"/>
      <c r="F116" s="368"/>
      <c r="G116" s="368">
        <v>501906</v>
      </c>
      <c r="H116" s="370">
        <v>-458754.05</v>
      </c>
      <c r="I116" s="368">
        <v>449775.83</v>
      </c>
      <c r="J116" s="370">
        <v>964780.37</v>
      </c>
      <c r="K116" s="368">
        <v>194772.65</v>
      </c>
      <c r="L116" s="370">
        <v>2086777.35</v>
      </c>
      <c r="M116" s="371">
        <f t="shared" si="3"/>
        <v>28142502.82</v>
      </c>
      <c r="N116" s="35">
        <v>219156.75</v>
      </c>
      <c r="O116" s="35">
        <v>1157192.7</v>
      </c>
      <c r="P116" s="35">
        <v>1047265.6</v>
      </c>
      <c r="Q116" s="35">
        <v>71983.72</v>
      </c>
      <c r="R116" s="35">
        <v>579238.80000000005</v>
      </c>
      <c r="S116" s="409"/>
      <c r="T116" s="35">
        <v>34762.35</v>
      </c>
      <c r="U116" s="380">
        <v>34800</v>
      </c>
      <c r="V116" s="35">
        <v>330.85</v>
      </c>
      <c r="W116" s="393"/>
      <c r="X116" s="372">
        <f t="shared" si="4"/>
        <v>31287233.590000004</v>
      </c>
      <c r="Y116" s="35">
        <v>1068011.72</v>
      </c>
      <c r="Z116" s="380"/>
      <c r="AA116" s="35">
        <v>513549.91</v>
      </c>
      <c r="AB116" s="380"/>
      <c r="AC116" s="35">
        <v>717836.93</v>
      </c>
      <c r="AD116" s="380"/>
      <c r="AE116" s="35"/>
      <c r="AF116" s="380"/>
      <c r="AG116" s="35"/>
      <c r="AH116" s="380">
        <v>272937.83</v>
      </c>
      <c r="AI116" s="35"/>
      <c r="AJ116" s="380"/>
      <c r="AK116" s="35"/>
      <c r="AL116" s="403">
        <f t="shared" si="5"/>
        <v>2572336.39</v>
      </c>
      <c r="AM116" s="18">
        <v>66</v>
      </c>
      <c r="AN116" s="33">
        <v>9335</v>
      </c>
      <c r="AO116" s="393">
        <v>-191928.64</v>
      </c>
      <c r="AP116" s="35"/>
      <c r="AQ116" s="35">
        <v>-11614.33</v>
      </c>
      <c r="AR116" s="35">
        <v>1</v>
      </c>
    </row>
    <row r="117" spans="1:44" x14ac:dyDescent="0.25">
      <c r="A117" s="383">
        <v>5585</v>
      </c>
      <c r="B117" s="367" t="s">
        <v>399</v>
      </c>
      <c r="C117" s="35">
        <v>11787578.619999999</v>
      </c>
      <c r="D117" s="35">
        <v>-3466797.84</v>
      </c>
      <c r="E117" s="397"/>
      <c r="F117" s="368"/>
      <c r="G117" s="368">
        <v>23350.2</v>
      </c>
      <c r="H117" s="370">
        <v>754.3</v>
      </c>
      <c r="I117" s="368">
        <v>191139.55</v>
      </c>
      <c r="J117" s="370">
        <v>105622.14</v>
      </c>
      <c r="K117" s="368">
        <v>8759.75</v>
      </c>
      <c r="L117" s="373">
        <v>468157</v>
      </c>
      <c r="M117" s="371">
        <f t="shared" si="3"/>
        <v>9118563.7200000007</v>
      </c>
      <c r="N117" s="35">
        <v>2700.5</v>
      </c>
      <c r="O117" s="35">
        <v>2874</v>
      </c>
      <c r="P117" s="35">
        <v>265167.55</v>
      </c>
      <c r="Q117" s="35">
        <v>124.15</v>
      </c>
      <c r="R117" s="35">
        <v>91435.55</v>
      </c>
      <c r="S117" s="409"/>
      <c r="T117" s="35"/>
      <c r="U117" s="380">
        <v>6750</v>
      </c>
      <c r="V117" s="35"/>
      <c r="W117" s="393"/>
      <c r="X117" s="372">
        <f t="shared" si="4"/>
        <v>9487615.4700000025</v>
      </c>
      <c r="Y117" s="35">
        <v>78171</v>
      </c>
      <c r="Z117" s="380"/>
      <c r="AA117" s="35">
        <v>268994</v>
      </c>
      <c r="AB117" s="380"/>
      <c r="AC117" s="35">
        <v>115349.85</v>
      </c>
      <c r="AD117" s="380"/>
      <c r="AE117" s="35"/>
      <c r="AF117" s="380"/>
      <c r="AG117" s="35"/>
      <c r="AH117" s="380"/>
      <c r="AI117" s="35"/>
      <c r="AJ117" s="380"/>
      <c r="AK117" s="35"/>
      <c r="AL117" s="403">
        <f t="shared" si="5"/>
        <v>462514.85</v>
      </c>
      <c r="AM117" s="18">
        <v>53</v>
      </c>
      <c r="AN117" s="33">
        <v>1469</v>
      </c>
      <c r="AO117" s="393">
        <v>-13719.95</v>
      </c>
      <c r="AP117" s="35"/>
      <c r="AQ117" s="35">
        <v>-6109.11</v>
      </c>
      <c r="AR117" s="376">
        <v>1</v>
      </c>
    </row>
    <row r="118" spans="1:44" x14ac:dyDescent="0.25">
      <c r="A118" s="383">
        <v>5586</v>
      </c>
      <c r="B118" s="367" t="s">
        <v>125</v>
      </c>
      <c r="C118" s="35">
        <v>291150674.94999999</v>
      </c>
      <c r="D118" s="35">
        <v>37299702.810000002</v>
      </c>
      <c r="E118" s="397"/>
      <c r="F118" s="368"/>
      <c r="G118" s="368">
        <v>96715539.400000006</v>
      </c>
      <c r="H118" s="370">
        <v>6993429.8499999996</v>
      </c>
      <c r="I118" s="368">
        <v>5799695.9100000001</v>
      </c>
      <c r="J118" s="370">
        <v>30725353.239999998</v>
      </c>
      <c r="K118" s="368">
        <v>4752809.0999999996</v>
      </c>
      <c r="L118" s="370">
        <v>35300074.5</v>
      </c>
      <c r="M118" s="371">
        <f t="shared" si="3"/>
        <v>508737279.76000005</v>
      </c>
      <c r="N118" s="35">
        <v>11465768.75</v>
      </c>
      <c r="O118" s="35">
        <v>15718211.449999999</v>
      </c>
      <c r="P118" s="35">
        <v>10805595.9</v>
      </c>
      <c r="Q118" s="35">
        <v>2063219.95</v>
      </c>
      <c r="R118" s="35">
        <v>7005620.75</v>
      </c>
      <c r="S118" s="409"/>
      <c r="T118" s="35"/>
      <c r="U118" s="380">
        <v>325695</v>
      </c>
      <c r="V118" s="35">
        <v>6085181.5</v>
      </c>
      <c r="W118" s="393"/>
      <c r="X118" s="372">
        <f t="shared" si="4"/>
        <v>562206573.06000006</v>
      </c>
      <c r="Y118" s="35">
        <v>7663771.3099999996</v>
      </c>
      <c r="Z118" s="380"/>
      <c r="AA118" s="35">
        <v>18708356.879999999</v>
      </c>
      <c r="AB118" s="380"/>
      <c r="AC118" s="35">
        <v>20333058.370000001</v>
      </c>
      <c r="AD118" s="380">
        <v>6745719.6500000004</v>
      </c>
      <c r="AE118" s="35"/>
      <c r="AF118" s="380"/>
      <c r="AG118" s="35">
        <v>3055000.14</v>
      </c>
      <c r="AH118" s="380">
        <v>7976302.9000000004</v>
      </c>
      <c r="AI118" s="35">
        <v>7381235.4699999997</v>
      </c>
      <c r="AJ118" s="380">
        <v>1677652.85</v>
      </c>
      <c r="AK118" s="35">
        <v>1677653.1</v>
      </c>
      <c r="AL118" s="403">
        <f t="shared" si="5"/>
        <v>75218750.669999987</v>
      </c>
      <c r="AM118" s="18">
        <v>79</v>
      </c>
      <c r="AN118" s="33">
        <v>139624</v>
      </c>
      <c r="AO118" s="393">
        <v>-6590560.71</v>
      </c>
      <c r="AP118" s="35"/>
      <c r="AQ118" s="35">
        <v>-407222.94</v>
      </c>
      <c r="AR118" s="35">
        <v>1.5</v>
      </c>
    </row>
    <row r="119" spans="1:44" x14ac:dyDescent="0.25">
      <c r="A119" s="383">
        <v>5587</v>
      </c>
      <c r="B119" s="367" t="s">
        <v>126</v>
      </c>
      <c r="C119" s="35">
        <v>21894715.309999999</v>
      </c>
      <c r="D119" s="35">
        <v>3674764.8</v>
      </c>
      <c r="E119" s="397"/>
      <c r="F119" s="368"/>
      <c r="G119" s="368">
        <v>2424774.9500000002</v>
      </c>
      <c r="H119" s="370">
        <v>650688.94999999995</v>
      </c>
      <c r="I119" s="368">
        <v>250946.15</v>
      </c>
      <c r="J119" s="370">
        <v>542839.71</v>
      </c>
      <c r="K119" s="368">
        <v>131716.54999999999</v>
      </c>
      <c r="L119" s="370">
        <v>2492746.65</v>
      </c>
      <c r="M119" s="371">
        <f t="shared" si="3"/>
        <v>32063193.069999997</v>
      </c>
      <c r="N119" s="35">
        <v>355226.65</v>
      </c>
      <c r="O119" s="35">
        <v>256200.8</v>
      </c>
      <c r="P119" s="35">
        <v>1147492.2</v>
      </c>
      <c r="Q119" s="35">
        <v>150619.32</v>
      </c>
      <c r="R119" s="35">
        <v>516311.75</v>
      </c>
      <c r="S119" s="409"/>
      <c r="T119" s="35">
        <v>25353.05</v>
      </c>
      <c r="U119" s="380">
        <v>35950</v>
      </c>
      <c r="V119" s="35"/>
      <c r="W119" s="393"/>
      <c r="X119" s="372">
        <f t="shared" si="4"/>
        <v>34550346.839999996</v>
      </c>
      <c r="Y119" s="35">
        <v>144128</v>
      </c>
      <c r="Z119" s="380"/>
      <c r="AA119" s="35">
        <v>1517789.65</v>
      </c>
      <c r="AB119" s="380"/>
      <c r="AC119" s="35">
        <v>665465.27</v>
      </c>
      <c r="AD119" s="380"/>
      <c r="AE119" s="35"/>
      <c r="AF119" s="380"/>
      <c r="AG119" s="35">
        <v>298407.24</v>
      </c>
      <c r="AH119" s="380"/>
      <c r="AI119" s="35"/>
      <c r="AJ119" s="380"/>
      <c r="AK119" s="35"/>
      <c r="AL119" s="403">
        <f t="shared" si="5"/>
        <v>2625790.16</v>
      </c>
      <c r="AM119" s="18">
        <v>75</v>
      </c>
      <c r="AN119" s="33">
        <v>8093</v>
      </c>
      <c r="AO119" s="393">
        <v>-354247.71</v>
      </c>
      <c r="AP119" s="35"/>
      <c r="AQ119" s="35">
        <v>-4145.43</v>
      </c>
      <c r="AR119" s="35">
        <v>1.2</v>
      </c>
    </row>
    <row r="120" spans="1:44" x14ac:dyDescent="0.25">
      <c r="A120" s="383">
        <v>5588</v>
      </c>
      <c r="B120" s="367" t="s">
        <v>127</v>
      </c>
      <c r="C120" s="35">
        <v>4357502.59</v>
      </c>
      <c r="D120" s="35">
        <v>2471345.9700000002</v>
      </c>
      <c r="E120" s="397"/>
      <c r="F120" s="368"/>
      <c r="G120" s="368">
        <v>699157.8</v>
      </c>
      <c r="H120" s="370">
        <v>220339.45</v>
      </c>
      <c r="I120" s="368">
        <v>502840.3</v>
      </c>
      <c r="J120" s="370">
        <v>186106.18</v>
      </c>
      <c r="K120" s="368">
        <v>35870.550000000003</v>
      </c>
      <c r="L120" s="370">
        <v>348590.5</v>
      </c>
      <c r="M120" s="371">
        <f t="shared" si="3"/>
        <v>8821753.3400000017</v>
      </c>
      <c r="N120" s="35">
        <v>20053.349999999999</v>
      </c>
      <c r="O120" s="35"/>
      <c r="P120" s="35">
        <v>3936.35</v>
      </c>
      <c r="Q120" s="35">
        <v>37217.24</v>
      </c>
      <c r="R120" s="35">
        <v>9970.4500000000007</v>
      </c>
      <c r="S120" s="409">
        <v>700</v>
      </c>
      <c r="T120" s="35">
        <v>13863.15</v>
      </c>
      <c r="U120" s="380">
        <v>5062.5</v>
      </c>
      <c r="V120" s="35"/>
      <c r="W120" s="393"/>
      <c r="X120" s="372">
        <f t="shared" si="4"/>
        <v>8912556.3800000008</v>
      </c>
      <c r="Y120" s="35"/>
      <c r="Z120" s="380"/>
      <c r="AA120" s="35">
        <v>117831.99</v>
      </c>
      <c r="AB120" s="380"/>
      <c r="AC120" s="35">
        <v>132266.71</v>
      </c>
      <c r="AD120" s="380"/>
      <c r="AE120" s="35"/>
      <c r="AF120" s="380"/>
      <c r="AG120" s="35"/>
      <c r="AH120" s="380"/>
      <c r="AI120" s="35">
        <v>30961.72</v>
      </c>
      <c r="AJ120" s="380"/>
      <c r="AK120" s="35">
        <v>15480.86</v>
      </c>
      <c r="AL120" s="403">
        <f t="shared" si="5"/>
        <v>296541.28000000003</v>
      </c>
      <c r="AM120" s="18">
        <v>61.5</v>
      </c>
      <c r="AN120" s="33">
        <v>1480</v>
      </c>
      <c r="AO120" s="393">
        <v>-63507.72</v>
      </c>
      <c r="AP120" s="35"/>
      <c r="AQ120" s="35">
        <v>-14104.66</v>
      </c>
      <c r="AR120" s="35">
        <v>0.7</v>
      </c>
    </row>
    <row r="121" spans="1:44" x14ac:dyDescent="0.25">
      <c r="A121" s="383">
        <v>5589</v>
      </c>
      <c r="B121" s="367" t="s">
        <v>128</v>
      </c>
      <c r="C121" s="35">
        <v>18371438.02</v>
      </c>
      <c r="D121" s="35">
        <v>2003737.47</v>
      </c>
      <c r="E121" s="397"/>
      <c r="F121" s="368"/>
      <c r="G121" s="368">
        <v>7517152.3499999996</v>
      </c>
      <c r="H121" s="370">
        <v>274823.2</v>
      </c>
      <c r="I121" s="368">
        <v>54271.199999999997</v>
      </c>
      <c r="J121" s="370">
        <v>1732294.57</v>
      </c>
      <c r="K121" s="368">
        <v>337707.75</v>
      </c>
      <c r="L121" s="370">
        <v>1933853.55</v>
      </c>
      <c r="M121" s="371">
        <f t="shared" si="3"/>
        <v>32225278.109999996</v>
      </c>
      <c r="N121" s="35">
        <v>1032878.5</v>
      </c>
      <c r="O121" s="35">
        <v>201994.7</v>
      </c>
      <c r="P121" s="35">
        <v>960911.4</v>
      </c>
      <c r="Q121" s="35">
        <v>54455.05</v>
      </c>
      <c r="R121" s="35">
        <v>506836.85</v>
      </c>
      <c r="S121" s="409">
        <v>57198.25</v>
      </c>
      <c r="T121" s="35"/>
      <c r="U121" s="380">
        <v>40020</v>
      </c>
      <c r="V121" s="35"/>
      <c r="W121" s="393">
        <v>14750.2</v>
      </c>
      <c r="X121" s="372">
        <f t="shared" si="4"/>
        <v>35094323.059999995</v>
      </c>
      <c r="Y121" s="35">
        <v>191389.2</v>
      </c>
      <c r="Z121" s="380">
        <v>1371450.71</v>
      </c>
      <c r="AA121" s="35"/>
      <c r="AB121" s="380"/>
      <c r="AC121" s="35">
        <v>849369.65</v>
      </c>
      <c r="AD121" s="380"/>
      <c r="AE121" s="35"/>
      <c r="AF121" s="380"/>
      <c r="AG121" s="35"/>
      <c r="AH121" s="380">
        <v>346703.16</v>
      </c>
      <c r="AI121" s="35"/>
      <c r="AJ121" s="380"/>
      <c r="AK121" s="35"/>
      <c r="AL121" s="403">
        <f t="shared" si="5"/>
        <v>2758912.72</v>
      </c>
      <c r="AM121" s="18">
        <v>73.5</v>
      </c>
      <c r="AN121" s="33">
        <v>12105</v>
      </c>
      <c r="AO121" s="393">
        <v>-446004.61</v>
      </c>
      <c r="AP121" s="35"/>
      <c r="AQ121" s="35">
        <v>-1839.55</v>
      </c>
      <c r="AR121" s="35">
        <v>1</v>
      </c>
    </row>
    <row r="122" spans="1:44" x14ac:dyDescent="0.25">
      <c r="A122" s="383">
        <v>5590</v>
      </c>
      <c r="B122" s="367" t="s">
        <v>129</v>
      </c>
      <c r="C122" s="35">
        <v>57163546.280000001</v>
      </c>
      <c r="D122" s="35">
        <v>15299735.52</v>
      </c>
      <c r="E122" s="397"/>
      <c r="F122" s="368"/>
      <c r="G122" s="368">
        <v>4839987.5999999996</v>
      </c>
      <c r="H122" s="370">
        <v>301325</v>
      </c>
      <c r="I122" s="368">
        <v>3621743.43</v>
      </c>
      <c r="J122" s="370">
        <v>1741867.3</v>
      </c>
      <c r="K122" s="368">
        <v>309800.8</v>
      </c>
      <c r="L122" s="370">
        <v>3267356.2</v>
      </c>
      <c r="M122" s="371">
        <f t="shared" si="3"/>
        <v>86545362.129999995</v>
      </c>
      <c r="N122" s="35">
        <v>168670.35</v>
      </c>
      <c r="O122" s="35">
        <v>5379877.5</v>
      </c>
      <c r="P122" s="35">
        <v>2711661.65</v>
      </c>
      <c r="Q122" s="35">
        <v>392296.19</v>
      </c>
      <c r="R122" s="35">
        <v>2241981.85</v>
      </c>
      <c r="S122" s="409">
        <v>25695.200000000001</v>
      </c>
      <c r="T122" s="35"/>
      <c r="U122" s="380">
        <v>50600</v>
      </c>
      <c r="V122" s="35"/>
      <c r="W122" s="393"/>
      <c r="X122" s="372">
        <f t="shared" si="4"/>
        <v>97516144.86999999</v>
      </c>
      <c r="Y122" s="35">
        <v>342615.14</v>
      </c>
      <c r="Z122" s="380"/>
      <c r="AA122" s="35">
        <v>3464839.82</v>
      </c>
      <c r="AB122" s="380"/>
      <c r="AC122" s="35">
        <v>2214605.89</v>
      </c>
      <c r="AD122" s="380">
        <v>298742.65999999997</v>
      </c>
      <c r="AE122" s="35"/>
      <c r="AF122" s="380"/>
      <c r="AG122" s="35">
        <v>52685.81</v>
      </c>
      <c r="AH122" s="380">
        <v>355136.24</v>
      </c>
      <c r="AI122" s="35">
        <v>522534.88</v>
      </c>
      <c r="AJ122" s="380"/>
      <c r="AK122" s="35"/>
      <c r="AL122" s="403">
        <f t="shared" si="5"/>
        <v>7251160.4399999995</v>
      </c>
      <c r="AM122" s="18">
        <v>61</v>
      </c>
      <c r="AN122" s="33">
        <v>18194</v>
      </c>
      <c r="AO122" s="393">
        <v>-588597.21</v>
      </c>
      <c r="AP122" s="35"/>
      <c r="AQ122" s="35">
        <v>-106213.75999999999</v>
      </c>
      <c r="AR122" s="35">
        <v>0.7</v>
      </c>
    </row>
    <row r="123" spans="1:44" x14ac:dyDescent="0.25">
      <c r="A123" s="383">
        <v>5591</v>
      </c>
      <c r="B123" s="367" t="s">
        <v>402</v>
      </c>
      <c r="C123" s="35">
        <v>28662670.719999999</v>
      </c>
      <c r="D123" s="35">
        <v>2766423.08</v>
      </c>
      <c r="E123" s="397"/>
      <c r="F123" s="368"/>
      <c r="G123" s="368">
        <v>5614083.1500000004</v>
      </c>
      <c r="H123" s="370">
        <v>507520.3</v>
      </c>
      <c r="I123" s="368"/>
      <c r="J123" s="370">
        <v>2671812.1</v>
      </c>
      <c r="K123" s="368">
        <v>484567.4</v>
      </c>
      <c r="L123" s="373">
        <v>4675448.55</v>
      </c>
      <c r="M123" s="371">
        <f t="shared" si="3"/>
        <v>45382525.29999999</v>
      </c>
      <c r="N123" s="35">
        <v>2159436.0499999998</v>
      </c>
      <c r="O123" s="35">
        <v>515867.1</v>
      </c>
      <c r="P123" s="35">
        <v>1192913.3</v>
      </c>
      <c r="Q123" s="35">
        <v>1232836.19</v>
      </c>
      <c r="R123" s="35">
        <v>503701.3</v>
      </c>
      <c r="S123" s="409"/>
      <c r="T123" s="35"/>
      <c r="U123" s="380">
        <v>52650</v>
      </c>
      <c r="V123" s="35"/>
      <c r="W123" s="393">
        <v>49289.5</v>
      </c>
      <c r="X123" s="372">
        <f t="shared" si="4"/>
        <v>51089218.73999998</v>
      </c>
      <c r="Y123" s="35">
        <v>1184262.45</v>
      </c>
      <c r="Z123" s="380"/>
      <c r="AA123" s="35">
        <v>1311740.0900000001</v>
      </c>
      <c r="AB123" s="380">
        <v>17064</v>
      </c>
      <c r="AC123" s="35">
        <v>2261293.9700000002</v>
      </c>
      <c r="AD123" s="380"/>
      <c r="AE123" s="35"/>
      <c r="AF123" s="380"/>
      <c r="AG123" s="35">
        <v>2626.5</v>
      </c>
      <c r="AH123" s="380">
        <v>544681.1</v>
      </c>
      <c r="AI123" s="35"/>
      <c r="AJ123" s="380"/>
      <c r="AK123" s="35">
        <v>77811.539999999994</v>
      </c>
      <c r="AL123" s="403">
        <f t="shared" si="5"/>
        <v>5399479.6499999994</v>
      </c>
      <c r="AM123" s="18">
        <v>78.5</v>
      </c>
      <c r="AN123" s="33">
        <v>21114</v>
      </c>
      <c r="AO123" s="393">
        <v>-2269611.84</v>
      </c>
      <c r="AP123" s="35"/>
      <c r="AQ123" s="35">
        <v>-25181.19</v>
      </c>
      <c r="AR123" s="35">
        <v>1.4</v>
      </c>
    </row>
    <row r="124" spans="1:44" x14ac:dyDescent="0.25">
      <c r="A124" s="383">
        <v>5592</v>
      </c>
      <c r="B124" s="367" t="s">
        <v>221</v>
      </c>
      <c r="C124" s="35">
        <v>5566350.7000000002</v>
      </c>
      <c r="D124" s="35">
        <v>714301.93</v>
      </c>
      <c r="E124" s="397"/>
      <c r="F124" s="368"/>
      <c r="G124" s="368">
        <v>817368.3</v>
      </c>
      <c r="H124" s="370">
        <v>28707.65</v>
      </c>
      <c r="I124" s="368">
        <v>25729.55</v>
      </c>
      <c r="J124" s="370">
        <v>167360.29999999999</v>
      </c>
      <c r="K124" s="368">
        <v>131701.20000000001</v>
      </c>
      <c r="L124" s="370">
        <v>669294.55000000005</v>
      </c>
      <c r="M124" s="371">
        <f t="shared" si="3"/>
        <v>8120814.1799999997</v>
      </c>
      <c r="N124" s="35">
        <v>179138.3</v>
      </c>
      <c r="O124" s="35">
        <v>135850</v>
      </c>
      <c r="P124" s="35">
        <v>80760.3</v>
      </c>
      <c r="Q124" s="35">
        <v>47014.38</v>
      </c>
      <c r="R124" s="35">
        <v>122916</v>
      </c>
      <c r="S124" s="409">
        <v>90</v>
      </c>
      <c r="T124" s="35">
        <v>1582</v>
      </c>
      <c r="U124" s="380">
        <v>16650</v>
      </c>
      <c r="V124" s="35"/>
      <c r="W124" s="393"/>
      <c r="X124" s="372">
        <f t="shared" si="4"/>
        <v>8704815.160000002</v>
      </c>
      <c r="Y124" s="35"/>
      <c r="Z124" s="380">
        <v>424.8</v>
      </c>
      <c r="AA124" s="35">
        <v>353043.57</v>
      </c>
      <c r="AB124" s="380"/>
      <c r="AC124" s="35">
        <v>217401.94</v>
      </c>
      <c r="AD124" s="380"/>
      <c r="AE124" s="35"/>
      <c r="AF124" s="380"/>
      <c r="AG124" s="35"/>
      <c r="AH124" s="380">
        <v>104896.42</v>
      </c>
      <c r="AI124" s="35">
        <v>88942.46</v>
      </c>
      <c r="AJ124" s="380">
        <v>44471.24</v>
      </c>
      <c r="AK124" s="35"/>
      <c r="AL124" s="403">
        <f t="shared" si="5"/>
        <v>809180.43</v>
      </c>
      <c r="AM124" s="18">
        <v>70</v>
      </c>
      <c r="AN124" s="33">
        <v>3300</v>
      </c>
      <c r="AO124" s="393">
        <v>-57476.62</v>
      </c>
      <c r="AP124" s="35"/>
      <c r="AQ124" s="35">
        <v>-2259.69</v>
      </c>
      <c r="AR124" s="35">
        <v>1</v>
      </c>
    </row>
    <row r="125" spans="1:44" x14ac:dyDescent="0.25">
      <c r="A125" s="383">
        <v>5601</v>
      </c>
      <c r="B125" s="367" t="s">
        <v>304</v>
      </c>
      <c r="C125" s="35">
        <v>5515225.5199999996</v>
      </c>
      <c r="D125" s="35">
        <v>1181870.97</v>
      </c>
      <c r="E125" s="397"/>
      <c r="F125" s="368"/>
      <c r="G125" s="368">
        <v>128346.45</v>
      </c>
      <c r="H125" s="370">
        <v>4491.2</v>
      </c>
      <c r="I125" s="368">
        <v>86149.119999999995</v>
      </c>
      <c r="J125" s="370">
        <v>191857.75</v>
      </c>
      <c r="K125" s="368">
        <v>13719.95</v>
      </c>
      <c r="L125" s="370">
        <v>433851.7</v>
      </c>
      <c r="M125" s="371">
        <f t="shared" si="3"/>
        <v>7555512.6600000001</v>
      </c>
      <c r="N125" s="35">
        <v>58889.4</v>
      </c>
      <c r="O125" s="35">
        <v>636977.4</v>
      </c>
      <c r="P125" s="35">
        <v>178305.15</v>
      </c>
      <c r="Q125" s="35">
        <v>43073.26</v>
      </c>
      <c r="R125" s="35">
        <v>340860.4</v>
      </c>
      <c r="S125" s="409"/>
      <c r="T125" s="35">
        <v>5956</v>
      </c>
      <c r="U125" s="380">
        <v>7312.5</v>
      </c>
      <c r="V125" s="35"/>
      <c r="W125" s="393"/>
      <c r="X125" s="372">
        <f t="shared" si="4"/>
        <v>8826886.7700000014</v>
      </c>
      <c r="Y125" s="35"/>
      <c r="Z125" s="380">
        <v>4174.21</v>
      </c>
      <c r="AA125" s="35">
        <v>280499.49</v>
      </c>
      <c r="AB125" s="380">
        <v>264421.8</v>
      </c>
      <c r="AC125" s="35">
        <v>131278.94</v>
      </c>
      <c r="AD125" s="380"/>
      <c r="AE125" s="35">
        <v>7741.02</v>
      </c>
      <c r="AF125" s="380"/>
      <c r="AG125" s="35"/>
      <c r="AH125" s="380">
        <v>46057.9</v>
      </c>
      <c r="AI125" s="35"/>
      <c r="AJ125" s="380"/>
      <c r="AK125" s="35"/>
      <c r="AL125" s="403">
        <f t="shared" si="5"/>
        <v>734173.36</v>
      </c>
      <c r="AM125" s="18">
        <v>64</v>
      </c>
      <c r="AN125" s="33">
        <v>2250</v>
      </c>
      <c r="AO125" s="393">
        <v>-75391.520000000004</v>
      </c>
      <c r="AP125" s="35"/>
      <c r="AQ125" s="35">
        <v>-2642.04</v>
      </c>
      <c r="AR125" s="35">
        <v>1</v>
      </c>
    </row>
    <row r="126" spans="1:44" x14ac:dyDescent="0.25">
      <c r="A126" s="383">
        <v>5604</v>
      </c>
      <c r="B126" s="367" t="s">
        <v>148</v>
      </c>
      <c r="C126" s="35">
        <v>3523406.32</v>
      </c>
      <c r="D126" s="35">
        <v>496297.49</v>
      </c>
      <c r="E126" s="397"/>
      <c r="F126" s="368"/>
      <c r="G126" s="368">
        <v>428450</v>
      </c>
      <c r="H126" s="370">
        <v>1512.05</v>
      </c>
      <c r="I126" s="368">
        <v>28143.4</v>
      </c>
      <c r="J126" s="370">
        <v>109219.26</v>
      </c>
      <c r="K126" s="368">
        <v>16731.75</v>
      </c>
      <c r="L126" s="370">
        <v>360597.45</v>
      </c>
      <c r="M126" s="371">
        <f t="shared" si="3"/>
        <v>4964357.72</v>
      </c>
      <c r="N126" s="35">
        <v>62723.199999999997</v>
      </c>
      <c r="O126" s="35">
        <v>996.3</v>
      </c>
      <c r="P126" s="35">
        <v>148090.25</v>
      </c>
      <c r="Q126" s="35">
        <v>10135.75</v>
      </c>
      <c r="R126" s="35">
        <v>161595.5</v>
      </c>
      <c r="S126" s="409"/>
      <c r="T126" s="35">
        <v>3426.25</v>
      </c>
      <c r="U126" s="380">
        <v>22600</v>
      </c>
      <c r="V126" s="35">
        <v>531</v>
      </c>
      <c r="W126" s="393"/>
      <c r="X126" s="372">
        <f t="shared" si="4"/>
        <v>5374455.9699999997</v>
      </c>
      <c r="Y126" s="35">
        <v>18995.2</v>
      </c>
      <c r="Z126" s="380">
        <v>373.3</v>
      </c>
      <c r="AA126" s="35">
        <v>365539.1</v>
      </c>
      <c r="AB126" s="380"/>
      <c r="AC126" s="35">
        <v>113425.4</v>
      </c>
      <c r="AD126" s="380">
        <v>4290.3999999999996</v>
      </c>
      <c r="AE126" s="35">
        <v>2001.8</v>
      </c>
      <c r="AF126" s="380"/>
      <c r="AG126" s="35">
        <v>11200.2</v>
      </c>
      <c r="AH126" s="380"/>
      <c r="AI126" s="35"/>
      <c r="AJ126" s="380"/>
      <c r="AK126" s="35"/>
      <c r="AL126" s="403">
        <f t="shared" si="5"/>
        <v>515825.4</v>
      </c>
      <c r="AM126" s="18">
        <v>68</v>
      </c>
      <c r="AN126" s="33">
        <v>2084</v>
      </c>
      <c r="AO126" s="393">
        <v>-103202.36</v>
      </c>
      <c r="AP126" s="35"/>
      <c r="AQ126" s="35">
        <v>-346.72</v>
      </c>
      <c r="AR126" s="35">
        <v>1</v>
      </c>
    </row>
    <row r="127" spans="1:44" x14ac:dyDescent="0.25">
      <c r="A127" s="383">
        <v>5606</v>
      </c>
      <c r="B127" s="367" t="s">
        <v>149</v>
      </c>
      <c r="C127" s="35">
        <v>31890429.550000001</v>
      </c>
      <c r="D127" s="35">
        <v>7538947.8099999996</v>
      </c>
      <c r="E127" s="397"/>
      <c r="F127" s="368"/>
      <c r="G127" s="368">
        <v>1869154.7</v>
      </c>
      <c r="H127" s="370">
        <v>62259.8</v>
      </c>
      <c r="I127" s="368">
        <v>1418252.61</v>
      </c>
      <c r="J127" s="370">
        <v>746415.9</v>
      </c>
      <c r="K127" s="368">
        <v>123390.5</v>
      </c>
      <c r="L127" s="370">
        <v>1969866.9</v>
      </c>
      <c r="M127" s="371">
        <f t="shared" si="3"/>
        <v>45618717.769999996</v>
      </c>
      <c r="N127" s="35">
        <v>101865.55</v>
      </c>
      <c r="O127" s="35">
        <v>3253830.6</v>
      </c>
      <c r="P127" s="35">
        <v>1555512</v>
      </c>
      <c r="Q127" s="35">
        <v>70047.92</v>
      </c>
      <c r="R127" s="35">
        <v>1464890.3</v>
      </c>
      <c r="S127" s="409"/>
      <c r="T127" s="35"/>
      <c r="U127" s="380">
        <v>44950</v>
      </c>
      <c r="V127" s="35"/>
      <c r="W127" s="393">
        <v>5806</v>
      </c>
      <c r="X127" s="372">
        <f t="shared" si="4"/>
        <v>52115620.139999993</v>
      </c>
      <c r="Y127" s="35">
        <v>270222</v>
      </c>
      <c r="Z127" s="380"/>
      <c r="AA127" s="35">
        <v>1231839</v>
      </c>
      <c r="AB127" s="380"/>
      <c r="AC127" s="35">
        <v>1413740</v>
      </c>
      <c r="AD127" s="380">
        <v>190893</v>
      </c>
      <c r="AE127" s="35"/>
      <c r="AF127" s="380"/>
      <c r="AG127" s="35">
        <v>18111.599999999999</v>
      </c>
      <c r="AH127" s="380">
        <v>287088</v>
      </c>
      <c r="AI127" s="35">
        <v>205062</v>
      </c>
      <c r="AJ127" s="380">
        <v>82025</v>
      </c>
      <c r="AK127" s="35"/>
      <c r="AL127" s="403">
        <f t="shared" si="5"/>
        <v>3698980.6</v>
      </c>
      <c r="AM127" s="18">
        <v>55.5</v>
      </c>
      <c r="AN127" s="33">
        <v>10001</v>
      </c>
      <c r="AO127" s="393">
        <v>-289283.12</v>
      </c>
      <c r="AP127" s="35"/>
      <c r="AQ127" s="35">
        <v>-38077.919999999998</v>
      </c>
      <c r="AR127" s="35">
        <v>0.7</v>
      </c>
    </row>
    <row r="128" spans="1:44" x14ac:dyDescent="0.25">
      <c r="A128" s="383">
        <v>5607</v>
      </c>
      <c r="B128" s="367" t="s">
        <v>306</v>
      </c>
      <c r="C128" s="35">
        <v>5187973.13</v>
      </c>
      <c r="D128" s="35">
        <v>839037.46</v>
      </c>
      <c r="E128" s="397"/>
      <c r="F128" s="368"/>
      <c r="G128" s="368">
        <v>814191.75</v>
      </c>
      <c r="H128" s="370">
        <v>45887.4</v>
      </c>
      <c r="I128" s="368">
        <v>-35044.949999999997</v>
      </c>
      <c r="J128" s="370">
        <v>160286.93</v>
      </c>
      <c r="K128" s="368">
        <v>57264.05</v>
      </c>
      <c r="L128" s="370">
        <v>689556.35</v>
      </c>
      <c r="M128" s="371">
        <f t="shared" si="3"/>
        <v>7759152.1199999992</v>
      </c>
      <c r="N128" s="35">
        <v>145055.75</v>
      </c>
      <c r="O128" s="35">
        <v>0</v>
      </c>
      <c r="P128" s="35">
        <v>533899.65</v>
      </c>
      <c r="Q128" s="35">
        <v>30748.75</v>
      </c>
      <c r="R128" s="35">
        <v>139176.25</v>
      </c>
      <c r="S128" s="409"/>
      <c r="T128" s="35"/>
      <c r="U128" s="380">
        <v>19300</v>
      </c>
      <c r="V128" s="35"/>
      <c r="W128" s="393"/>
      <c r="X128" s="372">
        <f t="shared" si="4"/>
        <v>8627332.5199999996</v>
      </c>
      <c r="Y128" s="35">
        <v>12011.75</v>
      </c>
      <c r="Z128" s="380"/>
      <c r="AA128" s="35">
        <v>180014</v>
      </c>
      <c r="AB128" s="380">
        <v>367260.75</v>
      </c>
      <c r="AC128" s="35">
        <v>151486</v>
      </c>
      <c r="AD128" s="380">
        <v>11533.75</v>
      </c>
      <c r="AE128" s="35"/>
      <c r="AF128" s="380"/>
      <c r="AG128" s="35">
        <v>45871.95</v>
      </c>
      <c r="AH128" s="380">
        <v>148189.70000000001</v>
      </c>
      <c r="AI128" s="35"/>
      <c r="AJ128" s="380"/>
      <c r="AK128" s="35"/>
      <c r="AL128" s="403">
        <f t="shared" si="5"/>
        <v>916367.89999999991</v>
      </c>
      <c r="AM128" s="18">
        <v>70</v>
      </c>
      <c r="AN128" s="33">
        <v>2904</v>
      </c>
      <c r="AO128" s="393">
        <v>-102132.22</v>
      </c>
      <c r="AP128" s="35"/>
      <c r="AQ128" s="35">
        <v>-1069.3</v>
      </c>
      <c r="AR128" s="35">
        <v>1.1499999999999999</v>
      </c>
    </row>
    <row r="129" spans="1:44" x14ac:dyDescent="0.25">
      <c r="A129" s="383">
        <v>5609</v>
      </c>
      <c r="B129" s="367" t="s">
        <v>133</v>
      </c>
      <c r="C129" s="35">
        <v>737221.8</v>
      </c>
      <c r="D129" s="35">
        <v>162143.32</v>
      </c>
      <c r="E129" s="397"/>
      <c r="F129" s="368"/>
      <c r="G129" s="368">
        <v>7162.95</v>
      </c>
      <c r="H129" s="370">
        <v>218.25</v>
      </c>
      <c r="I129" s="368"/>
      <c r="J129" s="370">
        <v>32229.15</v>
      </c>
      <c r="K129" s="368">
        <v>1225.4000000000001</v>
      </c>
      <c r="L129" s="370">
        <v>52996.5</v>
      </c>
      <c r="M129" s="371">
        <f t="shared" si="3"/>
        <v>993197.37000000011</v>
      </c>
      <c r="N129" s="35"/>
      <c r="O129" s="35">
        <v>5886</v>
      </c>
      <c r="P129" s="35">
        <v>23736.6</v>
      </c>
      <c r="Q129" s="35"/>
      <c r="R129" s="35">
        <v>44194.65</v>
      </c>
      <c r="S129" s="409"/>
      <c r="T129" s="35"/>
      <c r="U129" s="380">
        <v>2550</v>
      </c>
      <c r="V129" s="35"/>
      <c r="W129" s="393"/>
      <c r="X129" s="372">
        <f t="shared" si="4"/>
        <v>1069564.6200000001</v>
      </c>
      <c r="Y129" s="35"/>
      <c r="Z129" s="380"/>
      <c r="AA129" s="35">
        <v>34108</v>
      </c>
      <c r="AB129" s="380">
        <v>37926.800000000003</v>
      </c>
      <c r="AC129" s="35">
        <v>21602.5</v>
      </c>
      <c r="AD129" s="380"/>
      <c r="AE129" s="35"/>
      <c r="AF129" s="380"/>
      <c r="AG129" s="35">
        <v>7613.5</v>
      </c>
      <c r="AH129" s="380">
        <v>6146.95</v>
      </c>
      <c r="AI129" s="35"/>
      <c r="AJ129" s="380"/>
      <c r="AK129" s="35"/>
      <c r="AL129" s="403">
        <f t="shared" si="5"/>
        <v>107397.75</v>
      </c>
      <c r="AM129" s="18">
        <v>63.5</v>
      </c>
      <c r="AN129" s="33">
        <v>351</v>
      </c>
      <c r="AO129" s="393">
        <v>-3659.34</v>
      </c>
      <c r="AP129" s="35"/>
      <c r="AQ129" s="35">
        <v>-163.63</v>
      </c>
      <c r="AR129" s="35">
        <v>1</v>
      </c>
    </row>
    <row r="130" spans="1:44" x14ac:dyDescent="0.25">
      <c r="A130" s="383">
        <v>5610</v>
      </c>
      <c r="B130" s="367" t="s">
        <v>134</v>
      </c>
      <c r="C130" s="35">
        <v>1429137.66</v>
      </c>
      <c r="D130" s="35">
        <v>-162217.04999999999</v>
      </c>
      <c r="E130" s="397"/>
      <c r="F130" s="368"/>
      <c r="G130" s="368">
        <v>6964.25</v>
      </c>
      <c r="H130" s="370">
        <v>1727.2</v>
      </c>
      <c r="I130" s="368">
        <v>113527.1</v>
      </c>
      <c r="J130" s="370">
        <v>43089.89</v>
      </c>
      <c r="K130" s="368">
        <v>6110.5</v>
      </c>
      <c r="L130" s="370">
        <v>83951.55</v>
      </c>
      <c r="M130" s="371">
        <f t="shared" si="3"/>
        <v>1522291.0999999999</v>
      </c>
      <c r="N130" s="35"/>
      <c r="O130" s="35">
        <v>166097.79999999999</v>
      </c>
      <c r="P130" s="35">
        <v>6233.25</v>
      </c>
      <c r="Q130" s="35">
        <v>-511.05</v>
      </c>
      <c r="R130" s="35">
        <v>62495.35</v>
      </c>
      <c r="S130" s="409"/>
      <c r="T130" s="35"/>
      <c r="U130" s="380">
        <v>4875</v>
      </c>
      <c r="V130" s="35"/>
      <c r="W130" s="393"/>
      <c r="X130" s="372">
        <f t="shared" si="4"/>
        <v>1761481.45</v>
      </c>
      <c r="Y130" s="35"/>
      <c r="Z130" s="380"/>
      <c r="AA130" s="35">
        <v>54340</v>
      </c>
      <c r="AB130" s="380"/>
      <c r="AC130" s="35"/>
      <c r="AD130" s="380"/>
      <c r="AE130" s="35"/>
      <c r="AF130" s="380"/>
      <c r="AG130" s="35"/>
      <c r="AH130" s="380"/>
      <c r="AI130" s="35"/>
      <c r="AJ130" s="380"/>
      <c r="AK130" s="35"/>
      <c r="AL130" s="403">
        <f t="shared" si="5"/>
        <v>54340</v>
      </c>
      <c r="AM130" s="18">
        <v>67</v>
      </c>
      <c r="AN130" s="33">
        <v>389</v>
      </c>
      <c r="AO130" s="393">
        <v>-39631.339999999997</v>
      </c>
      <c r="AP130" s="35"/>
      <c r="AQ130" s="35">
        <v>-3132.51</v>
      </c>
      <c r="AR130" s="35">
        <v>1</v>
      </c>
    </row>
    <row r="131" spans="1:44" x14ac:dyDescent="0.25">
      <c r="A131" s="383">
        <v>5611</v>
      </c>
      <c r="B131" s="367" t="s">
        <v>303</v>
      </c>
      <c r="C131" s="35">
        <v>6952908.71</v>
      </c>
      <c r="D131" s="35">
        <v>1074820.24</v>
      </c>
      <c r="E131" s="397"/>
      <c r="F131" s="368"/>
      <c r="G131" s="368">
        <v>462937.65</v>
      </c>
      <c r="H131" s="370">
        <v>7883.2</v>
      </c>
      <c r="I131" s="368">
        <v>69312.25</v>
      </c>
      <c r="J131" s="370">
        <v>149834.14000000001</v>
      </c>
      <c r="K131" s="368">
        <v>9369.6</v>
      </c>
      <c r="L131" s="370">
        <v>743993.65</v>
      </c>
      <c r="M131" s="371">
        <f t="shared" si="3"/>
        <v>9471059.4399999995</v>
      </c>
      <c r="N131" s="35">
        <v>134342.79999999999</v>
      </c>
      <c r="O131" s="35">
        <v>573197.4</v>
      </c>
      <c r="P131" s="35">
        <v>296514.59999999998</v>
      </c>
      <c r="Q131" s="35">
        <v>34828.19</v>
      </c>
      <c r="R131" s="35">
        <v>277460.05</v>
      </c>
      <c r="S131" s="409">
        <v>800</v>
      </c>
      <c r="T131" s="35">
        <v>16502.95</v>
      </c>
      <c r="U131" s="380">
        <v>19985</v>
      </c>
      <c r="V131" s="35">
        <v>693.15</v>
      </c>
      <c r="W131" s="393"/>
      <c r="X131" s="372">
        <f t="shared" si="4"/>
        <v>10825383.58</v>
      </c>
      <c r="Y131" s="35">
        <v>60126.74</v>
      </c>
      <c r="Z131" s="380">
        <v>27427.040000000001</v>
      </c>
      <c r="AA131" s="35"/>
      <c r="AB131" s="380"/>
      <c r="AC131" s="35">
        <v>314358.24</v>
      </c>
      <c r="AD131" s="380">
        <v>5921.45</v>
      </c>
      <c r="AE131" s="35">
        <v>27532.59</v>
      </c>
      <c r="AF131" s="380"/>
      <c r="AG131" s="35"/>
      <c r="AH131" s="380"/>
      <c r="AI131" s="35"/>
      <c r="AJ131" s="380"/>
      <c r="AK131" s="35"/>
      <c r="AL131" s="403">
        <f t="shared" si="5"/>
        <v>435366.06000000006</v>
      </c>
      <c r="AM131" s="18">
        <v>69</v>
      </c>
      <c r="AN131" s="33">
        <v>3352</v>
      </c>
      <c r="AO131" s="393">
        <v>-99702.720000000001</v>
      </c>
      <c r="AP131" s="35"/>
      <c r="AQ131" s="35">
        <v>-931.37</v>
      </c>
      <c r="AR131" s="35">
        <v>1.2</v>
      </c>
    </row>
    <row r="132" spans="1:44" x14ac:dyDescent="0.25">
      <c r="A132" s="383">
        <v>5613</v>
      </c>
      <c r="B132" s="367" t="s">
        <v>438</v>
      </c>
      <c r="C132" s="35">
        <v>14837107.5</v>
      </c>
      <c r="D132" s="35">
        <v>3361433.06</v>
      </c>
      <c r="E132" s="397"/>
      <c r="F132" s="368"/>
      <c r="G132" s="368">
        <v>209799.55</v>
      </c>
      <c r="H132" s="370">
        <v>45183.6</v>
      </c>
      <c r="I132" s="368">
        <v>150982.20000000001</v>
      </c>
      <c r="J132" s="370">
        <v>413820.12</v>
      </c>
      <c r="K132" s="368">
        <v>26619.4</v>
      </c>
      <c r="L132" s="370">
        <v>1923133.9</v>
      </c>
      <c r="M132" s="371">
        <f t="shared" si="3"/>
        <v>20968079.329999998</v>
      </c>
      <c r="N132" s="35">
        <v>18736</v>
      </c>
      <c r="O132" s="35">
        <v>242481.1</v>
      </c>
      <c r="P132" s="35">
        <v>668142.85</v>
      </c>
      <c r="Q132" s="35">
        <v>9478.5400000000009</v>
      </c>
      <c r="R132" s="35">
        <v>690231.5</v>
      </c>
      <c r="S132" s="409"/>
      <c r="T132" s="35"/>
      <c r="U132" s="380">
        <v>25200</v>
      </c>
      <c r="V132" s="35"/>
      <c r="W132" s="393"/>
      <c r="X132" s="372">
        <f t="shared" si="4"/>
        <v>22622349.32</v>
      </c>
      <c r="Y132" s="35">
        <v>-8320</v>
      </c>
      <c r="Z132" s="380"/>
      <c r="AA132" s="35">
        <v>645184.13</v>
      </c>
      <c r="AB132" s="380"/>
      <c r="AC132" s="35">
        <v>559133.48</v>
      </c>
      <c r="AD132" s="380">
        <v>24455.61</v>
      </c>
      <c r="AE132" s="35"/>
      <c r="AF132" s="380"/>
      <c r="AG132" s="35">
        <v>153314.1</v>
      </c>
      <c r="AH132" s="380">
        <v>168555.45</v>
      </c>
      <c r="AI132" s="35"/>
      <c r="AJ132" s="380"/>
      <c r="AK132" s="35"/>
      <c r="AL132" s="403">
        <f t="shared" si="5"/>
        <v>1542322.77</v>
      </c>
      <c r="AM132" s="18">
        <v>61</v>
      </c>
      <c r="AN132" s="33">
        <v>5288</v>
      </c>
      <c r="AO132" s="393">
        <v>-158129.57999999999</v>
      </c>
      <c r="AP132" s="35"/>
      <c r="AQ132" s="35">
        <v>-6888.22</v>
      </c>
      <c r="AR132" s="35">
        <v>1.5</v>
      </c>
    </row>
    <row r="133" spans="1:44" x14ac:dyDescent="0.25">
      <c r="A133" s="383">
        <v>5621</v>
      </c>
      <c r="B133" s="367" t="s">
        <v>411</v>
      </c>
      <c r="C133" s="35">
        <v>1081330.3600000001</v>
      </c>
      <c r="D133" s="35">
        <v>125362.16</v>
      </c>
      <c r="E133" s="397"/>
      <c r="F133" s="368"/>
      <c r="G133" s="368">
        <v>519279.15</v>
      </c>
      <c r="H133" s="370">
        <v>5089.95</v>
      </c>
      <c r="I133" s="368"/>
      <c r="J133" s="370">
        <v>59819.55</v>
      </c>
      <c r="K133" s="368">
        <v>-5234.8500000000004</v>
      </c>
      <c r="L133" s="370">
        <v>304030.25</v>
      </c>
      <c r="M133" s="371">
        <f t="shared" si="3"/>
        <v>2089676.5699999998</v>
      </c>
      <c r="N133" s="35">
        <v>167208.75</v>
      </c>
      <c r="O133" s="35">
        <v>131916.70000000001</v>
      </c>
      <c r="P133" s="35">
        <v>184944.5</v>
      </c>
      <c r="Q133" s="35">
        <v>147690.70000000001</v>
      </c>
      <c r="R133" s="35">
        <v>266833.5</v>
      </c>
      <c r="S133" s="409"/>
      <c r="T133" s="35">
        <v>9964.5</v>
      </c>
      <c r="U133" s="380">
        <v>2360</v>
      </c>
      <c r="V133" s="35"/>
      <c r="W133" s="393"/>
      <c r="X133" s="372">
        <f t="shared" si="4"/>
        <v>3000595.22</v>
      </c>
      <c r="Y133" s="35">
        <v>7277.4</v>
      </c>
      <c r="Z133" s="380"/>
      <c r="AA133" s="35">
        <v>179228.85</v>
      </c>
      <c r="AB133" s="380"/>
      <c r="AC133" s="35">
        <v>43681</v>
      </c>
      <c r="AD133" s="380">
        <v>9321.65</v>
      </c>
      <c r="AE133" s="35"/>
      <c r="AF133" s="380"/>
      <c r="AG133" s="35"/>
      <c r="AH133" s="380">
        <v>106064.4</v>
      </c>
      <c r="AI133" s="35"/>
      <c r="AJ133" s="380"/>
      <c r="AK133" s="35"/>
      <c r="AL133" s="403">
        <f t="shared" si="5"/>
        <v>345573.3</v>
      </c>
      <c r="AM133" s="18">
        <v>62</v>
      </c>
      <c r="AN133" s="33">
        <v>545</v>
      </c>
      <c r="AO133" s="393">
        <v>-155107.92000000001</v>
      </c>
      <c r="AP133" s="35"/>
      <c r="AQ133" s="35">
        <v>-1580.04</v>
      </c>
      <c r="AR133" s="35">
        <v>1.1000000000000001</v>
      </c>
    </row>
    <row r="134" spans="1:44" x14ac:dyDescent="0.25">
      <c r="A134" s="383">
        <v>5622</v>
      </c>
      <c r="B134" s="367" t="s">
        <v>152</v>
      </c>
      <c r="C134" s="35">
        <v>1345128.32</v>
      </c>
      <c r="D134" s="35">
        <v>230300.26</v>
      </c>
      <c r="E134" s="397"/>
      <c r="F134" s="368"/>
      <c r="G134" s="368">
        <v>211609.7</v>
      </c>
      <c r="H134" s="370">
        <v>1151</v>
      </c>
      <c r="I134" s="368"/>
      <c r="J134" s="370">
        <v>134834.70000000001</v>
      </c>
      <c r="K134" s="368">
        <v>5698</v>
      </c>
      <c r="L134" s="370">
        <v>134410</v>
      </c>
      <c r="M134" s="371">
        <f t="shared" si="3"/>
        <v>2063131.98</v>
      </c>
      <c r="N134" s="35">
        <v>17319.55</v>
      </c>
      <c r="O134" s="35"/>
      <c r="P134" s="35">
        <v>36517.15</v>
      </c>
      <c r="Q134" s="35"/>
      <c r="R134" s="35">
        <v>25680.15</v>
      </c>
      <c r="S134" s="409"/>
      <c r="T134" s="35"/>
      <c r="U134" s="380">
        <v>2120</v>
      </c>
      <c r="V134" s="35"/>
      <c r="W134" s="393"/>
      <c r="X134" s="372">
        <f t="shared" si="4"/>
        <v>2144768.83</v>
      </c>
      <c r="Y134" s="35">
        <v>28903.200000000001</v>
      </c>
      <c r="Z134" s="380"/>
      <c r="AA134" s="35">
        <v>182251.45</v>
      </c>
      <c r="AB134" s="380"/>
      <c r="AC134" s="35">
        <v>66648.600000000006</v>
      </c>
      <c r="AD134" s="380">
        <v>17080</v>
      </c>
      <c r="AE134" s="35"/>
      <c r="AF134" s="380"/>
      <c r="AG134" s="35"/>
      <c r="AH134" s="380"/>
      <c r="AI134" s="35"/>
      <c r="AJ134" s="380"/>
      <c r="AK134" s="35"/>
      <c r="AL134" s="403">
        <f t="shared" si="5"/>
        <v>294883.25</v>
      </c>
      <c r="AM134" s="18">
        <v>66</v>
      </c>
      <c r="AN134" s="33">
        <v>547</v>
      </c>
      <c r="AO134" s="393">
        <v>-891.3</v>
      </c>
      <c r="AP134" s="35"/>
      <c r="AQ134" s="35">
        <v>-45.53</v>
      </c>
      <c r="AR134" s="35">
        <v>1</v>
      </c>
    </row>
    <row r="135" spans="1:44" x14ac:dyDescent="0.25">
      <c r="A135" s="383">
        <v>5623</v>
      </c>
      <c r="B135" s="367" t="s">
        <v>153</v>
      </c>
      <c r="C135" s="35">
        <v>2250670.33</v>
      </c>
      <c r="D135" s="35">
        <v>923507.5</v>
      </c>
      <c r="E135" s="397"/>
      <c r="F135" s="368"/>
      <c r="G135" s="368">
        <v>59106.400000000001</v>
      </c>
      <c r="H135" s="370">
        <v>166417.5</v>
      </c>
      <c r="I135" s="368">
        <v>182427.55</v>
      </c>
      <c r="J135" s="370">
        <v>60062.21</v>
      </c>
      <c r="K135" s="368">
        <v>4972.3</v>
      </c>
      <c r="L135" s="370">
        <v>312535</v>
      </c>
      <c r="M135" s="371">
        <f t="shared" si="3"/>
        <v>3959698.7899999996</v>
      </c>
      <c r="N135" s="35">
        <v>1757.1</v>
      </c>
      <c r="O135" s="35"/>
      <c r="P135" s="35">
        <v>80333</v>
      </c>
      <c r="Q135" s="35">
        <v>1025.95</v>
      </c>
      <c r="R135" s="35">
        <v>61581.4</v>
      </c>
      <c r="S135" s="409"/>
      <c r="T135" s="35">
        <v>700</v>
      </c>
      <c r="U135" s="380">
        <v>1475</v>
      </c>
      <c r="V135" s="35"/>
      <c r="W135" s="393"/>
      <c r="X135" s="372">
        <f t="shared" si="4"/>
        <v>4106571.2399999998</v>
      </c>
      <c r="Y135" s="35">
        <v>4994.75</v>
      </c>
      <c r="Z135" s="380"/>
      <c r="AA135" s="35">
        <v>134115.25</v>
      </c>
      <c r="AB135" s="380"/>
      <c r="AC135" s="35">
        <v>58575.85</v>
      </c>
      <c r="AD135" s="380">
        <v>5170.6000000000004</v>
      </c>
      <c r="AE135" s="35"/>
      <c r="AF135" s="380"/>
      <c r="AG135" s="35"/>
      <c r="AH135" s="380"/>
      <c r="AI135" s="35"/>
      <c r="AJ135" s="380"/>
      <c r="AK135" s="35"/>
      <c r="AL135" s="403">
        <f t="shared" si="5"/>
        <v>202856.45</v>
      </c>
      <c r="AM135" s="18">
        <v>53</v>
      </c>
      <c r="AN135" s="33">
        <v>638</v>
      </c>
      <c r="AO135" s="393">
        <v>-1610.17</v>
      </c>
      <c r="AP135" s="35"/>
      <c r="AQ135" s="35">
        <v>-25657.96</v>
      </c>
      <c r="AR135" s="35">
        <v>1</v>
      </c>
    </row>
    <row r="136" spans="1:44" x14ac:dyDescent="0.25">
      <c r="A136" s="383">
        <v>5624</v>
      </c>
      <c r="B136" s="367" t="s">
        <v>453</v>
      </c>
      <c r="C136" s="35">
        <v>12782970.550000001</v>
      </c>
      <c r="D136" s="35">
        <v>1164252</v>
      </c>
      <c r="E136" s="397"/>
      <c r="F136" s="368"/>
      <c r="G136" s="368">
        <v>4145210</v>
      </c>
      <c r="H136" s="370">
        <v>118120.15</v>
      </c>
      <c r="I136" s="368"/>
      <c r="J136" s="370">
        <v>912503.62</v>
      </c>
      <c r="K136" s="368">
        <v>284849.59999999998</v>
      </c>
      <c r="L136" s="370">
        <v>1778913.75</v>
      </c>
      <c r="M136" s="371">
        <f t="shared" ref="M136:M194" si="6">SUM(C136:L136)</f>
        <v>21186819.670000002</v>
      </c>
      <c r="N136" s="35">
        <v>1222764.6000000001</v>
      </c>
      <c r="O136" s="35">
        <v>45365.4</v>
      </c>
      <c r="P136" s="35">
        <v>1488459.3</v>
      </c>
      <c r="Q136" s="35">
        <v>62432.5</v>
      </c>
      <c r="R136" s="35">
        <v>381713.4</v>
      </c>
      <c r="S136" s="409">
        <v>28378</v>
      </c>
      <c r="T136" s="35"/>
      <c r="U136" s="380">
        <v>31480</v>
      </c>
      <c r="V136" s="35">
        <v>81.400000000000006</v>
      </c>
      <c r="W136" s="393"/>
      <c r="X136" s="372">
        <f t="shared" ref="X136:X199" si="7">SUM(M136:W136)</f>
        <v>24447494.27</v>
      </c>
      <c r="Y136" s="35">
        <v>457467.75</v>
      </c>
      <c r="Z136" s="380"/>
      <c r="AA136" s="35">
        <v>435111.59</v>
      </c>
      <c r="AB136" s="380"/>
      <c r="AC136" s="35">
        <v>972317.74</v>
      </c>
      <c r="AD136" s="380">
        <v>121993.8</v>
      </c>
      <c r="AE136" s="35"/>
      <c r="AF136" s="380"/>
      <c r="AG136" s="35">
        <v>309647.8</v>
      </c>
      <c r="AH136" s="380">
        <v>497975.43</v>
      </c>
      <c r="AI136" s="35"/>
      <c r="AJ136" s="380"/>
      <c r="AK136" s="35">
        <v>497989.69</v>
      </c>
      <c r="AL136" s="403">
        <f t="shared" ref="AL136:AL199" si="8">SUM(Y136:AK136)</f>
        <v>3292503.8000000003</v>
      </c>
      <c r="AM136" s="18">
        <v>62</v>
      </c>
      <c r="AN136" s="33">
        <v>8677</v>
      </c>
      <c r="AO136" s="393">
        <v>-374053.16</v>
      </c>
      <c r="AP136" s="35"/>
      <c r="AQ136" s="35">
        <v>0</v>
      </c>
      <c r="AR136" s="35">
        <v>1</v>
      </c>
    </row>
    <row r="137" spans="1:44" x14ac:dyDescent="0.25">
      <c r="A137" s="383">
        <v>5625</v>
      </c>
      <c r="B137" s="367" t="s">
        <v>307</v>
      </c>
      <c r="C137" s="35">
        <v>847843.93</v>
      </c>
      <c r="D137" s="35">
        <v>41969</v>
      </c>
      <c r="E137" s="397"/>
      <c r="F137" s="368"/>
      <c r="G137" s="368">
        <v>24920.5</v>
      </c>
      <c r="H137" s="370">
        <v>202.85</v>
      </c>
      <c r="I137" s="368">
        <v>49537.55</v>
      </c>
      <c r="J137" s="370">
        <v>17072.86</v>
      </c>
      <c r="K137" s="368">
        <v>7588</v>
      </c>
      <c r="L137" s="370">
        <v>107197</v>
      </c>
      <c r="M137" s="371">
        <f t="shared" si="6"/>
        <v>1096331.69</v>
      </c>
      <c r="N137" s="35"/>
      <c r="O137" s="35"/>
      <c r="P137" s="35">
        <v>33220</v>
      </c>
      <c r="Q137" s="35">
        <v>178.75</v>
      </c>
      <c r="R137" s="35">
        <v>47777.75</v>
      </c>
      <c r="S137" s="409"/>
      <c r="T137" s="35">
        <v>5497.2</v>
      </c>
      <c r="U137" s="380">
        <v>600</v>
      </c>
      <c r="V137" s="35"/>
      <c r="W137" s="393"/>
      <c r="X137" s="372">
        <f t="shared" si="7"/>
        <v>1183605.3899999999</v>
      </c>
      <c r="Y137" s="35"/>
      <c r="Z137" s="380"/>
      <c r="AA137" s="35">
        <v>55912.4</v>
      </c>
      <c r="AB137" s="380"/>
      <c r="AC137" s="35">
        <v>35179.15</v>
      </c>
      <c r="AD137" s="380"/>
      <c r="AE137" s="35"/>
      <c r="AF137" s="380"/>
      <c r="AG137" s="35"/>
      <c r="AH137" s="380"/>
      <c r="AI137" s="35"/>
      <c r="AJ137" s="380"/>
      <c r="AK137" s="35"/>
      <c r="AL137" s="403">
        <f t="shared" si="8"/>
        <v>91091.55</v>
      </c>
      <c r="AM137" s="18">
        <v>78</v>
      </c>
      <c r="AN137" s="33">
        <v>371</v>
      </c>
      <c r="AO137" s="393">
        <v>-2840.14</v>
      </c>
      <c r="AP137" s="35"/>
      <c r="AQ137" s="35">
        <v>0</v>
      </c>
      <c r="AR137" s="35">
        <v>1.2</v>
      </c>
    </row>
    <row r="138" spans="1:44" x14ac:dyDescent="0.25">
      <c r="A138" s="383">
        <v>5627</v>
      </c>
      <c r="B138" s="367" t="s">
        <v>260</v>
      </c>
      <c r="C138" s="35">
        <v>9674929.5800000001</v>
      </c>
      <c r="D138" s="35">
        <v>593985.26</v>
      </c>
      <c r="E138" s="397"/>
      <c r="F138" s="368"/>
      <c r="G138" s="368">
        <v>1785195</v>
      </c>
      <c r="H138" s="370">
        <v>96879.95</v>
      </c>
      <c r="I138" s="368"/>
      <c r="J138" s="370">
        <v>861608.62</v>
      </c>
      <c r="K138" s="368">
        <v>158076.04999999999</v>
      </c>
      <c r="L138" s="370">
        <v>1382453</v>
      </c>
      <c r="M138" s="371">
        <f t="shared" si="6"/>
        <v>14553127.459999999</v>
      </c>
      <c r="N138" s="35">
        <v>382133.95</v>
      </c>
      <c r="O138" s="35">
        <v>87645.5</v>
      </c>
      <c r="P138" s="35">
        <v>852829.4</v>
      </c>
      <c r="Q138" s="35">
        <v>81539.7</v>
      </c>
      <c r="R138" s="35">
        <v>1599154.75</v>
      </c>
      <c r="S138" s="409"/>
      <c r="T138" s="35">
        <v>65447.3</v>
      </c>
      <c r="U138" s="380">
        <v>27450</v>
      </c>
      <c r="V138" s="35">
        <v>1554</v>
      </c>
      <c r="W138" s="393">
        <v>1000.5</v>
      </c>
      <c r="X138" s="372">
        <f t="shared" si="7"/>
        <v>17651882.559999999</v>
      </c>
      <c r="Y138" s="35">
        <v>1031813.55</v>
      </c>
      <c r="Z138" s="380"/>
      <c r="AA138" s="35">
        <v>587254.15</v>
      </c>
      <c r="AB138" s="380"/>
      <c r="AC138" s="35">
        <v>360009.3</v>
      </c>
      <c r="AD138" s="380"/>
      <c r="AE138" s="35"/>
      <c r="AF138" s="380"/>
      <c r="AG138" s="35">
        <v>25642.6</v>
      </c>
      <c r="AH138" s="380"/>
      <c r="AI138" s="35"/>
      <c r="AJ138" s="380"/>
      <c r="AK138" s="35"/>
      <c r="AL138" s="403">
        <f t="shared" si="8"/>
        <v>2004719.6000000003</v>
      </c>
      <c r="AM138" s="18">
        <v>79</v>
      </c>
      <c r="AN138" s="33">
        <v>7653</v>
      </c>
      <c r="AO138" s="393">
        <v>-333160.23</v>
      </c>
      <c r="AP138" s="35"/>
      <c r="AQ138" s="35">
        <v>-366.38</v>
      </c>
      <c r="AR138" s="35">
        <v>1.5</v>
      </c>
    </row>
    <row r="139" spans="1:44" x14ac:dyDescent="0.25">
      <c r="A139" s="383">
        <v>5628</v>
      </c>
      <c r="B139" s="367" t="s">
        <v>261</v>
      </c>
      <c r="C139" s="35">
        <v>1110373.8600000001</v>
      </c>
      <c r="D139" s="35"/>
      <c r="E139" s="397"/>
      <c r="F139" s="368"/>
      <c r="G139" s="368">
        <v>492.5</v>
      </c>
      <c r="H139" s="370">
        <v>273.55</v>
      </c>
      <c r="I139" s="368"/>
      <c r="J139" s="370">
        <v>18929.59</v>
      </c>
      <c r="K139" s="368">
        <v>859.5</v>
      </c>
      <c r="L139" s="370">
        <v>82267.7</v>
      </c>
      <c r="M139" s="371">
        <f t="shared" si="6"/>
        <v>1213196.7000000002</v>
      </c>
      <c r="N139" s="35">
        <v>16284.8</v>
      </c>
      <c r="O139" s="35"/>
      <c r="P139" s="35">
        <v>45475.55</v>
      </c>
      <c r="Q139" s="35"/>
      <c r="R139" s="35">
        <v>58184.75</v>
      </c>
      <c r="S139" s="409"/>
      <c r="T139" s="35"/>
      <c r="U139" s="380"/>
      <c r="V139" s="35"/>
      <c r="W139" s="393"/>
      <c r="X139" s="372">
        <f t="shared" si="7"/>
        <v>1333141.8000000003</v>
      </c>
      <c r="Y139" s="35">
        <v>24000</v>
      </c>
      <c r="Z139" s="380"/>
      <c r="AA139" s="35">
        <v>69357.05</v>
      </c>
      <c r="AB139" s="380"/>
      <c r="AC139" s="35">
        <v>20387.8</v>
      </c>
      <c r="AD139" s="380"/>
      <c r="AE139" s="35"/>
      <c r="AF139" s="380"/>
      <c r="AG139" s="35"/>
      <c r="AH139" s="380">
        <v>8692.5499999999993</v>
      </c>
      <c r="AI139" s="35"/>
      <c r="AJ139" s="380"/>
      <c r="AK139" s="35"/>
      <c r="AL139" s="403">
        <f t="shared" si="8"/>
        <v>122437.40000000001</v>
      </c>
      <c r="AM139" s="18">
        <v>62</v>
      </c>
      <c r="AN139" s="33">
        <v>338</v>
      </c>
      <c r="AO139" s="393">
        <v>-4547.12</v>
      </c>
      <c r="AP139" s="35"/>
      <c r="AQ139" s="35">
        <v>0</v>
      </c>
      <c r="AR139" s="35">
        <v>1</v>
      </c>
    </row>
    <row r="140" spans="1:44" x14ac:dyDescent="0.25">
      <c r="A140" s="383">
        <v>5629</v>
      </c>
      <c r="B140" s="367" t="s">
        <v>156</v>
      </c>
      <c r="C140" s="35">
        <v>471054.36</v>
      </c>
      <c r="D140" s="35">
        <v>55101.65</v>
      </c>
      <c r="E140" s="397"/>
      <c r="F140" s="368"/>
      <c r="G140" s="368">
        <v>12106.65</v>
      </c>
      <c r="H140" s="370">
        <v>140.65</v>
      </c>
      <c r="I140" s="368"/>
      <c r="J140" s="370">
        <v>4511.34</v>
      </c>
      <c r="K140" s="368">
        <v>1728.55</v>
      </c>
      <c r="L140" s="370">
        <v>35909.1</v>
      </c>
      <c r="M140" s="371">
        <f t="shared" si="6"/>
        <v>580552.30000000005</v>
      </c>
      <c r="N140" s="35"/>
      <c r="O140" s="35"/>
      <c r="P140" s="35">
        <v>24134.6</v>
      </c>
      <c r="Q140" s="35"/>
      <c r="R140" s="35"/>
      <c r="S140" s="409"/>
      <c r="T140" s="35"/>
      <c r="U140" s="380">
        <v>675</v>
      </c>
      <c r="V140" s="35"/>
      <c r="W140" s="393"/>
      <c r="X140" s="372">
        <f t="shared" si="7"/>
        <v>605361.9</v>
      </c>
      <c r="Y140" s="35">
        <v>6378.15</v>
      </c>
      <c r="Z140" s="380"/>
      <c r="AA140" s="35">
        <v>40038.1</v>
      </c>
      <c r="AB140" s="380"/>
      <c r="AC140" s="35">
        <v>15713.3</v>
      </c>
      <c r="AD140" s="380">
        <v>7972.7</v>
      </c>
      <c r="AE140" s="35"/>
      <c r="AF140" s="380"/>
      <c r="AG140" s="35"/>
      <c r="AH140" s="380"/>
      <c r="AI140" s="35"/>
      <c r="AJ140" s="380"/>
      <c r="AK140" s="35"/>
      <c r="AL140" s="403">
        <f t="shared" si="8"/>
        <v>70102.25</v>
      </c>
      <c r="AM140" s="18">
        <v>75</v>
      </c>
      <c r="AN140" s="33">
        <v>189</v>
      </c>
      <c r="AO140" s="393">
        <v>-17162.919999999998</v>
      </c>
      <c r="AP140" s="35"/>
      <c r="AQ140" s="35">
        <v>0</v>
      </c>
      <c r="AR140" s="35">
        <v>1</v>
      </c>
    </row>
    <row r="141" spans="1:44" x14ac:dyDescent="0.25">
      <c r="A141" s="383">
        <v>5631</v>
      </c>
      <c r="B141" s="367" t="s">
        <v>157</v>
      </c>
      <c r="C141" s="35">
        <v>2202033.09</v>
      </c>
      <c r="D141" s="35">
        <v>574081.94999999995</v>
      </c>
      <c r="E141" s="397"/>
      <c r="F141" s="368"/>
      <c r="G141" s="368">
        <v>22103.85</v>
      </c>
      <c r="H141" s="370">
        <v>10776.25</v>
      </c>
      <c r="I141" s="368">
        <v>111331.45</v>
      </c>
      <c r="J141" s="370">
        <v>69297.86</v>
      </c>
      <c r="K141" s="368">
        <v>-261.10000000000002</v>
      </c>
      <c r="L141" s="370">
        <v>193401.65</v>
      </c>
      <c r="M141" s="371">
        <f t="shared" si="6"/>
        <v>3182765</v>
      </c>
      <c r="N141" s="35"/>
      <c r="O141" s="35">
        <v>8896.2999999999993</v>
      </c>
      <c r="P141" s="35">
        <v>71248.2</v>
      </c>
      <c r="Q141" s="35">
        <v>10206.709999999999</v>
      </c>
      <c r="R141" s="35">
        <v>131699.95000000001</v>
      </c>
      <c r="S141" s="409"/>
      <c r="T141" s="35">
        <v>859.75</v>
      </c>
      <c r="U141" s="380">
        <v>1737.5</v>
      </c>
      <c r="V141" s="35"/>
      <c r="W141" s="393"/>
      <c r="X141" s="372">
        <f t="shared" si="7"/>
        <v>3407413.41</v>
      </c>
      <c r="Y141" s="35">
        <v>-4250.7</v>
      </c>
      <c r="Z141" s="380"/>
      <c r="AA141" s="35">
        <v>127239.35</v>
      </c>
      <c r="AB141" s="380"/>
      <c r="AC141" s="35">
        <v>50708.1</v>
      </c>
      <c r="AD141" s="380"/>
      <c r="AE141" s="35"/>
      <c r="AF141" s="380"/>
      <c r="AG141" s="35"/>
      <c r="AH141" s="380"/>
      <c r="AI141" s="35"/>
      <c r="AJ141" s="380"/>
      <c r="AK141" s="35"/>
      <c r="AL141" s="403">
        <f t="shared" si="8"/>
        <v>173696.75</v>
      </c>
      <c r="AM141" s="18">
        <v>70</v>
      </c>
      <c r="AN141" s="33">
        <v>774</v>
      </c>
      <c r="AO141" s="393">
        <v>-12514.81</v>
      </c>
      <c r="AP141" s="35"/>
      <c r="AQ141" s="35">
        <v>-204.82</v>
      </c>
      <c r="AR141" s="35">
        <v>1</v>
      </c>
    </row>
    <row r="142" spans="1:44" x14ac:dyDescent="0.25">
      <c r="A142" s="383">
        <v>5632</v>
      </c>
      <c r="B142" s="367" t="s">
        <v>158</v>
      </c>
      <c r="C142" s="35">
        <v>3056330.95</v>
      </c>
      <c r="D142" s="35">
        <v>471889.18</v>
      </c>
      <c r="E142" s="397"/>
      <c r="F142" s="368"/>
      <c r="G142" s="368">
        <v>152199.95000000001</v>
      </c>
      <c r="H142" s="370">
        <v>8792.7000000000007</v>
      </c>
      <c r="I142" s="368"/>
      <c r="J142" s="370">
        <v>185267.79</v>
      </c>
      <c r="K142" s="368">
        <v>18381.8</v>
      </c>
      <c r="L142" s="370">
        <v>327637.40000000002</v>
      </c>
      <c r="M142" s="371">
        <f t="shared" si="6"/>
        <v>4220499.7700000005</v>
      </c>
      <c r="N142" s="35">
        <v>63037.35</v>
      </c>
      <c r="O142" s="35"/>
      <c r="P142" s="35">
        <v>157830.6</v>
      </c>
      <c r="Q142" s="35">
        <v>15184.06</v>
      </c>
      <c r="R142" s="35">
        <v>95149.85</v>
      </c>
      <c r="S142" s="409"/>
      <c r="T142" s="35">
        <v>500</v>
      </c>
      <c r="U142" s="380">
        <v>4650</v>
      </c>
      <c r="V142" s="35"/>
      <c r="W142" s="393"/>
      <c r="X142" s="372">
        <f t="shared" si="7"/>
        <v>4556851.629999999</v>
      </c>
      <c r="Y142" s="35">
        <v>28358.9</v>
      </c>
      <c r="Z142" s="380"/>
      <c r="AA142" s="35">
        <v>223930.75</v>
      </c>
      <c r="AB142" s="380">
        <v>80927.95</v>
      </c>
      <c r="AC142" s="35">
        <v>108715</v>
      </c>
      <c r="AD142" s="380"/>
      <c r="AE142" s="35"/>
      <c r="AF142" s="380"/>
      <c r="AG142" s="35"/>
      <c r="AH142" s="380">
        <v>51520.95</v>
      </c>
      <c r="AI142" s="35"/>
      <c r="AJ142" s="380"/>
      <c r="AK142" s="35"/>
      <c r="AL142" s="403">
        <f t="shared" si="8"/>
        <v>493453.55</v>
      </c>
      <c r="AM142" s="18">
        <v>62</v>
      </c>
      <c r="AN142" s="33">
        <v>1614</v>
      </c>
      <c r="AO142" s="393">
        <v>-25911.85</v>
      </c>
      <c r="AP142" s="35"/>
      <c r="AQ142" s="35">
        <v>-282.55</v>
      </c>
      <c r="AR142" s="35">
        <v>1</v>
      </c>
    </row>
    <row r="143" spans="1:44" x14ac:dyDescent="0.25">
      <c r="A143" s="383">
        <v>5633</v>
      </c>
      <c r="B143" s="367" t="s">
        <v>159</v>
      </c>
      <c r="C143" s="35">
        <v>5788885.9000000004</v>
      </c>
      <c r="D143" s="35">
        <v>1247321.8500000001</v>
      </c>
      <c r="E143" s="397"/>
      <c r="F143" s="368"/>
      <c r="G143" s="368">
        <v>332759.65000000002</v>
      </c>
      <c r="H143" s="370">
        <v>91573.55</v>
      </c>
      <c r="I143" s="368"/>
      <c r="J143" s="370">
        <v>219133.24</v>
      </c>
      <c r="K143" s="368">
        <v>22085.05</v>
      </c>
      <c r="L143" s="370">
        <v>596444.1</v>
      </c>
      <c r="M143" s="371">
        <f t="shared" si="6"/>
        <v>8298203.3399999999</v>
      </c>
      <c r="N143" s="35">
        <v>159886.15</v>
      </c>
      <c r="O143" s="35">
        <v>42687.199999999997</v>
      </c>
      <c r="P143" s="35">
        <v>313303</v>
      </c>
      <c r="Q143" s="35">
        <v>158.19</v>
      </c>
      <c r="R143" s="35">
        <v>249959.14</v>
      </c>
      <c r="S143" s="409"/>
      <c r="T143" s="35">
        <v>10790.9</v>
      </c>
      <c r="U143" s="380">
        <v>8880</v>
      </c>
      <c r="V143" s="35"/>
      <c r="W143" s="393"/>
      <c r="X143" s="372">
        <f t="shared" si="7"/>
        <v>9083867.9199999999</v>
      </c>
      <c r="Y143" s="35">
        <v>239278.6</v>
      </c>
      <c r="Z143" s="380"/>
      <c r="AA143" s="35">
        <v>346727.95</v>
      </c>
      <c r="AB143" s="380"/>
      <c r="AC143" s="35">
        <v>166261.51999999999</v>
      </c>
      <c r="AD143" s="380"/>
      <c r="AE143" s="35"/>
      <c r="AF143" s="380"/>
      <c r="AG143" s="35"/>
      <c r="AH143" s="380"/>
      <c r="AI143" s="35"/>
      <c r="AJ143" s="380"/>
      <c r="AK143" s="35"/>
      <c r="AL143" s="403">
        <f t="shared" si="8"/>
        <v>752268.07000000007</v>
      </c>
      <c r="AM143" s="18">
        <v>62</v>
      </c>
      <c r="AN143" s="33">
        <v>2757</v>
      </c>
      <c r="AO143" s="393">
        <v>-121189.36</v>
      </c>
      <c r="AP143" s="35"/>
      <c r="AQ143" s="35">
        <v>0</v>
      </c>
      <c r="AR143" s="35">
        <v>1</v>
      </c>
    </row>
    <row r="144" spans="1:44" x14ac:dyDescent="0.25">
      <c r="A144" s="383">
        <v>5634</v>
      </c>
      <c r="B144" s="367" t="s">
        <v>160</v>
      </c>
      <c r="C144" s="35">
        <v>6701766.5999999996</v>
      </c>
      <c r="D144" s="35">
        <v>1068459.75</v>
      </c>
      <c r="E144" s="397"/>
      <c r="F144" s="368"/>
      <c r="G144" s="368">
        <v>104501.9</v>
      </c>
      <c r="H144" s="370">
        <v>4835.7</v>
      </c>
      <c r="I144" s="368">
        <v>112104</v>
      </c>
      <c r="J144" s="370">
        <v>100347.37</v>
      </c>
      <c r="K144" s="368">
        <v>19338.5</v>
      </c>
      <c r="L144" s="370">
        <v>566075.30000000005</v>
      </c>
      <c r="M144" s="371">
        <f t="shared" si="6"/>
        <v>8677429.120000001</v>
      </c>
      <c r="N144" s="35">
        <v>28133.7</v>
      </c>
      <c r="O144" s="35">
        <v>63849.599999999999</v>
      </c>
      <c r="P144" s="35">
        <v>647553.65</v>
      </c>
      <c r="Q144" s="35">
        <v>21715.52</v>
      </c>
      <c r="R144" s="35">
        <v>324565.84999999998</v>
      </c>
      <c r="S144" s="409"/>
      <c r="T144" s="35">
        <v>3621.85</v>
      </c>
      <c r="U144" s="380">
        <v>7525</v>
      </c>
      <c r="V144" s="35"/>
      <c r="W144" s="393"/>
      <c r="X144" s="372">
        <f t="shared" si="7"/>
        <v>9774394.2899999991</v>
      </c>
      <c r="Y144" s="35">
        <v>198031.8</v>
      </c>
      <c r="Z144" s="380"/>
      <c r="AA144" s="35">
        <v>535372.85</v>
      </c>
      <c r="AB144" s="380"/>
      <c r="AC144" s="35">
        <v>187189.55</v>
      </c>
      <c r="AD144" s="380">
        <v>207262.85</v>
      </c>
      <c r="AE144" s="35"/>
      <c r="AF144" s="380"/>
      <c r="AG144" s="35"/>
      <c r="AH144" s="380"/>
      <c r="AI144" s="35"/>
      <c r="AJ144" s="380"/>
      <c r="AK144" s="35"/>
      <c r="AL144" s="403">
        <f t="shared" si="8"/>
        <v>1127857.05</v>
      </c>
      <c r="AM144" s="18">
        <v>68</v>
      </c>
      <c r="AN144" s="33">
        <v>2712</v>
      </c>
      <c r="AO144" s="393">
        <v>-50443.32</v>
      </c>
      <c r="AP144" s="35"/>
      <c r="AQ144" s="35">
        <v>-1289.6500000000001</v>
      </c>
      <c r="AR144" s="35">
        <v>1</v>
      </c>
    </row>
    <row r="145" spans="1:44" x14ac:dyDescent="0.25">
      <c r="A145" s="383">
        <v>5635</v>
      </c>
      <c r="B145" s="367" t="s">
        <v>161</v>
      </c>
      <c r="C145" s="35">
        <v>18253845.91</v>
      </c>
      <c r="D145" s="35">
        <v>2560075</v>
      </c>
      <c r="E145" s="397"/>
      <c r="F145" s="368"/>
      <c r="G145" s="368">
        <v>2760738.15</v>
      </c>
      <c r="H145" s="370">
        <v>810738.4</v>
      </c>
      <c r="I145" s="368">
        <v>49883.55</v>
      </c>
      <c r="J145" s="370">
        <v>1466306.67</v>
      </c>
      <c r="K145" s="368">
        <v>375200.3</v>
      </c>
      <c r="L145" s="370">
        <v>2095088.8</v>
      </c>
      <c r="M145" s="371">
        <f t="shared" si="6"/>
        <v>28371876.780000001</v>
      </c>
      <c r="N145" s="35">
        <v>2168934.3999999999</v>
      </c>
      <c r="O145" s="35">
        <v>240163</v>
      </c>
      <c r="P145" s="35">
        <v>637904.5</v>
      </c>
      <c r="Q145" s="35">
        <v>1831699.09</v>
      </c>
      <c r="R145" s="35">
        <v>592282.65</v>
      </c>
      <c r="S145" s="409"/>
      <c r="T145" s="35">
        <v>63779.8</v>
      </c>
      <c r="U145" s="380">
        <v>43750</v>
      </c>
      <c r="V145" s="35">
        <v>95756.36</v>
      </c>
      <c r="W145" s="393"/>
      <c r="X145" s="372">
        <f t="shared" si="7"/>
        <v>34046146.579999998</v>
      </c>
      <c r="Y145" s="35">
        <v>101114.5</v>
      </c>
      <c r="Z145" s="380"/>
      <c r="AA145" s="35">
        <v>1328054.6599999999</v>
      </c>
      <c r="AB145" s="380"/>
      <c r="AC145" s="35">
        <v>1263043.05</v>
      </c>
      <c r="AD145" s="380"/>
      <c r="AE145" s="35"/>
      <c r="AF145" s="380"/>
      <c r="AG145" s="35">
        <v>397472.8</v>
      </c>
      <c r="AH145" s="380">
        <v>1193803.8500000001</v>
      </c>
      <c r="AI145" s="35">
        <v>400138.5</v>
      </c>
      <c r="AJ145" s="380"/>
      <c r="AK145" s="35">
        <v>170543.25</v>
      </c>
      <c r="AL145" s="403">
        <f t="shared" si="8"/>
        <v>4854170.6099999994</v>
      </c>
      <c r="AM145" s="18">
        <v>62</v>
      </c>
      <c r="AN145" s="33">
        <v>12560</v>
      </c>
      <c r="AO145" s="393">
        <v>-2110666.2799999998</v>
      </c>
      <c r="AP145" s="35"/>
      <c r="AQ145" s="35">
        <v>-58029.9</v>
      </c>
      <c r="AR145" s="35">
        <v>0.95</v>
      </c>
    </row>
    <row r="146" spans="1:44" x14ac:dyDescent="0.25">
      <c r="A146" s="383">
        <v>5636</v>
      </c>
      <c r="B146" s="367" t="s">
        <v>162</v>
      </c>
      <c r="C146" s="35">
        <v>5580423.5499999998</v>
      </c>
      <c r="D146" s="35">
        <v>731481.19</v>
      </c>
      <c r="E146" s="397"/>
      <c r="F146" s="368"/>
      <c r="G146" s="368">
        <v>1414776.7</v>
      </c>
      <c r="H146" s="370">
        <v>234744.9</v>
      </c>
      <c r="I146" s="368">
        <v>68376.399999999994</v>
      </c>
      <c r="J146" s="370">
        <v>528459.61</v>
      </c>
      <c r="K146" s="368">
        <v>83168</v>
      </c>
      <c r="L146" s="370">
        <v>985456.65</v>
      </c>
      <c r="M146" s="371">
        <f t="shared" si="6"/>
        <v>9626887.0000000019</v>
      </c>
      <c r="N146" s="35">
        <v>560619.75</v>
      </c>
      <c r="O146" s="35">
        <v>29299.75</v>
      </c>
      <c r="P146" s="35">
        <v>919081.05</v>
      </c>
      <c r="Q146" s="35">
        <v>37666.69</v>
      </c>
      <c r="R146" s="35">
        <v>149314.9</v>
      </c>
      <c r="S146" s="409"/>
      <c r="T146" s="35">
        <v>32470.45</v>
      </c>
      <c r="U146" s="380">
        <v>7550</v>
      </c>
      <c r="V146" s="35"/>
      <c r="W146" s="393"/>
      <c r="X146" s="372">
        <f t="shared" si="7"/>
        <v>11362889.590000002</v>
      </c>
      <c r="Y146" s="35">
        <v>282252.5</v>
      </c>
      <c r="Z146" s="380"/>
      <c r="AA146" s="35">
        <v>522024.85</v>
      </c>
      <c r="AB146" s="380"/>
      <c r="AC146" s="35">
        <v>117731.3</v>
      </c>
      <c r="AD146" s="380"/>
      <c r="AE146" s="35"/>
      <c r="AF146" s="380"/>
      <c r="AG146" s="35"/>
      <c r="AH146" s="380">
        <v>170573.55</v>
      </c>
      <c r="AI146" s="35"/>
      <c r="AJ146" s="380"/>
      <c r="AK146" s="35"/>
      <c r="AL146" s="403">
        <f t="shared" si="8"/>
        <v>1092582.2</v>
      </c>
      <c r="AM146" s="18">
        <v>61</v>
      </c>
      <c r="AN146" s="33">
        <v>2908</v>
      </c>
      <c r="AO146" s="393">
        <v>-68314.05</v>
      </c>
      <c r="AP146" s="35"/>
      <c r="AQ146" s="35">
        <v>-731.93</v>
      </c>
      <c r="AR146" s="35">
        <v>1</v>
      </c>
    </row>
    <row r="147" spans="1:44" x14ac:dyDescent="0.25">
      <c r="A147" s="383">
        <v>5637</v>
      </c>
      <c r="B147" s="367" t="s">
        <v>163</v>
      </c>
      <c r="C147" s="35">
        <v>2153022.65</v>
      </c>
      <c r="D147" s="35">
        <v>225734.53</v>
      </c>
      <c r="E147" s="397"/>
      <c r="F147" s="368"/>
      <c r="G147" s="368">
        <v>39822.050000000003</v>
      </c>
      <c r="H147" s="370">
        <v>200.65</v>
      </c>
      <c r="I147" s="368"/>
      <c r="J147" s="370">
        <v>98356.86</v>
      </c>
      <c r="K147" s="368">
        <v>4736.6000000000004</v>
      </c>
      <c r="L147" s="370">
        <v>279064.84999999998</v>
      </c>
      <c r="M147" s="371">
        <f t="shared" si="6"/>
        <v>2800938.1899999995</v>
      </c>
      <c r="N147" s="35">
        <v>214244</v>
      </c>
      <c r="O147" s="35">
        <v>57122.7</v>
      </c>
      <c r="P147" s="35">
        <v>25719.85</v>
      </c>
      <c r="Q147" s="35">
        <v>16109.05</v>
      </c>
      <c r="R147" s="35">
        <v>24433.599999999999</v>
      </c>
      <c r="S147" s="409"/>
      <c r="T147" s="35">
        <v>943.6</v>
      </c>
      <c r="U147" s="380">
        <v>3760</v>
      </c>
      <c r="V147" s="35"/>
      <c r="W147" s="393"/>
      <c r="X147" s="372">
        <f t="shared" si="7"/>
        <v>3143270.9899999998</v>
      </c>
      <c r="Y147" s="35">
        <v>48228.05</v>
      </c>
      <c r="Z147" s="380"/>
      <c r="AA147" s="35">
        <v>179989.15</v>
      </c>
      <c r="AB147" s="380"/>
      <c r="AC147" s="35">
        <v>103632.15</v>
      </c>
      <c r="AD147" s="380">
        <v>48774.95</v>
      </c>
      <c r="AE147" s="35"/>
      <c r="AF147" s="380"/>
      <c r="AG147" s="35"/>
      <c r="AH147" s="380">
        <v>38588.1</v>
      </c>
      <c r="AI147" s="35"/>
      <c r="AJ147" s="380"/>
      <c r="AK147" s="35"/>
      <c r="AL147" s="403">
        <f t="shared" si="8"/>
        <v>419212.39999999997</v>
      </c>
      <c r="AM147" s="18">
        <v>74.5</v>
      </c>
      <c r="AN147" s="33">
        <v>1007</v>
      </c>
      <c r="AO147" s="393">
        <v>-22607.79</v>
      </c>
      <c r="AP147" s="35"/>
      <c r="AQ147" s="35">
        <v>-80.459999999999994</v>
      </c>
      <c r="AR147" s="35">
        <v>1.5</v>
      </c>
    </row>
    <row r="148" spans="1:44" x14ac:dyDescent="0.25">
      <c r="A148" s="383">
        <v>5638</v>
      </c>
      <c r="B148" s="367" t="s">
        <v>164</v>
      </c>
      <c r="C148" s="35">
        <v>5017782.7</v>
      </c>
      <c r="D148" s="35">
        <v>1335160.8</v>
      </c>
      <c r="E148" s="397"/>
      <c r="F148" s="368"/>
      <c r="G148" s="368">
        <v>1133468.3999999999</v>
      </c>
      <c r="H148" s="370">
        <v>77956.25</v>
      </c>
      <c r="I148" s="368">
        <v>125707.6</v>
      </c>
      <c r="J148" s="370">
        <v>150854.95000000001</v>
      </c>
      <c r="K148" s="368">
        <v>58783.25</v>
      </c>
      <c r="L148" s="370">
        <v>610987.55000000005</v>
      </c>
      <c r="M148" s="371">
        <f t="shared" si="6"/>
        <v>8510701.5</v>
      </c>
      <c r="N148" s="35">
        <v>195178.05</v>
      </c>
      <c r="O148" s="35">
        <v>5372126.9000000004</v>
      </c>
      <c r="P148" s="35">
        <v>327617.2</v>
      </c>
      <c r="Q148" s="35">
        <v>30336.52</v>
      </c>
      <c r="R148" s="35">
        <v>212938.75</v>
      </c>
      <c r="S148" s="409"/>
      <c r="T148" s="35">
        <v>8126.5</v>
      </c>
      <c r="U148" s="380">
        <v>18400</v>
      </c>
      <c r="V148" s="35"/>
      <c r="W148" s="393"/>
      <c r="X148" s="372">
        <f t="shared" si="7"/>
        <v>14675425.42</v>
      </c>
      <c r="Y148" s="35">
        <v>362260</v>
      </c>
      <c r="Z148" s="380"/>
      <c r="AA148" s="35"/>
      <c r="AB148" s="380">
        <v>427862.95</v>
      </c>
      <c r="AC148" s="35">
        <v>273576.3</v>
      </c>
      <c r="AD148" s="380"/>
      <c r="AE148" s="35"/>
      <c r="AF148" s="380"/>
      <c r="AG148" s="35"/>
      <c r="AH148" s="380"/>
      <c r="AI148" s="35"/>
      <c r="AJ148" s="380"/>
      <c r="AK148" s="35"/>
      <c r="AL148" s="403">
        <f t="shared" si="8"/>
        <v>1063699.25</v>
      </c>
      <c r="AM148" s="18">
        <v>55</v>
      </c>
      <c r="AN148" s="33">
        <v>2492</v>
      </c>
      <c r="AO148" s="393">
        <v>-69205.56</v>
      </c>
      <c r="AP148" s="35"/>
      <c r="AQ148" s="35">
        <v>-3963.67</v>
      </c>
      <c r="AR148" s="35">
        <v>1</v>
      </c>
    </row>
    <row r="149" spans="1:44" x14ac:dyDescent="0.25">
      <c r="A149" s="383">
        <v>5639</v>
      </c>
      <c r="B149" s="367" t="s">
        <v>165</v>
      </c>
      <c r="C149" s="35">
        <v>2361702.98</v>
      </c>
      <c r="D149" s="35">
        <v>496788.6</v>
      </c>
      <c r="E149" s="397"/>
      <c r="F149" s="368"/>
      <c r="G149" s="368">
        <v>83204</v>
      </c>
      <c r="H149" s="370">
        <v>2388.5500000000002</v>
      </c>
      <c r="I149" s="368"/>
      <c r="J149" s="370">
        <v>34548.29</v>
      </c>
      <c r="K149" s="368">
        <v>2910.85</v>
      </c>
      <c r="L149" s="370">
        <v>232855.15</v>
      </c>
      <c r="M149" s="371">
        <f t="shared" si="6"/>
        <v>3214398.42</v>
      </c>
      <c r="N149" s="35">
        <v>7673.95</v>
      </c>
      <c r="O149" s="35">
        <v>4672.2</v>
      </c>
      <c r="P149" s="35">
        <v>103464.2</v>
      </c>
      <c r="Q149" s="35"/>
      <c r="R149" s="35">
        <v>74264.649999999994</v>
      </c>
      <c r="S149" s="409"/>
      <c r="T149" s="35">
        <v>194.5</v>
      </c>
      <c r="U149" s="380">
        <v>2400</v>
      </c>
      <c r="V149" s="35"/>
      <c r="W149" s="393"/>
      <c r="X149" s="372">
        <f t="shared" si="7"/>
        <v>3407067.9200000004</v>
      </c>
      <c r="Y149" s="35">
        <v>16686.55</v>
      </c>
      <c r="Z149" s="380"/>
      <c r="AA149" s="35">
        <v>111374.45</v>
      </c>
      <c r="AB149" s="380"/>
      <c r="AC149" s="35">
        <v>63466.55</v>
      </c>
      <c r="AD149" s="380"/>
      <c r="AE149" s="35"/>
      <c r="AF149" s="380"/>
      <c r="AG149" s="35"/>
      <c r="AH149" s="380"/>
      <c r="AI149" s="35"/>
      <c r="AJ149" s="380"/>
      <c r="AK149" s="35"/>
      <c r="AL149" s="403">
        <f t="shared" si="8"/>
        <v>191527.55</v>
      </c>
      <c r="AM149" s="18">
        <v>61</v>
      </c>
      <c r="AN149" s="33">
        <v>795</v>
      </c>
      <c r="AO149" s="393">
        <v>-10891.22</v>
      </c>
      <c r="AP149" s="35"/>
      <c r="AQ149" s="35">
        <v>0</v>
      </c>
      <c r="AR149" s="35">
        <v>1.25</v>
      </c>
    </row>
    <row r="150" spans="1:44" x14ac:dyDescent="0.25">
      <c r="A150" s="383">
        <v>5640</v>
      </c>
      <c r="B150" s="367" t="s">
        <v>166</v>
      </c>
      <c r="C150" s="35">
        <v>2605123.98</v>
      </c>
      <c r="D150" s="35">
        <v>650490.82999999996</v>
      </c>
      <c r="E150" s="397"/>
      <c r="F150" s="368"/>
      <c r="G150" s="368">
        <v>111209.15</v>
      </c>
      <c r="H150" s="370">
        <v>3575.1</v>
      </c>
      <c r="I150" s="368">
        <v>112456.95</v>
      </c>
      <c r="J150" s="370">
        <v>13011.45</v>
      </c>
      <c r="K150" s="368">
        <v>3311.15</v>
      </c>
      <c r="L150" s="370">
        <v>177094.65</v>
      </c>
      <c r="M150" s="371">
        <f t="shared" si="6"/>
        <v>3676273.2600000002</v>
      </c>
      <c r="N150" s="35">
        <v>20858.45</v>
      </c>
      <c r="O150" s="35">
        <v>1179708.6000000001</v>
      </c>
      <c r="P150" s="35">
        <v>99486.5</v>
      </c>
      <c r="Q150" s="35"/>
      <c r="R150" s="35">
        <v>165951.20000000001</v>
      </c>
      <c r="S150" s="409"/>
      <c r="T150" s="35"/>
      <c r="U150" s="380">
        <v>4450</v>
      </c>
      <c r="V150" s="35"/>
      <c r="W150" s="393"/>
      <c r="X150" s="372">
        <f t="shared" si="7"/>
        <v>5146728.0100000007</v>
      </c>
      <c r="Y150" s="35">
        <v>7935.15</v>
      </c>
      <c r="Z150" s="380"/>
      <c r="AA150" s="35">
        <v>67156.149999999994</v>
      </c>
      <c r="AB150" s="380"/>
      <c r="AC150" s="35">
        <v>38659</v>
      </c>
      <c r="AD150" s="380"/>
      <c r="AE150" s="35"/>
      <c r="AF150" s="380"/>
      <c r="AG150" s="35"/>
      <c r="AH150" s="380"/>
      <c r="AI150" s="35"/>
      <c r="AJ150" s="380"/>
      <c r="AK150" s="35"/>
      <c r="AL150" s="403">
        <f t="shared" si="8"/>
        <v>113750.29999999999</v>
      </c>
      <c r="AM150" s="18">
        <v>66</v>
      </c>
      <c r="AN150" s="33">
        <v>667</v>
      </c>
      <c r="AO150" s="393">
        <v>-1896.95</v>
      </c>
      <c r="AP150" s="35"/>
      <c r="AQ150" s="35">
        <v>-5013.92</v>
      </c>
      <c r="AR150" s="35">
        <v>1</v>
      </c>
    </row>
    <row r="151" spans="1:44" x14ac:dyDescent="0.25">
      <c r="A151" s="383">
        <v>5642</v>
      </c>
      <c r="B151" s="367" t="s">
        <v>167</v>
      </c>
      <c r="C151" s="35">
        <v>34199708.310000002</v>
      </c>
      <c r="D151" s="35">
        <v>5136971.76</v>
      </c>
      <c r="E151" s="397"/>
      <c r="F151" s="368"/>
      <c r="G151" s="368">
        <v>8746203.8000000007</v>
      </c>
      <c r="H151" s="370">
        <v>-91669.45</v>
      </c>
      <c r="I151" s="368">
        <v>532169.51</v>
      </c>
      <c r="J151" s="370">
        <v>1876864.23</v>
      </c>
      <c r="K151" s="368">
        <v>341755.65</v>
      </c>
      <c r="L151" s="370">
        <v>3094735.4</v>
      </c>
      <c r="M151" s="371">
        <f t="shared" si="6"/>
        <v>53836739.209999993</v>
      </c>
      <c r="N151" s="35">
        <v>1182879.75</v>
      </c>
      <c r="O151" s="35">
        <v>3711652.25</v>
      </c>
      <c r="P151" s="35">
        <v>1319928.1499999999</v>
      </c>
      <c r="Q151" s="35">
        <v>64558.37</v>
      </c>
      <c r="R151" s="35">
        <v>894656.9</v>
      </c>
      <c r="S151" s="409">
        <v>89076.75</v>
      </c>
      <c r="T151" s="35"/>
      <c r="U151" s="380">
        <v>45600</v>
      </c>
      <c r="V151" s="35"/>
      <c r="W151" s="393"/>
      <c r="X151" s="372">
        <f t="shared" si="7"/>
        <v>61145091.379999988</v>
      </c>
      <c r="Y151" s="35">
        <v>1013641.95</v>
      </c>
      <c r="Z151" s="380"/>
      <c r="AA151" s="35">
        <v>3822223.65</v>
      </c>
      <c r="AB151" s="380"/>
      <c r="AC151" s="35">
        <v>1071084.8999999999</v>
      </c>
      <c r="AD151" s="380">
        <v>1524358.6</v>
      </c>
      <c r="AE151" s="35"/>
      <c r="AF151" s="380"/>
      <c r="AG151" s="35">
        <v>227060</v>
      </c>
      <c r="AH151" s="380"/>
      <c r="AI151" s="35"/>
      <c r="AJ151" s="380"/>
      <c r="AK151" s="35"/>
      <c r="AL151" s="403">
        <f t="shared" si="8"/>
        <v>7658369.0999999996</v>
      </c>
      <c r="AM151" s="18">
        <v>68.5</v>
      </c>
      <c r="AN151" s="33">
        <v>15839</v>
      </c>
      <c r="AO151" s="393">
        <v>-578734.39</v>
      </c>
      <c r="AP151" s="35"/>
      <c r="AQ151" s="35">
        <v>-30349.71</v>
      </c>
      <c r="AR151" s="35">
        <v>1</v>
      </c>
    </row>
    <row r="152" spans="1:44" x14ac:dyDescent="0.25">
      <c r="A152" s="383">
        <v>5643</v>
      </c>
      <c r="B152" s="367" t="s">
        <v>168</v>
      </c>
      <c r="C152" s="35">
        <v>11689953.369999999</v>
      </c>
      <c r="D152" s="35">
        <v>2460909.94</v>
      </c>
      <c r="E152" s="397"/>
      <c r="F152" s="368"/>
      <c r="G152" s="368">
        <v>695061.25</v>
      </c>
      <c r="H152" s="370">
        <v>23405.95</v>
      </c>
      <c r="I152" s="368">
        <v>525939.9</v>
      </c>
      <c r="J152" s="370">
        <v>480997.42</v>
      </c>
      <c r="K152" s="368">
        <v>90581.25</v>
      </c>
      <c r="L152" s="370">
        <v>1087622.55</v>
      </c>
      <c r="M152" s="371">
        <f t="shared" si="6"/>
        <v>17054471.629999999</v>
      </c>
      <c r="N152" s="35">
        <v>146777.79999999999</v>
      </c>
      <c r="O152" s="35">
        <v>87618.7</v>
      </c>
      <c r="P152" s="35">
        <v>302692.05</v>
      </c>
      <c r="Q152" s="35">
        <v>32882.79</v>
      </c>
      <c r="R152" s="35">
        <v>221118.95</v>
      </c>
      <c r="S152" s="409">
        <v>562.5</v>
      </c>
      <c r="T152" s="35">
        <v>3807.25</v>
      </c>
      <c r="U152" s="380">
        <v>17190</v>
      </c>
      <c r="V152" s="35"/>
      <c r="W152" s="393"/>
      <c r="X152" s="372">
        <f t="shared" si="7"/>
        <v>17867121.669999998</v>
      </c>
      <c r="Y152" s="35">
        <v>76631.7</v>
      </c>
      <c r="Z152" s="380"/>
      <c r="AA152" s="35">
        <v>864597.04</v>
      </c>
      <c r="AB152" s="380"/>
      <c r="AC152" s="35">
        <v>395706.1</v>
      </c>
      <c r="AD152" s="380"/>
      <c r="AE152" s="35"/>
      <c r="AF152" s="380"/>
      <c r="AG152" s="35"/>
      <c r="AH152" s="380">
        <v>117833.45</v>
      </c>
      <c r="AI152" s="35"/>
      <c r="AJ152" s="380"/>
      <c r="AK152" s="35"/>
      <c r="AL152" s="403">
        <f t="shared" si="8"/>
        <v>1454768.2899999998</v>
      </c>
      <c r="AM152" s="18">
        <v>64</v>
      </c>
      <c r="AN152" s="33">
        <v>5291</v>
      </c>
      <c r="AO152" s="393">
        <v>-137338.57999999999</v>
      </c>
      <c r="AP152" s="35"/>
      <c r="AQ152" s="35">
        <v>-6905.63</v>
      </c>
      <c r="AR152" s="35">
        <v>1</v>
      </c>
    </row>
    <row r="153" spans="1:44" x14ac:dyDescent="0.25">
      <c r="A153" s="383">
        <v>5644</v>
      </c>
      <c r="B153" s="367" t="s">
        <v>318</v>
      </c>
      <c r="C153" s="35">
        <v>905993.31</v>
      </c>
      <c r="D153" s="35">
        <v>121133.83</v>
      </c>
      <c r="E153" s="397"/>
      <c r="F153" s="368"/>
      <c r="G153" s="368">
        <v>35177.65</v>
      </c>
      <c r="H153" s="370">
        <v>64.849999999999994</v>
      </c>
      <c r="I153" s="368"/>
      <c r="J153" s="370">
        <v>17628.66</v>
      </c>
      <c r="K153" s="368">
        <v>150</v>
      </c>
      <c r="L153" s="370">
        <v>72080.45</v>
      </c>
      <c r="M153" s="371">
        <f t="shared" si="6"/>
        <v>1152228.75</v>
      </c>
      <c r="N153" s="35">
        <v>11543.65</v>
      </c>
      <c r="O153" s="35"/>
      <c r="P153" s="35">
        <v>40112.050000000003</v>
      </c>
      <c r="Q153" s="35"/>
      <c r="R153" s="35">
        <v>4106.05</v>
      </c>
      <c r="S153" s="409"/>
      <c r="T153" s="35">
        <v>300</v>
      </c>
      <c r="U153" s="380">
        <v>2900</v>
      </c>
      <c r="V153" s="35"/>
      <c r="W153" s="393"/>
      <c r="X153" s="372">
        <f t="shared" si="7"/>
        <v>1211190.5</v>
      </c>
      <c r="Y153" s="35">
        <v>17074.5</v>
      </c>
      <c r="Z153" s="380"/>
      <c r="AA153" s="35">
        <v>62671.1</v>
      </c>
      <c r="AB153" s="380"/>
      <c r="AC153" s="35">
        <v>35080</v>
      </c>
      <c r="AD153" s="380">
        <v>12375</v>
      </c>
      <c r="AE153" s="35"/>
      <c r="AF153" s="380"/>
      <c r="AG153" s="35"/>
      <c r="AH153" s="380">
        <v>7160.5</v>
      </c>
      <c r="AI153" s="35"/>
      <c r="AJ153" s="380"/>
      <c r="AK153" s="35"/>
      <c r="AL153" s="403">
        <f t="shared" si="8"/>
        <v>134361.1</v>
      </c>
      <c r="AM153" s="18">
        <v>76</v>
      </c>
      <c r="AN153" s="33">
        <v>382</v>
      </c>
      <c r="AO153" s="393">
        <v>-1783.14</v>
      </c>
      <c r="AP153" s="35"/>
      <c r="AQ153" s="35">
        <v>0</v>
      </c>
      <c r="AR153" s="35">
        <v>1</v>
      </c>
    </row>
    <row r="154" spans="1:44" x14ac:dyDescent="0.25">
      <c r="A154" s="383">
        <v>5645</v>
      </c>
      <c r="B154" s="367" t="s">
        <v>319</v>
      </c>
      <c r="C154" s="35">
        <v>1016126.39</v>
      </c>
      <c r="D154" s="35">
        <v>162447.01999999999</v>
      </c>
      <c r="E154" s="397"/>
      <c r="F154" s="368"/>
      <c r="G154" s="368">
        <v>103613.6</v>
      </c>
      <c r="H154" s="370">
        <v>2618.5</v>
      </c>
      <c r="I154" s="368"/>
      <c r="J154" s="370">
        <v>85108.88</v>
      </c>
      <c r="K154" s="368">
        <v>6457.6</v>
      </c>
      <c r="L154" s="370">
        <v>115420.55</v>
      </c>
      <c r="M154" s="371">
        <f t="shared" si="6"/>
        <v>1491792.5400000003</v>
      </c>
      <c r="N154" s="35">
        <v>64803.7</v>
      </c>
      <c r="O154" s="35">
        <v>9635.4</v>
      </c>
      <c r="P154" s="35">
        <v>14008.5</v>
      </c>
      <c r="Q154" s="35">
        <v>773.43</v>
      </c>
      <c r="R154" s="35"/>
      <c r="S154" s="409">
        <v>75</v>
      </c>
      <c r="T154" s="35"/>
      <c r="U154" s="380">
        <v>975</v>
      </c>
      <c r="V154" s="35"/>
      <c r="W154" s="393"/>
      <c r="X154" s="372">
        <f t="shared" si="7"/>
        <v>1582063.57</v>
      </c>
      <c r="Y154" s="35">
        <v>143185.60000000001</v>
      </c>
      <c r="Z154" s="380"/>
      <c r="AA154" s="35">
        <v>111082.35</v>
      </c>
      <c r="AB154" s="380"/>
      <c r="AC154" s="35">
        <v>58623</v>
      </c>
      <c r="AD154" s="380">
        <v>685.6</v>
      </c>
      <c r="AE154" s="35"/>
      <c r="AF154" s="380"/>
      <c r="AG154" s="35"/>
      <c r="AH154" s="380">
        <v>27865.4</v>
      </c>
      <c r="AI154" s="35"/>
      <c r="AJ154" s="380"/>
      <c r="AK154" s="35"/>
      <c r="AL154" s="403">
        <f t="shared" si="8"/>
        <v>341441.95</v>
      </c>
      <c r="AM154" s="18">
        <v>56</v>
      </c>
      <c r="AN154" s="33">
        <v>470</v>
      </c>
      <c r="AO154" s="393">
        <v>-13033.28</v>
      </c>
      <c r="AP154" s="35"/>
      <c r="AQ154" s="35">
        <v>-35.659999999999997</v>
      </c>
      <c r="AR154" s="35">
        <v>0.8</v>
      </c>
    </row>
    <row r="155" spans="1:44" x14ac:dyDescent="0.25">
      <c r="A155" s="383">
        <v>5646</v>
      </c>
      <c r="B155" s="367" t="s">
        <v>320</v>
      </c>
      <c r="C155" s="35">
        <v>11496912.439999999</v>
      </c>
      <c r="D155" s="35">
        <v>2316027.2799999998</v>
      </c>
      <c r="E155" s="397"/>
      <c r="F155" s="368"/>
      <c r="G155" s="368">
        <v>1656613.3</v>
      </c>
      <c r="H155" s="370">
        <v>3082577.55</v>
      </c>
      <c r="I155" s="368">
        <v>796369.16</v>
      </c>
      <c r="J155" s="370">
        <v>400412.17</v>
      </c>
      <c r="K155" s="368">
        <v>90214.399999999994</v>
      </c>
      <c r="L155" s="370">
        <v>1541528.45</v>
      </c>
      <c r="M155" s="371">
        <f t="shared" si="6"/>
        <v>21380654.75</v>
      </c>
      <c r="N155" s="35">
        <v>442944.65</v>
      </c>
      <c r="O155" s="35">
        <v>324599.7</v>
      </c>
      <c r="P155" s="35">
        <v>730417.9</v>
      </c>
      <c r="Q155" s="35">
        <v>17737.5</v>
      </c>
      <c r="R155" s="35">
        <v>825938.3</v>
      </c>
      <c r="S155" s="409">
        <v>21550.15</v>
      </c>
      <c r="T155" s="35"/>
      <c r="U155" s="380">
        <v>45300</v>
      </c>
      <c r="V155" s="35">
        <v>159.6</v>
      </c>
      <c r="W155" s="393"/>
      <c r="X155" s="372">
        <f t="shared" si="7"/>
        <v>23789302.549999997</v>
      </c>
      <c r="Y155" s="35">
        <v>138632.41</v>
      </c>
      <c r="Z155" s="380"/>
      <c r="AA155" s="35">
        <v>860069.68</v>
      </c>
      <c r="AB155" s="380"/>
      <c r="AC155" s="35">
        <v>544538.05000000005</v>
      </c>
      <c r="AD155" s="380">
        <v>84517.94</v>
      </c>
      <c r="AE155" s="35"/>
      <c r="AF155" s="380"/>
      <c r="AG155" s="35"/>
      <c r="AH155" s="380"/>
      <c r="AI155" s="35"/>
      <c r="AJ155" s="380"/>
      <c r="AK155" s="35"/>
      <c r="AL155" s="403">
        <f t="shared" si="8"/>
        <v>1627758.08</v>
      </c>
      <c r="AM155" s="18">
        <v>55</v>
      </c>
      <c r="AN155" s="33">
        <v>5695</v>
      </c>
      <c r="AO155" s="393">
        <v>-156511.45000000001</v>
      </c>
      <c r="AP155" s="35"/>
      <c r="AQ155" s="35">
        <v>-3473.21</v>
      </c>
      <c r="AR155" s="35">
        <v>1</v>
      </c>
    </row>
    <row r="156" spans="1:44" x14ac:dyDescent="0.25">
      <c r="A156" s="383">
        <v>5648</v>
      </c>
      <c r="B156" s="367" t="s">
        <v>321</v>
      </c>
      <c r="C156" s="35">
        <v>12921951.210000001</v>
      </c>
      <c r="D156" s="35">
        <v>3332989.14</v>
      </c>
      <c r="E156" s="397"/>
      <c r="F156" s="368"/>
      <c r="G156" s="368">
        <v>823660.95</v>
      </c>
      <c r="H156" s="370">
        <v>322328.3</v>
      </c>
      <c r="I156" s="368">
        <v>400643.54</v>
      </c>
      <c r="J156" s="370">
        <v>866041.95</v>
      </c>
      <c r="K156" s="368">
        <v>74742.2</v>
      </c>
      <c r="L156" s="370">
        <v>1060836.28</v>
      </c>
      <c r="M156" s="371">
        <f t="shared" si="6"/>
        <v>19803193.57</v>
      </c>
      <c r="N156" s="35">
        <v>51473.55</v>
      </c>
      <c r="O156" s="35">
        <v>608307.6</v>
      </c>
      <c r="P156" s="35">
        <v>1232099.75</v>
      </c>
      <c r="Q156" s="35">
        <v>1736.93</v>
      </c>
      <c r="R156" s="35">
        <v>554617.85</v>
      </c>
      <c r="S156" s="409">
        <v>795.9</v>
      </c>
      <c r="T156" s="35"/>
      <c r="U156" s="380">
        <v>17550</v>
      </c>
      <c r="V156" s="35">
        <v>269</v>
      </c>
      <c r="W156" s="393"/>
      <c r="X156" s="372">
        <f t="shared" si="7"/>
        <v>22270044.150000002</v>
      </c>
      <c r="Y156" s="35">
        <v>785568.5</v>
      </c>
      <c r="Z156" s="380"/>
      <c r="AA156" s="35">
        <v>1020660.53</v>
      </c>
      <c r="AB156" s="380"/>
      <c r="AC156" s="35">
        <v>334972.36</v>
      </c>
      <c r="AD156" s="380"/>
      <c r="AE156" s="35"/>
      <c r="AF156" s="380"/>
      <c r="AG156" s="35">
        <v>202461.18</v>
      </c>
      <c r="AH156" s="380">
        <v>142524.4</v>
      </c>
      <c r="AI156" s="35"/>
      <c r="AJ156" s="380"/>
      <c r="AK156" s="35"/>
      <c r="AL156" s="403">
        <f t="shared" si="8"/>
        <v>2486186.9700000002</v>
      </c>
      <c r="AM156" s="18">
        <v>55</v>
      </c>
      <c r="AN156" s="33">
        <v>4524</v>
      </c>
      <c r="AO156" s="393">
        <v>-44795.58</v>
      </c>
      <c r="AP156" s="35"/>
      <c r="AQ156" s="35">
        <v>-18715.68</v>
      </c>
      <c r="AR156" s="35">
        <v>0.8</v>
      </c>
    </row>
    <row r="157" spans="1:44" x14ac:dyDescent="0.25">
      <c r="A157" s="383">
        <v>5649</v>
      </c>
      <c r="B157" s="367" t="s">
        <v>322</v>
      </c>
      <c r="C157" s="35">
        <v>3827297.2</v>
      </c>
      <c r="D157" s="35">
        <v>1055591.6200000001</v>
      </c>
      <c r="E157" s="397"/>
      <c r="F157" s="368"/>
      <c r="G157" s="368">
        <v>9232932.8499999996</v>
      </c>
      <c r="H157" s="370">
        <v>503859.7</v>
      </c>
      <c r="I157" s="368">
        <v>159637.71</v>
      </c>
      <c r="J157" s="370">
        <v>161641.66</v>
      </c>
      <c r="K157" s="368">
        <v>63516.6</v>
      </c>
      <c r="L157" s="370">
        <v>540169.69999999995</v>
      </c>
      <c r="M157" s="371">
        <f t="shared" si="6"/>
        <v>15544647.039999999</v>
      </c>
      <c r="N157" s="35">
        <v>610323.6</v>
      </c>
      <c r="O157" s="35">
        <v>5548.9</v>
      </c>
      <c r="P157" s="35">
        <v>121751.25</v>
      </c>
      <c r="Q157" s="35">
        <v>30.2</v>
      </c>
      <c r="R157" s="35">
        <v>263442.95</v>
      </c>
      <c r="S157" s="409"/>
      <c r="T157" s="35">
        <v>2777.05</v>
      </c>
      <c r="U157" s="380">
        <v>3600</v>
      </c>
      <c r="V157" s="35"/>
      <c r="W157" s="393"/>
      <c r="X157" s="372">
        <f t="shared" si="7"/>
        <v>16552120.989999998</v>
      </c>
      <c r="Y157" s="35">
        <v>39710.550000000003</v>
      </c>
      <c r="Z157" s="380"/>
      <c r="AA157" s="35">
        <v>458741.05</v>
      </c>
      <c r="AB157" s="380"/>
      <c r="AC157" s="35">
        <v>97645</v>
      </c>
      <c r="AD157" s="380"/>
      <c r="AE157" s="35"/>
      <c r="AF157" s="380"/>
      <c r="AG157" s="35"/>
      <c r="AH157" s="380">
        <v>125022.65</v>
      </c>
      <c r="AI157" s="35"/>
      <c r="AJ157" s="380"/>
      <c r="AK157" s="35"/>
      <c r="AL157" s="403">
        <f t="shared" si="8"/>
        <v>721119.25</v>
      </c>
      <c r="AM157" s="18">
        <v>65</v>
      </c>
      <c r="AN157" s="33">
        <v>1883</v>
      </c>
      <c r="AO157" s="393">
        <v>-55457.45</v>
      </c>
      <c r="AP157" s="35"/>
      <c r="AQ157" s="35">
        <v>-690.72</v>
      </c>
      <c r="AR157" s="35">
        <v>1</v>
      </c>
    </row>
    <row r="158" spans="1:44" s="377" customFormat="1" x14ac:dyDescent="0.25">
      <c r="A158" s="384">
        <v>5650</v>
      </c>
      <c r="B158" s="374" t="s">
        <v>323</v>
      </c>
      <c r="C158" s="35">
        <v>2733742.82</v>
      </c>
      <c r="D158" s="35">
        <v>6700983.7000000002</v>
      </c>
      <c r="E158" s="398"/>
      <c r="F158" s="375"/>
      <c r="G158" s="375">
        <v>25066</v>
      </c>
      <c r="H158" s="373">
        <v>15.5</v>
      </c>
      <c r="I158" s="375"/>
      <c r="J158" s="373">
        <v>4629.63</v>
      </c>
      <c r="K158" s="375"/>
      <c r="L158" s="373">
        <v>54508.7</v>
      </c>
      <c r="M158" s="371">
        <f t="shared" si="6"/>
        <v>9518946.3499999996</v>
      </c>
      <c r="N158" s="376">
        <v>93.95</v>
      </c>
      <c r="O158" s="376"/>
      <c r="P158" s="376">
        <v>12100</v>
      </c>
      <c r="Q158" s="376"/>
      <c r="R158" s="376">
        <v>10000.5</v>
      </c>
      <c r="S158" s="410"/>
      <c r="T158" s="376"/>
      <c r="U158" s="387">
        <v>270</v>
      </c>
      <c r="V158" s="376"/>
      <c r="W158" s="394"/>
      <c r="X158" s="372">
        <f t="shared" si="7"/>
        <v>9541410.7999999989</v>
      </c>
      <c r="Y158" s="35"/>
      <c r="Z158" s="380">
        <v>-62.2</v>
      </c>
      <c r="AA158" s="35">
        <v>23407.9</v>
      </c>
      <c r="AB158" s="380"/>
      <c r="AC158" s="35">
        <v>26812.25</v>
      </c>
      <c r="AD158" s="380"/>
      <c r="AE158" s="35"/>
      <c r="AF158" s="380"/>
      <c r="AG158" s="35"/>
      <c r="AH158" s="380"/>
      <c r="AI158" s="35"/>
      <c r="AJ158" s="380"/>
      <c r="AK158" s="35"/>
      <c r="AL158" s="403">
        <f t="shared" si="8"/>
        <v>50157.95</v>
      </c>
      <c r="AM158" s="18">
        <v>56</v>
      </c>
      <c r="AN158" s="33">
        <v>199</v>
      </c>
      <c r="AO158" s="394">
        <v>-116.03</v>
      </c>
      <c r="AP158" s="376"/>
      <c r="AQ158" s="376">
        <v>0</v>
      </c>
      <c r="AR158" s="35">
        <v>1.25</v>
      </c>
    </row>
    <row r="159" spans="1:44" x14ac:dyDescent="0.25">
      <c r="A159" s="383">
        <v>5651</v>
      </c>
      <c r="B159" s="367" t="s">
        <v>324</v>
      </c>
      <c r="C159" s="35">
        <v>1853771.73</v>
      </c>
      <c r="D159" s="35">
        <v>249743.33</v>
      </c>
      <c r="E159" s="397"/>
      <c r="F159" s="368"/>
      <c r="G159" s="368">
        <v>709869</v>
      </c>
      <c r="H159" s="370">
        <v>1006.9</v>
      </c>
      <c r="I159" s="368"/>
      <c r="J159" s="370">
        <v>48414.5</v>
      </c>
      <c r="K159" s="368">
        <v>18278</v>
      </c>
      <c r="L159" s="370">
        <v>264848.09999999998</v>
      </c>
      <c r="M159" s="371">
        <f t="shared" si="6"/>
        <v>3145931.56</v>
      </c>
      <c r="N159" s="35">
        <v>166753.75</v>
      </c>
      <c r="O159" s="35"/>
      <c r="P159" s="35">
        <v>231689.8</v>
      </c>
      <c r="Q159" s="35">
        <v>2357.8000000000002</v>
      </c>
      <c r="R159" s="35">
        <v>42894.6</v>
      </c>
      <c r="S159" s="409"/>
      <c r="T159" s="35"/>
      <c r="U159" s="380">
        <v>4440</v>
      </c>
      <c r="V159" s="35"/>
      <c r="W159" s="393"/>
      <c r="X159" s="372">
        <f t="shared" si="7"/>
        <v>3594067.51</v>
      </c>
      <c r="Y159" s="35"/>
      <c r="Z159" s="380">
        <v>290863.2</v>
      </c>
      <c r="AA159" s="35">
        <v>107176.85</v>
      </c>
      <c r="AB159" s="380"/>
      <c r="AC159" s="35">
        <v>100089.1</v>
      </c>
      <c r="AD159" s="380"/>
      <c r="AE159" s="35">
        <v>140332.15</v>
      </c>
      <c r="AF159" s="380"/>
      <c r="AG159" s="35"/>
      <c r="AH159" s="380"/>
      <c r="AI159" s="35"/>
      <c r="AJ159" s="380"/>
      <c r="AK159" s="35"/>
      <c r="AL159" s="403">
        <f t="shared" si="8"/>
        <v>638461.30000000005</v>
      </c>
      <c r="AM159" s="18">
        <v>59</v>
      </c>
      <c r="AN159" s="33">
        <v>935</v>
      </c>
      <c r="AO159" s="393">
        <v>-11745.78</v>
      </c>
      <c r="AP159" s="35"/>
      <c r="AQ159" s="35">
        <v>-94.59</v>
      </c>
      <c r="AR159" s="35">
        <v>1</v>
      </c>
    </row>
    <row r="160" spans="1:44" x14ac:dyDescent="0.25">
      <c r="A160" s="383">
        <v>5652</v>
      </c>
      <c r="B160" s="367" t="s">
        <v>203</v>
      </c>
      <c r="C160" s="35">
        <v>1456953.09</v>
      </c>
      <c r="D160" s="35">
        <v>356132.69</v>
      </c>
      <c r="E160" s="397"/>
      <c r="F160" s="368"/>
      <c r="G160" s="368">
        <v>18105.900000000001</v>
      </c>
      <c r="H160" s="370">
        <v>316.8</v>
      </c>
      <c r="I160" s="368"/>
      <c r="J160" s="370">
        <v>36632.910000000003</v>
      </c>
      <c r="K160" s="368">
        <v>614.15</v>
      </c>
      <c r="L160" s="370">
        <v>127343.05</v>
      </c>
      <c r="M160" s="371">
        <f t="shared" si="6"/>
        <v>1996098.5899999999</v>
      </c>
      <c r="N160" s="35">
        <v>7470.6</v>
      </c>
      <c r="O160" s="35"/>
      <c r="P160" s="35">
        <v>41371</v>
      </c>
      <c r="Q160" s="35"/>
      <c r="R160" s="35">
        <v>11871.95</v>
      </c>
      <c r="S160" s="409"/>
      <c r="T160" s="35">
        <v>555.95000000000005</v>
      </c>
      <c r="U160" s="380">
        <v>4200</v>
      </c>
      <c r="V160" s="35"/>
      <c r="W160" s="393"/>
      <c r="X160" s="372">
        <f t="shared" si="7"/>
        <v>2061568.0899999999</v>
      </c>
      <c r="Y160" s="35">
        <v>22712.35</v>
      </c>
      <c r="Z160" s="380"/>
      <c r="AA160" s="35">
        <v>81178.8</v>
      </c>
      <c r="AB160" s="380"/>
      <c r="AC160" s="35">
        <v>40137.550000000003</v>
      </c>
      <c r="AD160" s="380"/>
      <c r="AE160" s="35"/>
      <c r="AF160" s="380"/>
      <c r="AG160" s="35"/>
      <c r="AH160" s="380"/>
      <c r="AI160" s="35"/>
      <c r="AJ160" s="380"/>
      <c r="AK160" s="35"/>
      <c r="AL160" s="403">
        <f t="shared" si="8"/>
        <v>144028.70000000001</v>
      </c>
      <c r="AM160" s="18">
        <v>76</v>
      </c>
      <c r="AN160" s="33">
        <v>614</v>
      </c>
      <c r="AO160" s="393">
        <v>-6913.36</v>
      </c>
      <c r="AP160" s="35"/>
      <c r="AQ160" s="35">
        <v>-143.91999999999999</v>
      </c>
      <c r="AR160" s="35">
        <v>1.2</v>
      </c>
    </row>
    <row r="161" spans="1:44" x14ac:dyDescent="0.25">
      <c r="A161" s="383">
        <v>5653</v>
      </c>
      <c r="B161" s="367" t="s">
        <v>204</v>
      </c>
      <c r="C161" s="35">
        <v>2143239.66</v>
      </c>
      <c r="D161" s="35">
        <v>687240.92</v>
      </c>
      <c r="E161" s="397"/>
      <c r="F161" s="368"/>
      <c r="G161" s="368">
        <v>7199.05</v>
      </c>
      <c r="H161" s="370">
        <v>82.099999999999895</v>
      </c>
      <c r="I161" s="368">
        <v>92686.65</v>
      </c>
      <c r="J161" s="370">
        <v>45413.88</v>
      </c>
      <c r="K161" s="368">
        <v>1537</v>
      </c>
      <c r="L161" s="370">
        <v>185285.6</v>
      </c>
      <c r="M161" s="371">
        <f t="shared" si="6"/>
        <v>3162684.86</v>
      </c>
      <c r="N161" s="35">
        <v>406.8</v>
      </c>
      <c r="O161" s="35"/>
      <c r="P161" s="35">
        <v>66731.55</v>
      </c>
      <c r="Q161" s="35"/>
      <c r="R161" s="35">
        <v>9370.1</v>
      </c>
      <c r="S161" s="409"/>
      <c r="T161" s="35"/>
      <c r="U161" s="380">
        <v>6050</v>
      </c>
      <c r="V161" s="35"/>
      <c r="W161" s="393"/>
      <c r="X161" s="372">
        <f t="shared" si="7"/>
        <v>3245243.3099999996</v>
      </c>
      <c r="Y161" s="35">
        <v>26077.1</v>
      </c>
      <c r="Z161" s="380"/>
      <c r="AA161" s="35">
        <v>88096.1</v>
      </c>
      <c r="AB161" s="380"/>
      <c r="AC161" s="35">
        <v>48405.15</v>
      </c>
      <c r="AD161" s="380"/>
      <c r="AE161" s="35"/>
      <c r="AF161" s="380"/>
      <c r="AG161" s="35"/>
      <c r="AH161" s="380"/>
      <c r="AI161" s="35"/>
      <c r="AJ161" s="380"/>
      <c r="AK161" s="35"/>
      <c r="AL161" s="403">
        <f t="shared" si="8"/>
        <v>162578.35</v>
      </c>
      <c r="AM161" s="18">
        <v>55</v>
      </c>
      <c r="AN161" s="33">
        <v>884</v>
      </c>
      <c r="AO161" s="393">
        <v>-8804.7199999999993</v>
      </c>
      <c r="AP161" s="35"/>
      <c r="AQ161" s="35">
        <v>-2908.68</v>
      </c>
      <c r="AR161" s="35">
        <v>0.8</v>
      </c>
    </row>
    <row r="162" spans="1:44" x14ac:dyDescent="0.25">
      <c r="A162" s="383">
        <v>5654</v>
      </c>
      <c r="B162" s="367" t="s">
        <v>205</v>
      </c>
      <c r="C162" s="35">
        <v>1089726.95</v>
      </c>
      <c r="D162" s="35">
        <v>185824.55</v>
      </c>
      <c r="E162" s="397"/>
      <c r="F162" s="368"/>
      <c r="G162" s="368">
        <v>28410.1</v>
      </c>
      <c r="H162" s="370">
        <v>766.35</v>
      </c>
      <c r="I162" s="368"/>
      <c r="J162" s="370">
        <v>37052.31</v>
      </c>
      <c r="K162" s="368">
        <v>1251.95</v>
      </c>
      <c r="L162" s="370">
        <v>89335.35</v>
      </c>
      <c r="M162" s="371">
        <f t="shared" si="6"/>
        <v>1432367.5600000003</v>
      </c>
      <c r="N162" s="35">
        <v>2445.85</v>
      </c>
      <c r="O162" s="35">
        <v>4667.3</v>
      </c>
      <c r="P162" s="35">
        <v>13695.05</v>
      </c>
      <c r="Q162" s="35"/>
      <c r="R162" s="35">
        <v>17352.400000000001</v>
      </c>
      <c r="S162" s="409"/>
      <c r="T162" s="35">
        <v>1153.7</v>
      </c>
      <c r="U162" s="380">
        <v>3900</v>
      </c>
      <c r="V162" s="35"/>
      <c r="W162" s="393"/>
      <c r="X162" s="372">
        <f t="shared" si="7"/>
        <v>1475581.8600000003</v>
      </c>
      <c r="Y162" s="35">
        <v>82709.600000000006</v>
      </c>
      <c r="Z162" s="380"/>
      <c r="AA162" s="35">
        <v>152269.75</v>
      </c>
      <c r="AB162" s="380"/>
      <c r="AC162" s="35">
        <v>24445.85</v>
      </c>
      <c r="AD162" s="380">
        <v>8000</v>
      </c>
      <c r="AE162" s="35"/>
      <c r="AF162" s="380"/>
      <c r="AG162" s="35"/>
      <c r="AH162" s="380">
        <v>12556.25</v>
      </c>
      <c r="AI162" s="35"/>
      <c r="AJ162" s="380"/>
      <c r="AK162" s="35"/>
      <c r="AL162" s="403">
        <f t="shared" si="8"/>
        <v>279981.45</v>
      </c>
      <c r="AM162" s="18">
        <v>76</v>
      </c>
      <c r="AN162" s="33">
        <v>499</v>
      </c>
      <c r="AO162" s="393">
        <v>-10334.25</v>
      </c>
      <c r="AP162" s="35"/>
      <c r="AQ162" s="35">
        <v>-1458.99</v>
      </c>
      <c r="AR162" s="35">
        <v>1</v>
      </c>
    </row>
    <row r="163" spans="1:44" x14ac:dyDescent="0.25">
      <c r="A163" s="383">
        <v>5655</v>
      </c>
      <c r="B163" s="367" t="s">
        <v>206</v>
      </c>
      <c r="C163" s="35">
        <v>4096015.88</v>
      </c>
      <c r="D163" s="35">
        <v>591522.44999999995</v>
      </c>
      <c r="E163" s="397"/>
      <c r="F163" s="368"/>
      <c r="G163" s="368">
        <v>146439.9</v>
      </c>
      <c r="H163" s="370">
        <v>1212.6500000000001</v>
      </c>
      <c r="I163" s="368">
        <v>-11254.2</v>
      </c>
      <c r="J163" s="370">
        <v>85854.02</v>
      </c>
      <c r="K163" s="368">
        <v>8464</v>
      </c>
      <c r="L163" s="370">
        <v>371490.85</v>
      </c>
      <c r="M163" s="371">
        <f t="shared" si="6"/>
        <v>5289745.55</v>
      </c>
      <c r="N163" s="35">
        <v>60612.05</v>
      </c>
      <c r="O163" s="35">
        <v>121137.3</v>
      </c>
      <c r="P163" s="35">
        <v>301458.3</v>
      </c>
      <c r="Q163" s="35">
        <v>1492.99</v>
      </c>
      <c r="R163" s="35">
        <v>354268.85</v>
      </c>
      <c r="S163" s="409">
        <v>150</v>
      </c>
      <c r="T163" s="35">
        <v>800</v>
      </c>
      <c r="U163" s="380">
        <v>7530</v>
      </c>
      <c r="V163" s="35">
        <v>1560</v>
      </c>
      <c r="W163" s="393"/>
      <c r="X163" s="372">
        <f t="shared" si="7"/>
        <v>6138755.0399999991</v>
      </c>
      <c r="Y163" s="35">
        <v>54130.25</v>
      </c>
      <c r="Z163" s="380"/>
      <c r="AA163" s="35">
        <v>175740.3</v>
      </c>
      <c r="AB163" s="380"/>
      <c r="AC163" s="35">
        <v>72214.25</v>
      </c>
      <c r="AD163" s="380">
        <v>83121.850000000006</v>
      </c>
      <c r="AE163" s="35"/>
      <c r="AF163" s="380"/>
      <c r="AG163" s="35"/>
      <c r="AH163" s="380"/>
      <c r="AI163" s="35"/>
      <c r="AJ163" s="380"/>
      <c r="AK163" s="35"/>
      <c r="AL163" s="403">
        <f t="shared" si="8"/>
        <v>385206.65</v>
      </c>
      <c r="AM163" s="18">
        <v>73</v>
      </c>
      <c r="AN163" s="33">
        <v>1395</v>
      </c>
      <c r="AO163" s="393">
        <v>-11152.45</v>
      </c>
      <c r="AP163" s="35"/>
      <c r="AQ163" s="35">
        <v>-536.85</v>
      </c>
      <c r="AR163" s="35">
        <v>1</v>
      </c>
    </row>
    <row r="164" spans="1:44" x14ac:dyDescent="0.25">
      <c r="A164" s="383">
        <v>5661</v>
      </c>
      <c r="B164" s="367" t="s">
        <v>207</v>
      </c>
      <c r="C164" s="35">
        <v>621979.1</v>
      </c>
      <c r="D164" s="35">
        <v>39962.9</v>
      </c>
      <c r="E164" s="397"/>
      <c r="F164" s="368">
        <v>1710</v>
      </c>
      <c r="G164" s="368">
        <v>1444.35</v>
      </c>
      <c r="H164" s="370">
        <v>115.65</v>
      </c>
      <c r="I164" s="368"/>
      <c r="J164" s="370">
        <v>4775.05</v>
      </c>
      <c r="K164" s="368">
        <v>202.5</v>
      </c>
      <c r="L164" s="370">
        <v>44429.599999999999</v>
      </c>
      <c r="M164" s="371">
        <f t="shared" si="6"/>
        <v>714619.15</v>
      </c>
      <c r="N164" s="35">
        <v>13524.6</v>
      </c>
      <c r="O164" s="35"/>
      <c r="P164" s="35">
        <v>12018.25</v>
      </c>
      <c r="Q164" s="35">
        <v>1100</v>
      </c>
      <c r="R164" s="35">
        <v>3640.55</v>
      </c>
      <c r="S164" s="409"/>
      <c r="T164" s="35"/>
      <c r="U164" s="380">
        <v>3700</v>
      </c>
      <c r="V164" s="35"/>
      <c r="W164" s="393"/>
      <c r="X164" s="372">
        <f t="shared" si="7"/>
        <v>748602.55</v>
      </c>
      <c r="Y164" s="35"/>
      <c r="Z164" s="380"/>
      <c r="AA164" s="35">
        <v>34489.75</v>
      </c>
      <c r="AB164" s="380"/>
      <c r="AC164" s="35">
        <v>25433.25</v>
      </c>
      <c r="AD164" s="380"/>
      <c r="AE164" s="35"/>
      <c r="AF164" s="380"/>
      <c r="AG164" s="35"/>
      <c r="AH164" s="380"/>
      <c r="AI164" s="35"/>
      <c r="AJ164" s="380"/>
      <c r="AK164" s="35"/>
      <c r="AL164" s="403">
        <f t="shared" si="8"/>
        <v>59923</v>
      </c>
      <c r="AM164" s="18">
        <v>79</v>
      </c>
      <c r="AN164" s="33">
        <v>377</v>
      </c>
      <c r="AO164" s="393">
        <v>-34.590000000000003</v>
      </c>
      <c r="AP164" s="35"/>
      <c r="AQ164" s="35">
        <v>0</v>
      </c>
      <c r="AR164" s="35">
        <v>1</v>
      </c>
    </row>
    <row r="165" spans="1:44" x14ac:dyDescent="0.25">
      <c r="A165" s="383">
        <v>5663</v>
      </c>
      <c r="B165" s="367" t="s">
        <v>208</v>
      </c>
      <c r="C165" s="35">
        <v>383352.3</v>
      </c>
      <c r="D165" s="35">
        <v>30974.42</v>
      </c>
      <c r="E165" s="397"/>
      <c r="F165" s="368">
        <v>1290</v>
      </c>
      <c r="G165" s="368">
        <v>5060.3999999999996</v>
      </c>
      <c r="H165" s="370">
        <v>95.05</v>
      </c>
      <c r="I165" s="368"/>
      <c r="J165" s="370">
        <v>4576.3</v>
      </c>
      <c r="K165" s="368">
        <v>456.15</v>
      </c>
      <c r="L165" s="370">
        <v>30302.3</v>
      </c>
      <c r="M165" s="371">
        <f t="shared" si="6"/>
        <v>456106.92</v>
      </c>
      <c r="N165" s="35"/>
      <c r="O165" s="35">
        <v>19363.400000000001</v>
      </c>
      <c r="P165" s="35">
        <v>9130</v>
      </c>
      <c r="Q165" s="35"/>
      <c r="R165" s="35"/>
      <c r="S165" s="409"/>
      <c r="T165" s="35"/>
      <c r="U165" s="380">
        <v>1290</v>
      </c>
      <c r="V165" s="35"/>
      <c r="W165" s="393"/>
      <c r="X165" s="372">
        <f t="shared" si="7"/>
        <v>485890.32</v>
      </c>
      <c r="Y165" s="35"/>
      <c r="Z165" s="380"/>
      <c r="AA165" s="35">
        <v>27125.45</v>
      </c>
      <c r="AB165" s="380"/>
      <c r="AC165" s="35">
        <v>16433</v>
      </c>
      <c r="AD165" s="380"/>
      <c r="AE165" s="35"/>
      <c r="AF165" s="380"/>
      <c r="AG165" s="35"/>
      <c r="AH165" s="380"/>
      <c r="AI165" s="35"/>
      <c r="AJ165" s="380"/>
      <c r="AK165" s="35"/>
      <c r="AL165" s="403">
        <f t="shared" si="8"/>
        <v>43558.45</v>
      </c>
      <c r="AM165" s="18">
        <v>80</v>
      </c>
      <c r="AN165" s="33">
        <v>209</v>
      </c>
      <c r="AO165" s="393">
        <v>-1735.59</v>
      </c>
      <c r="AP165" s="35"/>
      <c r="AQ165" s="35">
        <v>0</v>
      </c>
      <c r="AR165" s="35">
        <v>1</v>
      </c>
    </row>
    <row r="166" spans="1:44" x14ac:dyDescent="0.25">
      <c r="A166" s="383">
        <v>5665</v>
      </c>
      <c r="B166" s="367" t="s">
        <v>102</v>
      </c>
      <c r="C166" s="35">
        <v>299379.01</v>
      </c>
      <c r="D166" s="35">
        <v>46496.74</v>
      </c>
      <c r="E166" s="397"/>
      <c r="F166" s="368"/>
      <c r="G166" s="368">
        <v>3010.75</v>
      </c>
      <c r="H166" s="370">
        <v>4.3499999999999996</v>
      </c>
      <c r="I166" s="368"/>
      <c r="J166" s="370">
        <v>1084.27</v>
      </c>
      <c r="K166" s="368">
        <v>4.5</v>
      </c>
      <c r="L166" s="370">
        <v>23890.799999999999</v>
      </c>
      <c r="M166" s="371">
        <f t="shared" si="6"/>
        <v>373870.42</v>
      </c>
      <c r="N166" s="35"/>
      <c r="O166" s="35"/>
      <c r="P166" s="35">
        <v>3091.35</v>
      </c>
      <c r="Q166" s="35"/>
      <c r="R166" s="35"/>
      <c r="S166" s="409"/>
      <c r="T166" s="35">
        <v>250</v>
      </c>
      <c r="U166" s="380">
        <v>880</v>
      </c>
      <c r="V166" s="35"/>
      <c r="W166" s="393"/>
      <c r="X166" s="372">
        <f t="shared" si="7"/>
        <v>378091.76999999996</v>
      </c>
      <c r="Y166" s="35"/>
      <c r="Z166" s="380"/>
      <c r="AA166" s="35">
        <v>14281.7</v>
      </c>
      <c r="AB166" s="380"/>
      <c r="AC166" s="35">
        <v>19856.55</v>
      </c>
      <c r="AD166" s="380"/>
      <c r="AE166" s="35"/>
      <c r="AF166" s="380"/>
      <c r="AG166" s="35"/>
      <c r="AH166" s="380"/>
      <c r="AI166" s="35"/>
      <c r="AJ166" s="380"/>
      <c r="AK166" s="35"/>
      <c r="AL166" s="403">
        <f t="shared" si="8"/>
        <v>34138.25</v>
      </c>
      <c r="AM166" s="18">
        <v>73</v>
      </c>
      <c r="AN166" s="33">
        <v>220</v>
      </c>
      <c r="AO166" s="393">
        <v>-5811.92</v>
      </c>
      <c r="AP166" s="35"/>
      <c r="AQ166" s="35">
        <v>0</v>
      </c>
      <c r="AR166" s="35">
        <v>1</v>
      </c>
    </row>
    <row r="167" spans="1:44" x14ac:dyDescent="0.25">
      <c r="A167" s="383">
        <v>5669</v>
      </c>
      <c r="B167" s="367" t="s">
        <v>103</v>
      </c>
      <c r="C167" s="35">
        <v>509601.14</v>
      </c>
      <c r="D167" s="35">
        <v>116528.49</v>
      </c>
      <c r="E167" s="397"/>
      <c r="F167" s="368"/>
      <c r="G167" s="368">
        <v>281</v>
      </c>
      <c r="H167" s="370">
        <v>326.85000000000002</v>
      </c>
      <c r="I167" s="368"/>
      <c r="J167" s="370">
        <v>11123.14</v>
      </c>
      <c r="K167" s="368">
        <v>356.7</v>
      </c>
      <c r="L167" s="370">
        <v>22423.4</v>
      </c>
      <c r="M167" s="371">
        <f t="shared" si="6"/>
        <v>660640.72</v>
      </c>
      <c r="N167" s="35"/>
      <c r="O167" s="35">
        <v>19284.599999999999</v>
      </c>
      <c r="P167" s="35">
        <v>15239.4</v>
      </c>
      <c r="Q167" s="35"/>
      <c r="R167" s="35">
        <v>31148.2</v>
      </c>
      <c r="S167" s="409"/>
      <c r="T167" s="35">
        <v>60</v>
      </c>
      <c r="U167" s="380">
        <v>4000</v>
      </c>
      <c r="V167" s="35"/>
      <c r="W167" s="393"/>
      <c r="X167" s="372">
        <f t="shared" si="7"/>
        <v>730372.91999999993</v>
      </c>
      <c r="Y167" s="35">
        <v>6000</v>
      </c>
      <c r="Z167" s="380"/>
      <c r="AA167" s="35">
        <v>21576.55</v>
      </c>
      <c r="AB167" s="380"/>
      <c r="AC167" s="35">
        <v>28161.95</v>
      </c>
      <c r="AD167" s="380"/>
      <c r="AE167" s="35"/>
      <c r="AF167" s="380"/>
      <c r="AG167" s="35"/>
      <c r="AH167" s="380"/>
      <c r="AI167" s="35"/>
      <c r="AJ167" s="380"/>
      <c r="AK167" s="35"/>
      <c r="AL167" s="403">
        <f t="shared" si="8"/>
        <v>55738.5</v>
      </c>
      <c r="AM167" s="18">
        <v>75</v>
      </c>
      <c r="AN167" s="33">
        <v>318</v>
      </c>
      <c r="AO167" s="393">
        <v>-7769.79</v>
      </c>
      <c r="AP167" s="35"/>
      <c r="AQ167" s="35">
        <v>-102.05</v>
      </c>
      <c r="AR167" s="35">
        <v>0.5</v>
      </c>
    </row>
    <row r="168" spans="1:44" x14ac:dyDescent="0.25">
      <c r="A168" s="383">
        <v>5671</v>
      </c>
      <c r="B168" s="367" t="s">
        <v>104</v>
      </c>
      <c r="C168" s="35">
        <v>398716.5</v>
      </c>
      <c r="D168" s="35">
        <v>55357.68</v>
      </c>
      <c r="E168" s="397"/>
      <c r="F168" s="368">
        <v>1685.8</v>
      </c>
      <c r="G168" s="368">
        <v>11250.8</v>
      </c>
      <c r="H168" s="370">
        <v>47.2</v>
      </c>
      <c r="I168" s="368"/>
      <c r="J168" s="370">
        <v>6972.68</v>
      </c>
      <c r="K168" s="368">
        <v>223.5</v>
      </c>
      <c r="L168" s="370">
        <v>32638.400000000001</v>
      </c>
      <c r="M168" s="371">
        <f t="shared" si="6"/>
        <v>506892.56</v>
      </c>
      <c r="N168" s="35"/>
      <c r="O168" s="35"/>
      <c r="P168" s="35">
        <v>55</v>
      </c>
      <c r="Q168" s="35">
        <v>3246.14</v>
      </c>
      <c r="R168" s="35"/>
      <c r="S168" s="409"/>
      <c r="T168" s="35">
        <v>240</v>
      </c>
      <c r="U168" s="380">
        <v>2475</v>
      </c>
      <c r="V168" s="35"/>
      <c r="W168" s="393"/>
      <c r="X168" s="372">
        <f t="shared" si="7"/>
        <v>512908.7</v>
      </c>
      <c r="Y168" s="35"/>
      <c r="Z168" s="380"/>
      <c r="AA168" s="35">
        <v>15755.85</v>
      </c>
      <c r="AB168" s="380"/>
      <c r="AC168" s="35">
        <v>17845.849999999999</v>
      </c>
      <c r="AD168" s="380"/>
      <c r="AE168" s="35"/>
      <c r="AF168" s="380"/>
      <c r="AG168" s="35"/>
      <c r="AH168" s="380"/>
      <c r="AI168" s="35"/>
      <c r="AJ168" s="380"/>
      <c r="AK168" s="35"/>
      <c r="AL168" s="403">
        <f t="shared" si="8"/>
        <v>33601.699999999997</v>
      </c>
      <c r="AM168" s="18">
        <v>80</v>
      </c>
      <c r="AN168" s="33">
        <v>259</v>
      </c>
      <c r="AO168" s="393">
        <v>-117.47</v>
      </c>
      <c r="AP168" s="35"/>
      <c r="AQ168" s="35">
        <v>0</v>
      </c>
      <c r="AR168" s="35">
        <v>1</v>
      </c>
    </row>
    <row r="169" spans="1:44" x14ac:dyDescent="0.25">
      <c r="A169" s="383">
        <v>5673</v>
      </c>
      <c r="B169" s="367" t="s">
        <v>105</v>
      </c>
      <c r="C169" s="35">
        <v>561628.67000000004</v>
      </c>
      <c r="D169" s="35">
        <v>65416.35</v>
      </c>
      <c r="E169" s="397"/>
      <c r="F169" s="368">
        <v>1890</v>
      </c>
      <c r="G169" s="368">
        <v>-2365.65</v>
      </c>
      <c r="H169" s="370">
        <v>347.15</v>
      </c>
      <c r="I169" s="368"/>
      <c r="J169" s="370">
        <v>2208.61</v>
      </c>
      <c r="K169" s="368">
        <v>7.5</v>
      </c>
      <c r="L169" s="370">
        <v>26459.75</v>
      </c>
      <c r="M169" s="371">
        <f t="shared" si="6"/>
        <v>655592.38</v>
      </c>
      <c r="N169" s="35">
        <v>17820.650000000001</v>
      </c>
      <c r="O169" s="35"/>
      <c r="P169" s="35"/>
      <c r="Q169" s="35">
        <v>5429.99</v>
      </c>
      <c r="R169" s="35"/>
      <c r="S169" s="409"/>
      <c r="T169" s="35"/>
      <c r="U169" s="380">
        <v>1275</v>
      </c>
      <c r="V169" s="35"/>
      <c r="W169" s="393"/>
      <c r="X169" s="372">
        <f t="shared" si="7"/>
        <v>680118.02</v>
      </c>
      <c r="Y169" s="35">
        <v>3500</v>
      </c>
      <c r="Z169" s="380"/>
      <c r="AA169" s="35">
        <v>63772.2</v>
      </c>
      <c r="AB169" s="380"/>
      <c r="AC169" s="35">
        <v>23470.45</v>
      </c>
      <c r="AD169" s="380"/>
      <c r="AE169" s="35">
        <v>1190.1500000000001</v>
      </c>
      <c r="AF169" s="380"/>
      <c r="AG169" s="35"/>
      <c r="AH169" s="380"/>
      <c r="AI169" s="35"/>
      <c r="AJ169" s="380"/>
      <c r="AK169" s="35"/>
      <c r="AL169" s="403">
        <f t="shared" si="8"/>
        <v>91932.799999999988</v>
      </c>
      <c r="AM169" s="18">
        <v>75</v>
      </c>
      <c r="AN169" s="33">
        <v>379</v>
      </c>
      <c r="AO169" s="393">
        <v>-11882.98</v>
      </c>
      <c r="AP169" s="35"/>
      <c r="AQ169" s="35">
        <v>-14.04</v>
      </c>
      <c r="AR169" s="35">
        <v>0.6</v>
      </c>
    </row>
    <row r="170" spans="1:44" x14ac:dyDescent="0.25">
      <c r="A170" s="383">
        <v>5674</v>
      </c>
      <c r="B170" s="367" t="s">
        <v>106</v>
      </c>
      <c r="C170" s="35">
        <v>252822.56</v>
      </c>
      <c r="D170" s="35"/>
      <c r="E170" s="397"/>
      <c r="F170" s="368"/>
      <c r="G170" s="368">
        <v>1326.13</v>
      </c>
      <c r="H170" s="370"/>
      <c r="I170" s="368"/>
      <c r="J170" s="370">
        <v>3163.94</v>
      </c>
      <c r="K170" s="368"/>
      <c r="L170" s="370">
        <v>13731.2</v>
      </c>
      <c r="M170" s="371">
        <f t="shared" si="6"/>
        <v>271043.83</v>
      </c>
      <c r="N170" s="35"/>
      <c r="O170" s="35"/>
      <c r="P170" s="35">
        <v>4985.75</v>
      </c>
      <c r="Q170" s="35"/>
      <c r="R170" s="35"/>
      <c r="S170" s="409"/>
      <c r="T170" s="35"/>
      <c r="U170" s="380">
        <v>750</v>
      </c>
      <c r="V170" s="35"/>
      <c r="W170" s="393">
        <v>114.23</v>
      </c>
      <c r="X170" s="372">
        <f t="shared" si="7"/>
        <v>276893.81</v>
      </c>
      <c r="Y170" s="35"/>
      <c r="Z170" s="380"/>
      <c r="AA170" s="35">
        <v>9690.2999999999993</v>
      </c>
      <c r="AB170" s="380"/>
      <c r="AC170" s="35">
        <v>12068.75</v>
      </c>
      <c r="AD170" s="380">
        <v>10714.75</v>
      </c>
      <c r="AE170" s="35"/>
      <c r="AF170" s="380"/>
      <c r="AG170" s="35"/>
      <c r="AH170" s="380">
        <v>3161.85</v>
      </c>
      <c r="AI170" s="35"/>
      <c r="AJ170" s="380"/>
      <c r="AK170" s="35"/>
      <c r="AL170" s="403">
        <f t="shared" si="8"/>
        <v>35635.65</v>
      </c>
      <c r="AM170" s="18">
        <v>75</v>
      </c>
      <c r="AN170" s="33">
        <v>141</v>
      </c>
      <c r="AO170" s="393">
        <v>-5006.3</v>
      </c>
      <c r="AP170" s="35"/>
      <c r="AQ170" s="35">
        <v>0</v>
      </c>
      <c r="AR170" s="35">
        <v>0.7</v>
      </c>
    </row>
    <row r="171" spans="1:44" x14ac:dyDescent="0.25">
      <c r="A171" s="383">
        <v>5675</v>
      </c>
      <c r="B171" s="367" t="s">
        <v>107</v>
      </c>
      <c r="C171" s="35">
        <v>4106388.28</v>
      </c>
      <c r="D171" s="35">
        <v>424440.79</v>
      </c>
      <c r="E171" s="397"/>
      <c r="F171" s="368"/>
      <c r="G171" s="368">
        <v>432334.9</v>
      </c>
      <c r="H171" s="368">
        <v>13497.65</v>
      </c>
      <c r="I171" s="368"/>
      <c r="J171" s="368">
        <v>251555.6</v>
      </c>
      <c r="K171" s="368">
        <v>39202.300000000003</v>
      </c>
      <c r="L171" s="368">
        <v>632200.4</v>
      </c>
      <c r="M171" s="371">
        <f t="shared" si="6"/>
        <v>5899619.9199999999</v>
      </c>
      <c r="N171" s="35">
        <v>31940.15</v>
      </c>
      <c r="O171" s="35">
        <v>89020.7</v>
      </c>
      <c r="P171" s="35">
        <v>433755.55</v>
      </c>
      <c r="Q171" s="35">
        <v>60217</v>
      </c>
      <c r="R171" s="35">
        <v>103487.3</v>
      </c>
      <c r="S171" s="409"/>
      <c r="T171" s="35">
        <v>16041.65</v>
      </c>
      <c r="U171" s="380">
        <v>29950</v>
      </c>
      <c r="V171" s="35">
        <v>224</v>
      </c>
      <c r="W171" s="393"/>
      <c r="X171" s="372">
        <f t="shared" si="7"/>
        <v>6664256.2700000005</v>
      </c>
      <c r="Y171" s="35">
        <v>192145.75</v>
      </c>
      <c r="Z171" s="380"/>
      <c r="AA171" s="35">
        <v>260016.5</v>
      </c>
      <c r="AB171" s="380"/>
      <c r="AC171" s="35">
        <v>398838.85</v>
      </c>
      <c r="AD171" s="380">
        <v>109328.35</v>
      </c>
      <c r="AE171" s="35"/>
      <c r="AF171" s="380"/>
      <c r="AG171" s="35"/>
      <c r="AH171" s="380">
        <v>426416.15</v>
      </c>
      <c r="AI171" s="35"/>
      <c r="AJ171" s="380"/>
      <c r="AK171" s="35"/>
      <c r="AL171" s="403">
        <f t="shared" si="8"/>
        <v>1386745.6</v>
      </c>
      <c r="AM171" s="18">
        <v>66</v>
      </c>
      <c r="AN171" s="33">
        <v>4157</v>
      </c>
      <c r="AO171" s="393">
        <v>-203470.33</v>
      </c>
      <c r="AP171" s="35"/>
      <c r="AQ171" s="35">
        <v>-446.12</v>
      </c>
      <c r="AR171" s="35">
        <v>1.1000000000000001</v>
      </c>
    </row>
    <row r="172" spans="1:44" x14ac:dyDescent="0.25">
      <c r="A172" s="383">
        <v>5678</v>
      </c>
      <c r="B172" s="367" t="s">
        <v>108</v>
      </c>
      <c r="C172" s="35">
        <v>6454219.9500000002</v>
      </c>
      <c r="D172" s="35">
        <v>697305.59999999998</v>
      </c>
      <c r="E172" s="397"/>
      <c r="F172" s="368">
        <v>32093.62</v>
      </c>
      <c r="G172" s="368">
        <v>828616.15</v>
      </c>
      <c r="H172" s="370">
        <v>13411.85</v>
      </c>
      <c r="I172" s="368"/>
      <c r="J172" s="370">
        <v>504233.7</v>
      </c>
      <c r="K172" s="368">
        <v>32719.95</v>
      </c>
      <c r="L172" s="370">
        <v>747835.25</v>
      </c>
      <c r="M172" s="371">
        <f t="shared" si="6"/>
        <v>9310436.0699999984</v>
      </c>
      <c r="N172" s="35">
        <v>155146.65</v>
      </c>
      <c r="O172" s="35">
        <v>197619.3</v>
      </c>
      <c r="P172" s="35">
        <v>509690.55</v>
      </c>
      <c r="Q172" s="35">
        <v>34105.11</v>
      </c>
      <c r="R172" s="35">
        <v>621837.30000000005</v>
      </c>
      <c r="S172" s="409">
        <v>40085</v>
      </c>
      <c r="T172" s="35"/>
      <c r="U172" s="380">
        <v>40040</v>
      </c>
      <c r="V172" s="35">
        <v>32493.95</v>
      </c>
      <c r="W172" s="393">
        <v>1189</v>
      </c>
      <c r="X172" s="372">
        <f t="shared" si="7"/>
        <v>10942642.93</v>
      </c>
      <c r="Y172" s="35">
        <v>57692.4</v>
      </c>
      <c r="Z172" s="380"/>
      <c r="AA172" s="35">
        <v>910667.15</v>
      </c>
      <c r="AB172" s="380"/>
      <c r="AC172" s="35">
        <v>626475.61</v>
      </c>
      <c r="AD172" s="380">
        <v>29720.9</v>
      </c>
      <c r="AE172" s="35"/>
      <c r="AF172" s="380"/>
      <c r="AG172" s="35">
        <v>5463.7</v>
      </c>
      <c r="AH172" s="380">
        <v>200000</v>
      </c>
      <c r="AI172" s="35"/>
      <c r="AJ172" s="380"/>
      <c r="AK172" s="35"/>
      <c r="AL172" s="403">
        <f t="shared" si="8"/>
        <v>1830019.76</v>
      </c>
      <c r="AM172" s="18">
        <v>75</v>
      </c>
      <c r="AN172" s="33">
        <v>6185</v>
      </c>
      <c r="AO172" s="393">
        <v>-352806.21</v>
      </c>
      <c r="AP172" s="35"/>
      <c r="AQ172" s="35">
        <v>-207.4</v>
      </c>
      <c r="AR172" s="35">
        <v>1</v>
      </c>
    </row>
    <row r="173" spans="1:44" x14ac:dyDescent="0.25">
      <c r="A173" s="383">
        <v>5680</v>
      </c>
      <c r="B173" s="367" t="s">
        <v>109</v>
      </c>
      <c r="C173" s="35">
        <v>461865.31</v>
      </c>
      <c r="D173" s="35">
        <v>61758.93</v>
      </c>
      <c r="E173" s="397"/>
      <c r="F173" s="368"/>
      <c r="G173" s="368">
        <v>7009.3</v>
      </c>
      <c r="H173" s="370">
        <v>93.65</v>
      </c>
      <c r="I173" s="368"/>
      <c r="J173" s="370">
        <v>6964.23</v>
      </c>
      <c r="K173" s="368">
        <v>55</v>
      </c>
      <c r="L173" s="370">
        <v>64071.8</v>
      </c>
      <c r="M173" s="371">
        <f t="shared" si="6"/>
        <v>601818.22000000009</v>
      </c>
      <c r="N173" s="35"/>
      <c r="O173" s="35">
        <v>1697.3</v>
      </c>
      <c r="P173" s="35">
        <v>11623.35</v>
      </c>
      <c r="Q173" s="35"/>
      <c r="R173" s="35">
        <v>22755.1</v>
      </c>
      <c r="S173" s="409"/>
      <c r="T173" s="35">
        <v>30</v>
      </c>
      <c r="U173" s="380">
        <v>2450</v>
      </c>
      <c r="V173" s="35"/>
      <c r="W173" s="393"/>
      <c r="X173" s="372">
        <f t="shared" si="7"/>
        <v>640373.97000000009</v>
      </c>
      <c r="Y173" s="35"/>
      <c r="Z173" s="380">
        <v>5000</v>
      </c>
      <c r="AA173" s="35">
        <v>30011.65</v>
      </c>
      <c r="AB173" s="380"/>
      <c r="AC173" s="35">
        <v>15733.5</v>
      </c>
      <c r="AD173" s="380"/>
      <c r="AE173" s="35">
        <v>2500</v>
      </c>
      <c r="AF173" s="380"/>
      <c r="AG173" s="35">
        <v>4042</v>
      </c>
      <c r="AH173" s="380">
        <v>5984.6</v>
      </c>
      <c r="AI173" s="35"/>
      <c r="AJ173" s="380"/>
      <c r="AK173" s="35"/>
      <c r="AL173" s="403">
        <f t="shared" si="8"/>
        <v>63271.75</v>
      </c>
      <c r="AM173" s="18">
        <v>78</v>
      </c>
      <c r="AN173" s="33">
        <v>304</v>
      </c>
      <c r="AO173" s="393">
        <v>-82.23</v>
      </c>
      <c r="AP173" s="35"/>
      <c r="AQ173" s="35">
        <v>0</v>
      </c>
      <c r="AR173" s="35">
        <v>1.5</v>
      </c>
    </row>
    <row r="174" spans="1:44" x14ac:dyDescent="0.25">
      <c r="A174" s="383">
        <v>5683</v>
      </c>
      <c r="B174" s="367" t="s">
        <v>110</v>
      </c>
      <c r="C174" s="35">
        <v>244971.97</v>
      </c>
      <c r="D174" s="35">
        <v>25254.83</v>
      </c>
      <c r="E174" s="397"/>
      <c r="F174" s="368"/>
      <c r="G174" s="368">
        <v>7498.5</v>
      </c>
      <c r="H174" s="370">
        <v>10.9</v>
      </c>
      <c r="I174" s="368"/>
      <c r="J174" s="370">
        <v>5189.08</v>
      </c>
      <c r="K174" s="368">
        <v>65</v>
      </c>
      <c r="L174" s="373">
        <v>22586</v>
      </c>
      <c r="M174" s="371">
        <f t="shared" si="6"/>
        <v>305576.28000000003</v>
      </c>
      <c r="N174" s="35"/>
      <c r="O174" s="35">
        <v>6298.6</v>
      </c>
      <c r="P174" s="35">
        <v>18607.400000000001</v>
      </c>
      <c r="Q174" s="35"/>
      <c r="R174" s="35"/>
      <c r="S174" s="409"/>
      <c r="T174" s="35"/>
      <c r="U174" s="380">
        <v>1050</v>
      </c>
      <c r="V174" s="35"/>
      <c r="W174" s="393"/>
      <c r="X174" s="372">
        <f t="shared" si="7"/>
        <v>331532.28000000003</v>
      </c>
      <c r="Y174" s="35">
        <v>21000</v>
      </c>
      <c r="Z174" s="380"/>
      <c r="AA174" s="35">
        <v>11550.2</v>
      </c>
      <c r="AB174" s="380">
        <v>13468.65</v>
      </c>
      <c r="AC174" s="35">
        <v>8709.5499999999993</v>
      </c>
      <c r="AD174" s="380">
        <v>14000</v>
      </c>
      <c r="AE174" s="35"/>
      <c r="AF174" s="380"/>
      <c r="AG174" s="35"/>
      <c r="AH174" s="380"/>
      <c r="AI174" s="35"/>
      <c r="AJ174" s="380"/>
      <c r="AK174" s="35"/>
      <c r="AL174" s="403">
        <f t="shared" si="8"/>
        <v>68728.399999999994</v>
      </c>
      <c r="AM174" s="18">
        <v>74</v>
      </c>
      <c r="AN174" s="33">
        <v>160</v>
      </c>
      <c r="AO174" s="393">
        <v>-17268.87</v>
      </c>
      <c r="AP174" s="35"/>
      <c r="AQ174" s="35">
        <v>0</v>
      </c>
      <c r="AR174" s="35">
        <v>1</v>
      </c>
    </row>
    <row r="175" spans="1:44" x14ac:dyDescent="0.25">
      <c r="A175" s="383">
        <v>5684</v>
      </c>
      <c r="B175" s="367" t="s">
        <v>111</v>
      </c>
      <c r="C175" s="35">
        <v>130473.29</v>
      </c>
      <c r="D175" s="35">
        <v>37052.26</v>
      </c>
      <c r="E175" s="397"/>
      <c r="F175" s="368"/>
      <c r="G175" s="368">
        <v>240.3</v>
      </c>
      <c r="H175" s="370">
        <v>3.6</v>
      </c>
      <c r="I175" s="368"/>
      <c r="J175" s="370"/>
      <c r="K175" s="368"/>
      <c r="L175" s="370">
        <v>6724</v>
      </c>
      <c r="M175" s="371">
        <f t="shared" si="6"/>
        <v>174493.44999999998</v>
      </c>
      <c r="N175" s="35"/>
      <c r="O175" s="35"/>
      <c r="P175" s="35"/>
      <c r="Q175" s="35"/>
      <c r="R175" s="35"/>
      <c r="S175" s="409"/>
      <c r="T175" s="35"/>
      <c r="U175" s="380"/>
      <c r="V175" s="35"/>
      <c r="W175" s="393"/>
      <c r="X175" s="372">
        <f t="shared" si="7"/>
        <v>174493.44999999998</v>
      </c>
      <c r="Y175" s="35">
        <v>8000</v>
      </c>
      <c r="Z175" s="380"/>
      <c r="AA175" s="35">
        <v>4500</v>
      </c>
      <c r="AB175" s="380"/>
      <c r="AC175" s="35"/>
      <c r="AD175" s="380"/>
      <c r="AE175" s="35"/>
      <c r="AF175" s="380"/>
      <c r="AG175" s="35"/>
      <c r="AH175" s="380"/>
      <c r="AI175" s="35"/>
      <c r="AJ175" s="380"/>
      <c r="AK175" s="35"/>
      <c r="AL175" s="403">
        <f t="shared" si="8"/>
        <v>12500</v>
      </c>
      <c r="AM175" s="18">
        <v>60</v>
      </c>
      <c r="AN175" s="33">
        <v>63</v>
      </c>
      <c r="AO175" s="393">
        <v>-11.26</v>
      </c>
      <c r="AP175" s="35"/>
      <c r="AQ175" s="35">
        <v>-6.05</v>
      </c>
      <c r="AR175" s="35">
        <v>0.8</v>
      </c>
    </row>
    <row r="176" spans="1:44" x14ac:dyDescent="0.25">
      <c r="A176" s="383">
        <v>5688</v>
      </c>
      <c r="B176" s="367" t="s">
        <v>112</v>
      </c>
      <c r="C176" s="35">
        <v>369336.27</v>
      </c>
      <c r="D176" s="35">
        <v>40821.9</v>
      </c>
      <c r="E176" s="397"/>
      <c r="F176" s="368"/>
      <c r="G176" s="368">
        <v>36447.4</v>
      </c>
      <c r="H176" s="370">
        <v>126.65</v>
      </c>
      <c r="I176" s="368"/>
      <c r="J176" s="370">
        <v>5953.31</v>
      </c>
      <c r="K176" s="368">
        <v>-788</v>
      </c>
      <c r="L176" s="370">
        <v>23517.9</v>
      </c>
      <c r="M176" s="371">
        <f t="shared" si="6"/>
        <v>475415.43000000011</v>
      </c>
      <c r="N176" s="35"/>
      <c r="O176" s="35"/>
      <c r="P176" s="35">
        <v>21021.8</v>
      </c>
      <c r="Q176" s="35"/>
      <c r="R176" s="35">
        <v>9861</v>
      </c>
      <c r="S176" s="409"/>
      <c r="T176" s="35"/>
      <c r="U176" s="380">
        <v>560</v>
      </c>
      <c r="V176" s="35"/>
      <c r="W176" s="393"/>
      <c r="X176" s="372">
        <f t="shared" si="7"/>
        <v>506858.2300000001</v>
      </c>
      <c r="Y176" s="35">
        <v>15800</v>
      </c>
      <c r="Z176" s="380"/>
      <c r="AA176" s="35">
        <v>8125.5</v>
      </c>
      <c r="AB176" s="380"/>
      <c r="AC176" s="35">
        <v>15047.25</v>
      </c>
      <c r="AD176" s="380"/>
      <c r="AE176" s="35"/>
      <c r="AF176" s="380"/>
      <c r="AG176" s="35"/>
      <c r="AH176" s="380"/>
      <c r="AI176" s="35"/>
      <c r="AJ176" s="380"/>
      <c r="AK176" s="35"/>
      <c r="AL176" s="403">
        <f t="shared" si="8"/>
        <v>38972.75</v>
      </c>
      <c r="AM176" s="18">
        <v>75.599999999999994</v>
      </c>
      <c r="AN176" s="33">
        <v>150</v>
      </c>
      <c r="AO176" s="393">
        <v>-1.67</v>
      </c>
      <c r="AP176" s="35"/>
      <c r="AQ176" s="35">
        <v>0</v>
      </c>
      <c r="AR176" s="35">
        <v>1</v>
      </c>
    </row>
    <row r="177" spans="1:44" x14ac:dyDescent="0.25">
      <c r="A177" s="383">
        <v>5690</v>
      </c>
      <c r="B177" s="367" t="s">
        <v>113</v>
      </c>
      <c r="C177" s="35">
        <v>188994.88</v>
      </c>
      <c r="D177" s="35">
        <v>39873.46</v>
      </c>
      <c r="E177" s="397"/>
      <c r="F177" s="368">
        <v>900</v>
      </c>
      <c r="G177" s="368">
        <v>709</v>
      </c>
      <c r="H177" s="370">
        <v>403.85</v>
      </c>
      <c r="I177" s="368"/>
      <c r="J177" s="370">
        <v>60.29</v>
      </c>
      <c r="K177" s="368">
        <v>184.1</v>
      </c>
      <c r="L177" s="370">
        <v>23648.75</v>
      </c>
      <c r="M177" s="371">
        <f t="shared" si="6"/>
        <v>254774.33000000002</v>
      </c>
      <c r="N177" s="35"/>
      <c r="O177" s="35">
        <v>288.89999999999998</v>
      </c>
      <c r="P177" s="35">
        <v>8698</v>
      </c>
      <c r="Q177" s="35">
        <v>483.44</v>
      </c>
      <c r="R177" s="35">
        <v>14684.7</v>
      </c>
      <c r="S177" s="409"/>
      <c r="T177" s="35"/>
      <c r="U177" s="380">
        <v>500</v>
      </c>
      <c r="V177" s="35"/>
      <c r="W177" s="393"/>
      <c r="X177" s="372">
        <f t="shared" si="7"/>
        <v>279429.37</v>
      </c>
      <c r="Y177" s="35">
        <v>18800</v>
      </c>
      <c r="Z177" s="380"/>
      <c r="AA177" s="35">
        <v>21244.95</v>
      </c>
      <c r="AB177" s="380"/>
      <c r="AC177" s="35">
        <v>15442.05</v>
      </c>
      <c r="AD177" s="380">
        <v>2000</v>
      </c>
      <c r="AE177" s="35"/>
      <c r="AF177" s="380"/>
      <c r="AG177" s="35"/>
      <c r="AH177" s="380"/>
      <c r="AI177" s="35"/>
      <c r="AJ177" s="380"/>
      <c r="AK177" s="35"/>
      <c r="AL177" s="403">
        <f t="shared" si="8"/>
        <v>57487</v>
      </c>
      <c r="AM177" s="18">
        <v>70</v>
      </c>
      <c r="AN177" s="33">
        <v>142</v>
      </c>
      <c r="AO177" s="393">
        <v>-535.49</v>
      </c>
      <c r="AP177" s="35"/>
      <c r="AQ177" s="35">
        <v>0</v>
      </c>
      <c r="AR177" s="35">
        <v>1.2</v>
      </c>
    </row>
    <row r="178" spans="1:44" x14ac:dyDescent="0.25">
      <c r="A178" s="383">
        <v>5692</v>
      </c>
      <c r="B178" s="367" t="s">
        <v>114</v>
      </c>
      <c r="C178" s="35">
        <v>1177161.8899999999</v>
      </c>
      <c r="D178" s="35">
        <v>96646.12</v>
      </c>
      <c r="E178" s="397"/>
      <c r="F178" s="368"/>
      <c r="G178" s="368">
        <v>15028.95</v>
      </c>
      <c r="H178" s="370">
        <v>125.85</v>
      </c>
      <c r="I178" s="368"/>
      <c r="J178" s="370">
        <v>21327.52</v>
      </c>
      <c r="K178" s="368">
        <v>427.65</v>
      </c>
      <c r="L178" s="370">
        <v>85867</v>
      </c>
      <c r="M178" s="371">
        <f t="shared" si="6"/>
        <v>1396584.9799999997</v>
      </c>
      <c r="N178" s="35">
        <v>2838.25</v>
      </c>
      <c r="O178" s="35">
        <v>13919.4</v>
      </c>
      <c r="P178" s="35">
        <v>39343.699999999997</v>
      </c>
      <c r="Q178" s="35">
        <v>11704.82</v>
      </c>
      <c r="R178" s="35">
        <v>32543.55</v>
      </c>
      <c r="S178" s="409">
        <v>75</v>
      </c>
      <c r="T178" s="35">
        <v>550</v>
      </c>
      <c r="U178" s="380">
        <v>5750</v>
      </c>
      <c r="V178" s="35"/>
      <c r="W178" s="393"/>
      <c r="X178" s="372">
        <f t="shared" si="7"/>
        <v>1503309.6999999997</v>
      </c>
      <c r="Y178" s="35">
        <v>22000</v>
      </c>
      <c r="Z178" s="380"/>
      <c r="AA178" s="35">
        <v>74922.600000000006</v>
      </c>
      <c r="AB178" s="380"/>
      <c r="AC178" s="35">
        <v>33828.75</v>
      </c>
      <c r="AD178" s="380">
        <v>3304.25</v>
      </c>
      <c r="AE178" s="35"/>
      <c r="AF178" s="380"/>
      <c r="AG178" s="35"/>
      <c r="AH178" s="380"/>
      <c r="AI178" s="35"/>
      <c r="AJ178" s="380">
        <v>9154.15</v>
      </c>
      <c r="AK178" s="35"/>
      <c r="AL178" s="403">
        <f t="shared" si="8"/>
        <v>143209.75</v>
      </c>
      <c r="AM178" s="18">
        <v>79</v>
      </c>
      <c r="AN178" s="33">
        <v>583</v>
      </c>
      <c r="AO178" s="393">
        <v>-38256.26</v>
      </c>
      <c r="AP178" s="35"/>
      <c r="AQ178" s="35">
        <v>-305.61</v>
      </c>
      <c r="AR178" s="35">
        <v>1</v>
      </c>
    </row>
    <row r="179" spans="1:44" x14ac:dyDescent="0.25">
      <c r="A179" s="383">
        <v>5693</v>
      </c>
      <c r="B179" s="367" t="s">
        <v>455</v>
      </c>
      <c r="C179" s="35">
        <v>4125927.41</v>
      </c>
      <c r="D179" s="35">
        <v>482075.23</v>
      </c>
      <c r="E179" s="397"/>
      <c r="F179" s="368"/>
      <c r="G179" s="368">
        <v>163711.85</v>
      </c>
      <c r="H179" s="370">
        <v>1380.4</v>
      </c>
      <c r="I179" s="368"/>
      <c r="J179" s="370">
        <v>54016.31</v>
      </c>
      <c r="K179" s="368">
        <v>4542.8</v>
      </c>
      <c r="L179" s="370">
        <v>339121.4</v>
      </c>
      <c r="M179" s="371">
        <f t="shared" si="6"/>
        <v>5170775.4000000004</v>
      </c>
      <c r="N179" s="35">
        <v>57935.15</v>
      </c>
      <c r="O179" s="35">
        <v>8265.7000000000007</v>
      </c>
      <c r="P179" s="35">
        <v>228598.39999999999</v>
      </c>
      <c r="Q179" s="35">
        <v>16548.990000000002</v>
      </c>
      <c r="R179" s="35">
        <v>185304.3</v>
      </c>
      <c r="S179" s="409">
        <v>650</v>
      </c>
      <c r="T179" s="35">
        <v>7290.8</v>
      </c>
      <c r="U179" s="380">
        <v>14220</v>
      </c>
      <c r="V179" s="35"/>
      <c r="W179" s="393"/>
      <c r="X179" s="372">
        <f t="shared" si="7"/>
        <v>5689588.7400000012</v>
      </c>
      <c r="Y179" s="35">
        <v>178084.05</v>
      </c>
      <c r="Z179" s="380"/>
      <c r="AA179" s="35">
        <v>324990.5</v>
      </c>
      <c r="AB179" s="380"/>
      <c r="AC179" s="35">
        <v>286855.7</v>
      </c>
      <c r="AD179" s="380">
        <v>56852</v>
      </c>
      <c r="AE179" s="35"/>
      <c r="AF179" s="380"/>
      <c r="AG179" s="35"/>
      <c r="AH179" s="380">
        <v>73333.350000000006</v>
      </c>
      <c r="AI179" s="35"/>
      <c r="AJ179" s="380"/>
      <c r="AK179" s="35"/>
      <c r="AL179" s="403">
        <f t="shared" si="8"/>
        <v>920115.6</v>
      </c>
      <c r="AM179" s="18">
        <v>72</v>
      </c>
      <c r="AN179" s="33">
        <v>2606</v>
      </c>
      <c r="AO179" s="393">
        <v>-73552.210000000006</v>
      </c>
      <c r="AP179" s="35"/>
      <c r="AQ179" s="35">
        <v>-48.91</v>
      </c>
      <c r="AR179" s="35">
        <v>1</v>
      </c>
    </row>
    <row r="180" spans="1:44" x14ac:dyDescent="0.25">
      <c r="A180" s="383">
        <v>5701</v>
      </c>
      <c r="B180" s="367" t="s">
        <v>115</v>
      </c>
      <c r="C180" s="35">
        <v>683644.42</v>
      </c>
      <c r="D180" s="35">
        <v>106335.96</v>
      </c>
      <c r="E180" s="397"/>
      <c r="F180" s="368"/>
      <c r="G180" s="368">
        <v>21123.45</v>
      </c>
      <c r="H180" s="370">
        <v>29.7</v>
      </c>
      <c r="I180" s="368">
        <v>162607.29999999999</v>
      </c>
      <c r="J180" s="370">
        <v>-19691.87</v>
      </c>
      <c r="K180" s="368">
        <v>315</v>
      </c>
      <c r="L180" s="370">
        <v>62275.4</v>
      </c>
      <c r="M180" s="371">
        <f t="shared" si="6"/>
        <v>1016639.3599999999</v>
      </c>
      <c r="N180" s="35"/>
      <c r="O180" s="35"/>
      <c r="P180" s="35">
        <v>7582.65</v>
      </c>
      <c r="Q180" s="35">
        <v>5062.01</v>
      </c>
      <c r="R180" s="35">
        <v>24782</v>
      </c>
      <c r="S180" s="409"/>
      <c r="T180" s="35"/>
      <c r="U180" s="380">
        <v>825</v>
      </c>
      <c r="V180" s="35"/>
      <c r="W180" s="393"/>
      <c r="X180" s="372">
        <f t="shared" si="7"/>
        <v>1054891.02</v>
      </c>
      <c r="Y180" s="35">
        <v>2000</v>
      </c>
      <c r="Z180" s="380"/>
      <c r="AA180" s="35">
        <v>33280.67</v>
      </c>
      <c r="AB180" s="380"/>
      <c r="AC180" s="35">
        <v>15405</v>
      </c>
      <c r="AD180" s="380">
        <v>350</v>
      </c>
      <c r="AE180" s="35"/>
      <c r="AF180" s="380"/>
      <c r="AG180" s="35"/>
      <c r="AH180" s="380"/>
      <c r="AI180" s="35"/>
      <c r="AJ180" s="380"/>
      <c r="AK180" s="35"/>
      <c r="AL180" s="403">
        <f t="shared" si="8"/>
        <v>51035.67</v>
      </c>
      <c r="AM180" s="18">
        <v>70</v>
      </c>
      <c r="AN180" s="33">
        <v>224</v>
      </c>
      <c r="AO180" s="393">
        <v>-2579.6</v>
      </c>
      <c r="AP180" s="35"/>
      <c r="AQ180" s="35">
        <v>-126.35</v>
      </c>
      <c r="AR180" s="35">
        <v>1</v>
      </c>
    </row>
    <row r="181" spans="1:44" x14ac:dyDescent="0.25">
      <c r="A181" s="383">
        <v>5702</v>
      </c>
      <c r="B181" s="367" t="s">
        <v>454</v>
      </c>
      <c r="C181" s="35">
        <v>7455572.4199999999</v>
      </c>
      <c r="D181" s="35">
        <v>1276344.8899999999</v>
      </c>
      <c r="E181" s="397"/>
      <c r="F181" s="368"/>
      <c r="G181" s="368">
        <v>122747.8</v>
      </c>
      <c r="H181" s="370">
        <v>13239.9</v>
      </c>
      <c r="I181" s="368">
        <v>343031.4</v>
      </c>
      <c r="J181" s="370">
        <v>210282.67</v>
      </c>
      <c r="K181" s="368">
        <v>15823.5</v>
      </c>
      <c r="L181" s="370">
        <v>1063228.3500000001</v>
      </c>
      <c r="M181" s="371">
        <f t="shared" si="6"/>
        <v>10500270.930000002</v>
      </c>
      <c r="N181" s="35">
        <v>59677.1</v>
      </c>
      <c r="O181" s="35">
        <v>17699.900000000001</v>
      </c>
      <c r="P181" s="35">
        <v>739142.5</v>
      </c>
      <c r="Q181" s="35">
        <v>12040.32</v>
      </c>
      <c r="R181" s="35">
        <v>379058.65</v>
      </c>
      <c r="S181" s="409"/>
      <c r="T181" s="35"/>
      <c r="U181" s="380">
        <v>24780</v>
      </c>
      <c r="V181" s="35"/>
      <c r="W181" s="393"/>
      <c r="X181" s="372">
        <f t="shared" si="7"/>
        <v>11732669.400000002</v>
      </c>
      <c r="Y181" s="35">
        <v>114655</v>
      </c>
      <c r="Z181" s="380"/>
      <c r="AA181" s="35">
        <v>243636.15</v>
      </c>
      <c r="AB181" s="380"/>
      <c r="AC181" s="35">
        <v>227603.1</v>
      </c>
      <c r="AD181" s="380">
        <v>227307.6</v>
      </c>
      <c r="AE181" s="35"/>
      <c r="AF181" s="380"/>
      <c r="AG181" s="35">
        <v>17290.75</v>
      </c>
      <c r="AH181" s="380"/>
      <c r="AI181" s="35"/>
      <c r="AJ181" s="380"/>
      <c r="AK181" s="35"/>
      <c r="AL181" s="403">
        <f t="shared" si="8"/>
        <v>830492.6</v>
      </c>
      <c r="AM181" s="18">
        <v>64</v>
      </c>
      <c r="AN181" s="33">
        <v>2653</v>
      </c>
      <c r="AO181" s="393">
        <v>-153813.23000000001</v>
      </c>
      <c r="AP181" s="35"/>
      <c r="AQ181" s="35">
        <v>-4384.04</v>
      </c>
      <c r="AR181" s="35">
        <v>1.5</v>
      </c>
    </row>
    <row r="182" spans="1:44" x14ac:dyDescent="0.25">
      <c r="A182" s="383">
        <v>5703</v>
      </c>
      <c r="B182" s="367" t="s">
        <v>116</v>
      </c>
      <c r="C182" s="35">
        <v>3476212.4</v>
      </c>
      <c r="D182" s="35">
        <v>359846.48</v>
      </c>
      <c r="E182" s="397"/>
      <c r="F182" s="368"/>
      <c r="G182" s="368">
        <v>13140.35</v>
      </c>
      <c r="H182" s="370">
        <v>423.75</v>
      </c>
      <c r="I182" s="368">
        <v>31009.9</v>
      </c>
      <c r="J182" s="370">
        <v>69004.45</v>
      </c>
      <c r="K182" s="368">
        <v>725.55</v>
      </c>
      <c r="L182" s="370">
        <v>406079.35</v>
      </c>
      <c r="M182" s="371">
        <f t="shared" si="6"/>
        <v>4356442.2299999995</v>
      </c>
      <c r="N182" s="35">
        <v>30853.25</v>
      </c>
      <c r="O182" s="35">
        <v>83558.899999999994</v>
      </c>
      <c r="P182" s="35">
        <v>208730.7</v>
      </c>
      <c r="Q182" s="35">
        <v>9434.24</v>
      </c>
      <c r="R182" s="35">
        <v>115535.85</v>
      </c>
      <c r="S182" s="409"/>
      <c r="T182" s="35"/>
      <c r="U182" s="380">
        <v>10620</v>
      </c>
      <c r="V182" s="35"/>
      <c r="W182" s="393"/>
      <c r="X182" s="372">
        <f t="shared" si="7"/>
        <v>4815175.17</v>
      </c>
      <c r="Y182" s="35">
        <v>111921.5</v>
      </c>
      <c r="Z182" s="380"/>
      <c r="AA182" s="35">
        <v>170598</v>
      </c>
      <c r="AB182" s="380"/>
      <c r="AC182" s="35">
        <v>95495.45</v>
      </c>
      <c r="AD182" s="380">
        <v>138724.1</v>
      </c>
      <c r="AE182" s="35"/>
      <c r="AF182" s="380"/>
      <c r="AG182" s="35"/>
      <c r="AH182" s="380"/>
      <c r="AI182" s="35"/>
      <c r="AJ182" s="380"/>
      <c r="AK182" s="35"/>
      <c r="AL182" s="403">
        <f t="shared" si="8"/>
        <v>516739.05000000005</v>
      </c>
      <c r="AM182" s="18">
        <v>74</v>
      </c>
      <c r="AN182" s="33">
        <v>1356</v>
      </c>
      <c r="AO182" s="393">
        <v>-59283.93</v>
      </c>
      <c r="AP182" s="35"/>
      <c r="AQ182" s="35">
        <v>-111.72</v>
      </c>
      <c r="AR182" s="35">
        <v>1.4</v>
      </c>
    </row>
    <row r="183" spans="1:44" x14ac:dyDescent="0.25">
      <c r="A183" s="383">
        <v>5704</v>
      </c>
      <c r="B183" s="367" t="s">
        <v>226</v>
      </c>
      <c r="C183" s="35">
        <v>5684641.9400000004</v>
      </c>
      <c r="D183" s="35">
        <v>1862191.77</v>
      </c>
      <c r="E183" s="397"/>
      <c r="F183" s="368"/>
      <c r="G183" s="368">
        <v>173453.85</v>
      </c>
      <c r="H183" s="370">
        <v>4933.6000000000004</v>
      </c>
      <c r="I183" s="368">
        <v>347197.4</v>
      </c>
      <c r="J183" s="370">
        <v>144270.57999999999</v>
      </c>
      <c r="K183" s="368">
        <v>11027.1</v>
      </c>
      <c r="L183" s="370">
        <v>681011.4</v>
      </c>
      <c r="M183" s="371">
        <f t="shared" si="6"/>
        <v>8908727.6400000006</v>
      </c>
      <c r="N183" s="35">
        <v>52344.800000000003</v>
      </c>
      <c r="O183" s="35">
        <v>48913.599999999999</v>
      </c>
      <c r="P183" s="35">
        <v>574413.19999999995</v>
      </c>
      <c r="Q183" s="35">
        <v>5370.89</v>
      </c>
      <c r="R183" s="35">
        <v>256668</v>
      </c>
      <c r="S183" s="409"/>
      <c r="T183" s="35"/>
      <c r="U183" s="380">
        <v>12700</v>
      </c>
      <c r="V183" s="35"/>
      <c r="W183" s="393"/>
      <c r="X183" s="372">
        <f t="shared" si="7"/>
        <v>9859138.1300000008</v>
      </c>
      <c r="Y183" s="35">
        <v>20531.71</v>
      </c>
      <c r="Z183" s="380"/>
      <c r="AA183" s="35">
        <v>169022.4</v>
      </c>
      <c r="AB183" s="380"/>
      <c r="AC183" s="35">
        <v>103284.91</v>
      </c>
      <c r="AD183" s="380">
        <v>30616.880000000001</v>
      </c>
      <c r="AE183" s="35"/>
      <c r="AF183" s="380"/>
      <c r="AG183" s="35">
        <v>9010.75</v>
      </c>
      <c r="AH183" s="380">
        <v>50714.14</v>
      </c>
      <c r="AI183" s="35">
        <v>28979.279999999999</v>
      </c>
      <c r="AJ183" s="380"/>
      <c r="AK183" s="35"/>
      <c r="AL183" s="403">
        <f t="shared" si="8"/>
        <v>412160.07000000007</v>
      </c>
      <c r="AM183" s="18">
        <v>67</v>
      </c>
      <c r="AN183" s="33">
        <v>1910</v>
      </c>
      <c r="AO183" s="393">
        <v>-65401.7</v>
      </c>
      <c r="AP183" s="35"/>
      <c r="AQ183" s="35">
        <v>-26880.61</v>
      </c>
      <c r="AR183" s="35">
        <v>1.5</v>
      </c>
    </row>
    <row r="184" spans="1:44" x14ac:dyDescent="0.25">
      <c r="A184" s="383">
        <v>5705</v>
      </c>
      <c r="B184" s="367" t="s">
        <v>227</v>
      </c>
      <c r="C184" s="35">
        <v>3151141.83</v>
      </c>
      <c r="D184" s="35">
        <v>442014.47</v>
      </c>
      <c r="E184" s="397"/>
      <c r="F184" s="368"/>
      <c r="G184" s="368">
        <v>20323.900000000001</v>
      </c>
      <c r="H184" s="370">
        <v>889.9</v>
      </c>
      <c r="I184" s="368">
        <v>24013.45</v>
      </c>
      <c r="J184" s="370">
        <v>-9048.5499999999993</v>
      </c>
      <c r="K184" s="368">
        <v>9030.75</v>
      </c>
      <c r="L184" s="370">
        <v>208583.65</v>
      </c>
      <c r="M184" s="371">
        <f t="shared" si="6"/>
        <v>3846949.4</v>
      </c>
      <c r="N184" s="35">
        <v>31710.05</v>
      </c>
      <c r="O184" s="35"/>
      <c r="P184" s="35">
        <v>128713.35</v>
      </c>
      <c r="Q184" s="35">
        <v>249.18</v>
      </c>
      <c r="R184" s="35">
        <v>55009.45</v>
      </c>
      <c r="S184" s="409"/>
      <c r="T184" s="35"/>
      <c r="U184" s="380">
        <v>1890</v>
      </c>
      <c r="V184" s="35"/>
      <c r="W184" s="393"/>
      <c r="X184" s="372">
        <f t="shared" si="7"/>
        <v>4064521.43</v>
      </c>
      <c r="Y184" s="35"/>
      <c r="Z184" s="380"/>
      <c r="AA184" s="35"/>
      <c r="AB184" s="380"/>
      <c r="AC184" s="35"/>
      <c r="AD184" s="380"/>
      <c r="AE184" s="35"/>
      <c r="AF184" s="380"/>
      <c r="AG184" s="35"/>
      <c r="AH184" s="380"/>
      <c r="AI184" s="35"/>
      <c r="AJ184" s="380"/>
      <c r="AK184" s="35"/>
      <c r="AL184" s="403">
        <f t="shared" si="8"/>
        <v>0</v>
      </c>
      <c r="AM184" s="18">
        <v>70</v>
      </c>
      <c r="AN184" s="33">
        <v>893</v>
      </c>
      <c r="AO184" s="393">
        <v>9810.83</v>
      </c>
      <c r="AP184" s="35"/>
      <c r="AQ184" s="35">
        <v>-2106.69</v>
      </c>
      <c r="AR184" s="35">
        <v>1</v>
      </c>
    </row>
    <row r="185" spans="1:44" x14ac:dyDescent="0.25">
      <c r="A185" s="383">
        <v>5706</v>
      </c>
      <c r="B185" s="367" t="s">
        <v>228</v>
      </c>
      <c r="C185" s="35">
        <v>3176419.17</v>
      </c>
      <c r="D185" s="35">
        <v>599116.14</v>
      </c>
      <c r="E185" s="397"/>
      <c r="F185" s="368"/>
      <c r="G185" s="368">
        <v>4456.45</v>
      </c>
      <c r="H185" s="370">
        <v>361.55</v>
      </c>
      <c r="I185" s="368">
        <v>-7735.75</v>
      </c>
      <c r="J185" s="370">
        <v>149570.38</v>
      </c>
      <c r="K185" s="368">
        <v>2095</v>
      </c>
      <c r="L185" s="370">
        <v>371393.8</v>
      </c>
      <c r="M185" s="371">
        <f t="shared" si="6"/>
        <v>4295676.74</v>
      </c>
      <c r="N185" s="35">
        <v>7454.75</v>
      </c>
      <c r="O185" s="35"/>
      <c r="P185" s="35">
        <v>175420.95</v>
      </c>
      <c r="Q185" s="35">
        <v>2183.56</v>
      </c>
      <c r="R185" s="35">
        <v>180488.55</v>
      </c>
      <c r="S185" s="409"/>
      <c r="T185" s="35"/>
      <c r="U185" s="380">
        <v>4650</v>
      </c>
      <c r="V185" s="35"/>
      <c r="W185" s="393"/>
      <c r="X185" s="372">
        <f t="shared" si="7"/>
        <v>4665874.55</v>
      </c>
      <c r="Y185" s="35">
        <v>55162.7</v>
      </c>
      <c r="Z185" s="380"/>
      <c r="AA185" s="35">
        <v>158680.23000000001</v>
      </c>
      <c r="AB185" s="380"/>
      <c r="AC185" s="35">
        <v>86776.9</v>
      </c>
      <c r="AD185" s="380"/>
      <c r="AE185" s="35"/>
      <c r="AF185" s="380"/>
      <c r="AG185" s="35">
        <v>20</v>
      </c>
      <c r="AH185" s="380">
        <v>31856.85</v>
      </c>
      <c r="AI185" s="35"/>
      <c r="AJ185" s="380"/>
      <c r="AK185" s="35"/>
      <c r="AL185" s="403">
        <f t="shared" si="8"/>
        <v>332496.67999999993</v>
      </c>
      <c r="AM185" s="18">
        <v>58</v>
      </c>
      <c r="AN185" s="33">
        <v>1126</v>
      </c>
      <c r="AO185" s="393">
        <v>-4371</v>
      </c>
      <c r="AP185" s="35"/>
      <c r="AQ185" s="35">
        <v>-3038.36</v>
      </c>
      <c r="AR185" s="35">
        <v>1.5</v>
      </c>
    </row>
    <row r="186" spans="1:44" x14ac:dyDescent="0.25">
      <c r="A186" s="383">
        <v>5707</v>
      </c>
      <c r="B186" s="367" t="s">
        <v>229</v>
      </c>
      <c r="C186" s="35">
        <v>3462842.69</v>
      </c>
      <c r="D186" s="35">
        <v>642000.09</v>
      </c>
      <c r="E186" s="397"/>
      <c r="F186" s="368"/>
      <c r="G186" s="368">
        <v>259190.55</v>
      </c>
      <c r="H186" s="370">
        <v>10638.35</v>
      </c>
      <c r="I186" s="368">
        <v>65487.75</v>
      </c>
      <c r="J186" s="370">
        <v>80914.27</v>
      </c>
      <c r="K186" s="368">
        <v>53277.9</v>
      </c>
      <c r="L186" s="370">
        <v>684765.25</v>
      </c>
      <c r="M186" s="371">
        <f t="shared" si="6"/>
        <v>5259116.8499999996</v>
      </c>
      <c r="N186" s="35">
        <v>502784.35</v>
      </c>
      <c r="O186" s="35"/>
      <c r="P186" s="35">
        <v>153278.79999999999</v>
      </c>
      <c r="Q186" s="35">
        <v>239.11</v>
      </c>
      <c r="R186" s="35">
        <v>152294.35</v>
      </c>
      <c r="S186" s="409">
        <v>38666.75</v>
      </c>
      <c r="T186" s="35"/>
      <c r="U186" s="380">
        <v>5470</v>
      </c>
      <c r="V186" s="35"/>
      <c r="W186" s="393"/>
      <c r="X186" s="372">
        <f t="shared" si="7"/>
        <v>6111850.209999999</v>
      </c>
      <c r="Y186" s="35"/>
      <c r="Z186" s="380"/>
      <c r="AA186" s="35"/>
      <c r="AB186" s="380"/>
      <c r="AC186" s="35">
        <v>116343.15</v>
      </c>
      <c r="AD186" s="380"/>
      <c r="AE186" s="35"/>
      <c r="AF186" s="380"/>
      <c r="AG186" s="35">
        <v>171390</v>
      </c>
      <c r="AH186" s="380">
        <v>100857.3</v>
      </c>
      <c r="AI186" s="35"/>
      <c r="AJ186" s="380"/>
      <c r="AK186" s="35"/>
      <c r="AL186" s="403">
        <f t="shared" si="8"/>
        <v>388590.45</v>
      </c>
      <c r="AM186" s="18">
        <v>59</v>
      </c>
      <c r="AN186" s="33">
        <v>1290</v>
      </c>
      <c r="AO186" s="393">
        <v>-11406.83</v>
      </c>
      <c r="AP186" s="35"/>
      <c r="AQ186" s="35">
        <v>-412.19</v>
      </c>
      <c r="AR186" s="35">
        <v>1.5</v>
      </c>
    </row>
    <row r="187" spans="1:44" x14ac:dyDescent="0.25">
      <c r="A187" s="383">
        <v>5708</v>
      </c>
      <c r="B187" s="367" t="s">
        <v>230</v>
      </c>
      <c r="C187" s="35">
        <v>2695479.37</v>
      </c>
      <c r="D187" s="35">
        <v>348858.61</v>
      </c>
      <c r="E187" s="397"/>
      <c r="F187" s="368"/>
      <c r="G187" s="368">
        <v>-11355.95</v>
      </c>
      <c r="H187" s="370">
        <v>5745.35</v>
      </c>
      <c r="I187" s="368">
        <v>41192.199999999997</v>
      </c>
      <c r="J187" s="370">
        <v>45859.03</v>
      </c>
      <c r="K187" s="368">
        <v>14784.15</v>
      </c>
      <c r="L187" s="370">
        <v>375489.75</v>
      </c>
      <c r="M187" s="371">
        <f t="shared" si="6"/>
        <v>3516052.51</v>
      </c>
      <c r="N187" s="35">
        <v>945.8</v>
      </c>
      <c r="O187" s="35"/>
      <c r="P187" s="35">
        <v>144980.04999999999</v>
      </c>
      <c r="Q187" s="35"/>
      <c r="R187" s="35">
        <v>-49615.6</v>
      </c>
      <c r="S187" s="409"/>
      <c r="T187" s="35"/>
      <c r="U187" s="380">
        <v>2040</v>
      </c>
      <c r="V187" s="35"/>
      <c r="W187" s="393"/>
      <c r="X187" s="372">
        <f t="shared" si="7"/>
        <v>3614402.7599999993</v>
      </c>
      <c r="Y187" s="35">
        <v>878.05</v>
      </c>
      <c r="Z187" s="380"/>
      <c r="AA187" s="35"/>
      <c r="AB187" s="380"/>
      <c r="AC187" s="35">
        <v>78259.350000000006</v>
      </c>
      <c r="AD187" s="380"/>
      <c r="AE187" s="35"/>
      <c r="AF187" s="380"/>
      <c r="AG187" s="35"/>
      <c r="AH187" s="380"/>
      <c r="AI187" s="35"/>
      <c r="AJ187" s="380"/>
      <c r="AK187" s="35"/>
      <c r="AL187" s="403">
        <f t="shared" si="8"/>
        <v>79137.400000000009</v>
      </c>
      <c r="AM187" s="18">
        <v>59</v>
      </c>
      <c r="AN187" s="33">
        <v>942</v>
      </c>
      <c r="AO187" s="393">
        <v>-9021.5400000000009</v>
      </c>
      <c r="AP187" s="35"/>
      <c r="AQ187" s="35">
        <v>-295.5</v>
      </c>
      <c r="AR187" s="35">
        <v>1.5</v>
      </c>
    </row>
    <row r="188" spans="1:44" x14ac:dyDescent="0.25">
      <c r="A188" s="383">
        <v>5709</v>
      </c>
      <c r="B188" s="367" t="s">
        <v>231</v>
      </c>
      <c r="C188" s="35">
        <v>3340131.49</v>
      </c>
      <c r="D188" s="35">
        <v>11814.7299999999</v>
      </c>
      <c r="E188" s="397"/>
      <c r="F188" s="368"/>
      <c r="G188" s="368">
        <v>-173087.1</v>
      </c>
      <c r="H188" s="370">
        <v>6446.8999999998096</v>
      </c>
      <c r="I188" s="368">
        <v>504917</v>
      </c>
      <c r="J188" s="370">
        <v>93140.81</v>
      </c>
      <c r="K188" s="368">
        <v>3043.2</v>
      </c>
      <c r="L188" s="370">
        <v>325013.3</v>
      </c>
      <c r="M188" s="371">
        <f t="shared" si="6"/>
        <v>4111420.33</v>
      </c>
      <c r="N188" s="35">
        <v>31415.15</v>
      </c>
      <c r="O188" s="35">
        <v>1543109.9</v>
      </c>
      <c r="P188" s="35">
        <v>101516.6</v>
      </c>
      <c r="Q188" s="35">
        <v>12474.04</v>
      </c>
      <c r="R188" s="35">
        <v>18655.900000000001</v>
      </c>
      <c r="S188" s="409">
        <v>650</v>
      </c>
      <c r="T188" s="35">
        <v>2444.5</v>
      </c>
      <c r="U188" s="380">
        <v>10300</v>
      </c>
      <c r="V188" s="35"/>
      <c r="W188" s="393"/>
      <c r="X188" s="372">
        <f t="shared" si="7"/>
        <v>5831986.4199999999</v>
      </c>
      <c r="Y188" s="35">
        <v>72922</v>
      </c>
      <c r="Z188" s="380">
        <v>17023.45</v>
      </c>
      <c r="AA188" s="35">
        <v>41787.93</v>
      </c>
      <c r="AB188" s="380"/>
      <c r="AC188" s="35">
        <v>141020.65</v>
      </c>
      <c r="AD188" s="380"/>
      <c r="AE188" s="35"/>
      <c r="AF188" s="380"/>
      <c r="AG188" s="35">
        <v>13398.7</v>
      </c>
      <c r="AH188" s="380"/>
      <c r="AI188" s="35"/>
      <c r="AJ188" s="380"/>
      <c r="AK188" s="35"/>
      <c r="AL188" s="403">
        <f t="shared" si="8"/>
        <v>286152.73000000004</v>
      </c>
      <c r="AM188" s="18">
        <v>57</v>
      </c>
      <c r="AN188" s="33">
        <v>1219</v>
      </c>
      <c r="AO188" s="393">
        <v>-15005.14</v>
      </c>
      <c r="AP188" s="35"/>
      <c r="AQ188" s="35">
        <v>-2178.7399999999998</v>
      </c>
      <c r="AR188" s="35">
        <v>1</v>
      </c>
    </row>
    <row r="189" spans="1:44" x14ac:dyDescent="0.25">
      <c r="A189" s="383">
        <v>5710</v>
      </c>
      <c r="B189" s="367" t="s">
        <v>232</v>
      </c>
      <c r="C189" s="35">
        <v>1464071.33</v>
      </c>
      <c r="D189" s="35">
        <v>210657.42</v>
      </c>
      <c r="E189" s="397"/>
      <c r="F189" s="368"/>
      <c r="G189" s="368">
        <v>1323226.05</v>
      </c>
      <c r="H189" s="370">
        <v>1154414.7</v>
      </c>
      <c r="I189" s="368">
        <v>67980.399999999994</v>
      </c>
      <c r="J189" s="370">
        <v>-148199.64000000001</v>
      </c>
      <c r="K189" s="368">
        <v>884.65</v>
      </c>
      <c r="L189" s="370">
        <v>124534.1</v>
      </c>
      <c r="M189" s="371">
        <f t="shared" si="6"/>
        <v>4197569.01</v>
      </c>
      <c r="N189" s="35">
        <v>68325.600000000006</v>
      </c>
      <c r="O189" s="35"/>
      <c r="P189" s="35">
        <v>94473.5</v>
      </c>
      <c r="Q189" s="35">
        <v>-2000.25</v>
      </c>
      <c r="R189" s="35">
        <v>38670.65</v>
      </c>
      <c r="S189" s="409"/>
      <c r="T189" s="35"/>
      <c r="U189" s="380"/>
      <c r="V189" s="35"/>
      <c r="W189" s="393"/>
      <c r="X189" s="372">
        <f t="shared" si="7"/>
        <v>4397038.51</v>
      </c>
      <c r="Y189" s="35">
        <v>23850</v>
      </c>
      <c r="Z189" s="380"/>
      <c r="AA189" s="35">
        <v>73193.100000000006</v>
      </c>
      <c r="AB189" s="380"/>
      <c r="AC189" s="35">
        <v>30730</v>
      </c>
      <c r="AD189" s="380">
        <v>23850</v>
      </c>
      <c r="AE189" s="35"/>
      <c r="AF189" s="380"/>
      <c r="AG189" s="35">
        <v>9535</v>
      </c>
      <c r="AH189" s="380">
        <v>25358.86</v>
      </c>
      <c r="AI189" s="35"/>
      <c r="AJ189" s="380"/>
      <c r="AK189" s="35"/>
      <c r="AL189" s="403">
        <f t="shared" si="8"/>
        <v>186516.96000000002</v>
      </c>
      <c r="AM189" s="18">
        <v>51</v>
      </c>
      <c r="AN189" s="33">
        <v>484</v>
      </c>
      <c r="AO189" s="393">
        <v>-6733.17</v>
      </c>
      <c r="AP189" s="35"/>
      <c r="AQ189" s="35">
        <v>-5194.26</v>
      </c>
      <c r="AR189" s="35">
        <v>1</v>
      </c>
    </row>
    <row r="190" spans="1:44" x14ac:dyDescent="0.25">
      <c r="A190" s="383">
        <v>5711</v>
      </c>
      <c r="B190" s="367" t="s">
        <v>233</v>
      </c>
      <c r="C190" s="35">
        <v>11143966.619999999</v>
      </c>
      <c r="D190" s="35">
        <v>1935833.09</v>
      </c>
      <c r="E190" s="397"/>
      <c r="F190" s="368"/>
      <c r="G190" s="368">
        <v>80068</v>
      </c>
      <c r="H190" s="370">
        <v>5179.6499999999996</v>
      </c>
      <c r="I190" s="368">
        <v>268640.59999999998</v>
      </c>
      <c r="J190" s="370">
        <v>225781.68</v>
      </c>
      <c r="K190" s="368">
        <v>13899.65</v>
      </c>
      <c r="L190" s="370">
        <v>1074201.25</v>
      </c>
      <c r="M190" s="371">
        <f t="shared" si="6"/>
        <v>14747570.539999999</v>
      </c>
      <c r="N190" s="35">
        <v>39037</v>
      </c>
      <c r="O190" s="35">
        <v>2511.4499999999998</v>
      </c>
      <c r="P190" s="35">
        <v>533602</v>
      </c>
      <c r="Q190" s="35">
        <v>3510.53</v>
      </c>
      <c r="R190" s="35">
        <v>523976.85</v>
      </c>
      <c r="S190" s="409"/>
      <c r="T190" s="35"/>
      <c r="U190" s="380">
        <v>14900</v>
      </c>
      <c r="V190" s="35"/>
      <c r="W190" s="393"/>
      <c r="X190" s="372">
        <f t="shared" si="7"/>
        <v>15865108.369999997</v>
      </c>
      <c r="Y190" s="35"/>
      <c r="Z190" s="380"/>
      <c r="AA190" s="35"/>
      <c r="AB190" s="380"/>
      <c r="AC190" s="35">
        <v>255183</v>
      </c>
      <c r="AD190" s="380"/>
      <c r="AE190" s="35"/>
      <c r="AF190" s="380"/>
      <c r="AG190" s="35">
        <v>12142</v>
      </c>
      <c r="AH190" s="380"/>
      <c r="AI190" s="35"/>
      <c r="AJ190" s="380"/>
      <c r="AK190" s="35"/>
      <c r="AL190" s="403">
        <f t="shared" si="8"/>
        <v>267325</v>
      </c>
      <c r="AM190" s="18">
        <v>57</v>
      </c>
      <c r="AN190" s="33">
        <v>2858</v>
      </c>
      <c r="AO190" s="393">
        <v>-26805.72</v>
      </c>
      <c r="AP190" s="35"/>
      <c r="AQ190" s="35">
        <v>-46502.91</v>
      </c>
      <c r="AR190" s="35">
        <v>1.3</v>
      </c>
    </row>
    <row r="191" spans="1:44" x14ac:dyDescent="0.25">
      <c r="A191" s="383">
        <v>5712</v>
      </c>
      <c r="B191" s="367" t="s">
        <v>234</v>
      </c>
      <c r="C191" s="35">
        <v>11100441.58</v>
      </c>
      <c r="D191" s="35">
        <v>3157317.36</v>
      </c>
      <c r="E191" s="397"/>
      <c r="F191" s="368"/>
      <c r="G191" s="368">
        <v>150857.4</v>
      </c>
      <c r="H191" s="370">
        <v>21418.65</v>
      </c>
      <c r="I191" s="368">
        <v>1358856.25</v>
      </c>
      <c r="J191" s="370">
        <v>483021.53</v>
      </c>
      <c r="K191" s="368">
        <v>21010.25</v>
      </c>
      <c r="L191" s="370">
        <v>1542222.05</v>
      </c>
      <c r="M191" s="371">
        <f t="shared" si="6"/>
        <v>17835145.07</v>
      </c>
      <c r="N191" s="35">
        <v>155045.04999999999</v>
      </c>
      <c r="O191" s="35">
        <v>536217.35</v>
      </c>
      <c r="P191" s="35">
        <v>1028000.05</v>
      </c>
      <c r="Q191" s="35">
        <v>12552.36</v>
      </c>
      <c r="R191" s="35">
        <v>595884.80000000005</v>
      </c>
      <c r="S191" s="409"/>
      <c r="T191" s="35"/>
      <c r="U191" s="380">
        <v>10050</v>
      </c>
      <c r="V191" s="35"/>
      <c r="W191" s="393"/>
      <c r="X191" s="372">
        <f t="shared" si="7"/>
        <v>20172894.680000003</v>
      </c>
      <c r="Y191" s="35"/>
      <c r="Z191" s="380"/>
      <c r="AA191" s="35"/>
      <c r="AB191" s="380"/>
      <c r="AC191" s="35"/>
      <c r="AD191" s="380">
        <v>512450.85</v>
      </c>
      <c r="AE191" s="35"/>
      <c r="AF191" s="380"/>
      <c r="AG191" s="35"/>
      <c r="AH191" s="380"/>
      <c r="AI191" s="35"/>
      <c r="AJ191" s="380"/>
      <c r="AK191" s="35"/>
      <c r="AL191" s="403">
        <f t="shared" si="8"/>
        <v>512450.85</v>
      </c>
      <c r="AM191" s="18">
        <v>53</v>
      </c>
      <c r="AN191" s="33">
        <v>3123</v>
      </c>
      <c r="AO191" s="393">
        <v>-61123.09</v>
      </c>
      <c r="AP191" s="35"/>
      <c r="AQ191" s="35">
        <v>-7578.95</v>
      </c>
      <c r="AR191" s="35">
        <v>1.5</v>
      </c>
    </row>
    <row r="192" spans="1:44" x14ac:dyDescent="0.25">
      <c r="A192" s="383">
        <v>5713</v>
      </c>
      <c r="B192" s="367" t="s">
        <v>235</v>
      </c>
      <c r="C192" s="35">
        <v>7302689.4199999999</v>
      </c>
      <c r="D192" s="35">
        <v>3989213.83</v>
      </c>
      <c r="E192" s="397"/>
      <c r="F192" s="368"/>
      <c r="G192" s="368">
        <v>55163.6</v>
      </c>
      <c r="H192" s="370">
        <v>4863.7</v>
      </c>
      <c r="I192" s="368">
        <v>648030.66</v>
      </c>
      <c r="J192" s="370">
        <v>4347.24</v>
      </c>
      <c r="K192" s="368">
        <v>9069</v>
      </c>
      <c r="L192" s="370">
        <v>756395.15</v>
      </c>
      <c r="M192" s="371">
        <f t="shared" si="6"/>
        <v>12769772.6</v>
      </c>
      <c r="N192" s="35">
        <v>26286.5</v>
      </c>
      <c r="O192" s="35">
        <v>1624.2</v>
      </c>
      <c r="P192" s="35">
        <v>471274.55</v>
      </c>
      <c r="Q192" s="35">
        <v>1354.9</v>
      </c>
      <c r="R192" s="35">
        <v>505588.75</v>
      </c>
      <c r="S192" s="409"/>
      <c r="T192" s="35"/>
      <c r="U192" s="380">
        <v>15250</v>
      </c>
      <c r="V192" s="35"/>
      <c r="W192" s="393"/>
      <c r="X192" s="372">
        <f t="shared" si="7"/>
        <v>13791151.5</v>
      </c>
      <c r="Y192" s="35">
        <v>164137.39000000001</v>
      </c>
      <c r="Z192" s="380"/>
      <c r="AA192" s="35">
        <v>403429.23</v>
      </c>
      <c r="AB192" s="380"/>
      <c r="AC192" s="35">
        <v>191312.82</v>
      </c>
      <c r="AD192" s="380"/>
      <c r="AE192" s="35"/>
      <c r="AF192" s="380"/>
      <c r="AG192" s="35">
        <v>7478.2</v>
      </c>
      <c r="AH192" s="380">
        <v>83288.350000000006</v>
      </c>
      <c r="AI192" s="35"/>
      <c r="AJ192" s="380"/>
      <c r="AK192" s="35"/>
      <c r="AL192" s="403">
        <f t="shared" si="8"/>
        <v>849645.98999999987</v>
      </c>
      <c r="AM192" s="18">
        <v>53</v>
      </c>
      <c r="AN192" s="33">
        <v>2177</v>
      </c>
      <c r="AO192" s="393">
        <v>-42736.82</v>
      </c>
      <c r="AP192" s="35"/>
      <c r="AQ192" s="35">
        <v>-47874.84</v>
      </c>
      <c r="AR192" s="35">
        <v>1</v>
      </c>
    </row>
    <row r="193" spans="1:44" x14ac:dyDescent="0.25">
      <c r="A193" s="383">
        <v>5714</v>
      </c>
      <c r="B193" s="367" t="s">
        <v>236</v>
      </c>
      <c r="C193" s="35">
        <v>4053057.67</v>
      </c>
      <c r="D193" s="35">
        <v>613214.57999999996</v>
      </c>
      <c r="E193" s="397"/>
      <c r="F193" s="368"/>
      <c r="G193" s="368">
        <v>161437.29999999999</v>
      </c>
      <c r="H193" s="370">
        <v>464.4</v>
      </c>
      <c r="I193" s="368">
        <v>109269.99</v>
      </c>
      <c r="J193" s="370">
        <v>62704.79</v>
      </c>
      <c r="K193" s="368">
        <v>5548</v>
      </c>
      <c r="L193" s="370">
        <v>267844.3</v>
      </c>
      <c r="M193" s="371">
        <f t="shared" si="6"/>
        <v>5273541.03</v>
      </c>
      <c r="N193" s="35">
        <v>73600.649999999994</v>
      </c>
      <c r="O193" s="35">
        <v>287460.84999999998</v>
      </c>
      <c r="P193" s="35">
        <v>97715.6</v>
      </c>
      <c r="Q193" s="35">
        <v>4417.63</v>
      </c>
      <c r="R193" s="35">
        <v>59593.45</v>
      </c>
      <c r="S193" s="409">
        <v>1067.4000000000001</v>
      </c>
      <c r="T193" s="35"/>
      <c r="U193" s="380">
        <v>5280</v>
      </c>
      <c r="V193" s="35"/>
      <c r="W193" s="393"/>
      <c r="X193" s="372">
        <f t="shared" si="7"/>
        <v>5802676.6100000003</v>
      </c>
      <c r="Y193" s="35"/>
      <c r="Z193" s="380"/>
      <c r="AA193" s="35"/>
      <c r="AB193" s="380"/>
      <c r="AC193" s="35">
        <v>99615.3</v>
      </c>
      <c r="AD193" s="380"/>
      <c r="AE193" s="35"/>
      <c r="AF193" s="380"/>
      <c r="AG193" s="35">
        <v>398.25</v>
      </c>
      <c r="AH193" s="380">
        <v>31340.95</v>
      </c>
      <c r="AI193" s="35"/>
      <c r="AJ193" s="380"/>
      <c r="AK193" s="35"/>
      <c r="AL193" s="403">
        <f t="shared" si="8"/>
        <v>131354.5</v>
      </c>
      <c r="AM193" s="18">
        <v>64</v>
      </c>
      <c r="AN193" s="33">
        <v>1161</v>
      </c>
      <c r="AO193" s="393">
        <v>-7513.31</v>
      </c>
      <c r="AP193" s="35"/>
      <c r="AQ193" s="35">
        <v>-1506.98</v>
      </c>
      <c r="AR193" s="35">
        <v>1</v>
      </c>
    </row>
    <row r="194" spans="1:44" x14ac:dyDescent="0.25">
      <c r="A194" s="383">
        <v>5715</v>
      </c>
      <c r="B194" s="367" t="s">
        <v>237</v>
      </c>
      <c r="C194" s="35">
        <v>3119437.25</v>
      </c>
      <c r="D194" s="35">
        <v>434159.06</v>
      </c>
      <c r="E194" s="397"/>
      <c r="F194" s="368"/>
      <c r="G194" s="368">
        <v>40970.400000000001</v>
      </c>
      <c r="H194" s="370">
        <v>2787.9</v>
      </c>
      <c r="I194" s="368">
        <v>32824.75</v>
      </c>
      <c r="J194" s="370">
        <v>81903.16</v>
      </c>
      <c r="K194" s="368">
        <v>4225</v>
      </c>
      <c r="L194" s="370">
        <v>251456.85</v>
      </c>
      <c r="M194" s="371">
        <f t="shared" si="6"/>
        <v>3967764.37</v>
      </c>
      <c r="N194" s="35">
        <v>38202.800000000003</v>
      </c>
      <c r="O194" s="35"/>
      <c r="P194" s="35">
        <v>81294.399999999994</v>
      </c>
      <c r="Q194" s="35">
        <v>539.71</v>
      </c>
      <c r="R194" s="35">
        <v>43048.9</v>
      </c>
      <c r="S194" s="409"/>
      <c r="T194" s="35"/>
      <c r="U194" s="380">
        <v>6500</v>
      </c>
      <c r="V194" s="35"/>
      <c r="W194" s="393"/>
      <c r="X194" s="372">
        <f t="shared" si="7"/>
        <v>4137350.1799999997</v>
      </c>
      <c r="Y194" s="35"/>
      <c r="Z194" s="380"/>
      <c r="AA194" s="35">
        <v>108754.52</v>
      </c>
      <c r="AB194" s="380"/>
      <c r="AC194" s="35">
        <v>106305.65</v>
      </c>
      <c r="AD194" s="380">
        <v>48894.9</v>
      </c>
      <c r="AE194" s="35">
        <v>27520.15</v>
      </c>
      <c r="AF194" s="380"/>
      <c r="AG194" s="35">
        <v>7890</v>
      </c>
      <c r="AH194" s="380">
        <v>38843.94</v>
      </c>
      <c r="AI194" s="35"/>
      <c r="AJ194" s="380"/>
      <c r="AK194" s="35"/>
      <c r="AL194" s="403">
        <f t="shared" si="8"/>
        <v>338209.16000000003</v>
      </c>
      <c r="AM194" s="18">
        <v>66</v>
      </c>
      <c r="AN194" s="33">
        <v>1078</v>
      </c>
      <c r="AO194" s="393">
        <v>-45487.27</v>
      </c>
      <c r="AP194" s="35"/>
      <c r="AQ194" s="35">
        <v>-3425.79</v>
      </c>
      <c r="AR194" s="35">
        <v>1</v>
      </c>
    </row>
    <row r="195" spans="1:44" x14ac:dyDescent="0.25">
      <c r="A195" s="383">
        <v>5716</v>
      </c>
      <c r="B195" s="367" t="s">
        <v>238</v>
      </c>
      <c r="C195" s="35">
        <v>3788512.36</v>
      </c>
      <c r="D195" s="35">
        <v>461377.7</v>
      </c>
      <c r="E195" s="397"/>
      <c r="F195" s="368"/>
      <c r="G195" s="368">
        <v>3192945.9</v>
      </c>
      <c r="H195" s="370">
        <v>174549.95</v>
      </c>
      <c r="I195" s="368">
        <v>24162</v>
      </c>
      <c r="J195" s="370">
        <v>75068.539999999994</v>
      </c>
      <c r="K195" s="368">
        <v>10978.5</v>
      </c>
      <c r="L195" s="370">
        <v>597356.30000000005</v>
      </c>
      <c r="M195" s="371">
        <f t="shared" ref="M195:M256" si="9">SUM(C195:L195)</f>
        <v>8324951.2499999991</v>
      </c>
      <c r="N195" s="35">
        <v>704793.75</v>
      </c>
      <c r="O195" s="35">
        <v>159.19999999999999</v>
      </c>
      <c r="P195" s="35">
        <v>332567.15000000002</v>
      </c>
      <c r="Q195" s="35">
        <v>2319.41</v>
      </c>
      <c r="R195" s="35">
        <v>207672.3</v>
      </c>
      <c r="S195" s="409">
        <v>8217.4500000000007</v>
      </c>
      <c r="T195" s="35"/>
      <c r="U195" s="380">
        <v>7000</v>
      </c>
      <c r="V195" s="35"/>
      <c r="W195" s="393"/>
      <c r="X195" s="372">
        <f t="shared" si="7"/>
        <v>9587680.5099999998</v>
      </c>
      <c r="Y195" s="35">
        <v>128425.06</v>
      </c>
      <c r="Z195" s="380"/>
      <c r="AA195" s="35">
        <v>202695.34</v>
      </c>
      <c r="AB195" s="380"/>
      <c r="AC195" s="35">
        <v>108620.69</v>
      </c>
      <c r="AD195" s="380"/>
      <c r="AE195" s="35"/>
      <c r="AF195" s="380"/>
      <c r="AG195" s="35"/>
      <c r="AH195" s="380">
        <v>70164.850000000006</v>
      </c>
      <c r="AI195" s="35"/>
      <c r="AJ195" s="380"/>
      <c r="AK195" s="35"/>
      <c r="AL195" s="403">
        <f t="shared" si="8"/>
        <v>509905.94000000006</v>
      </c>
      <c r="AM195" s="18">
        <v>61</v>
      </c>
      <c r="AN195" s="33">
        <v>1603</v>
      </c>
      <c r="AO195" s="393">
        <v>-28247.25</v>
      </c>
      <c r="AP195" s="35"/>
      <c r="AQ195" s="35">
        <v>-188.49</v>
      </c>
      <c r="AR195" s="35">
        <v>1</v>
      </c>
    </row>
    <row r="196" spans="1:44" x14ac:dyDescent="0.25">
      <c r="A196" s="383">
        <v>5717</v>
      </c>
      <c r="B196" s="367" t="s">
        <v>239</v>
      </c>
      <c r="C196" s="35">
        <v>13186332.99</v>
      </c>
      <c r="D196" s="35">
        <v>3428456.48</v>
      </c>
      <c r="E196" s="397"/>
      <c r="F196" s="368"/>
      <c r="G196" s="368">
        <v>265436.79999999999</v>
      </c>
      <c r="H196" s="370">
        <v>7367.05</v>
      </c>
      <c r="I196" s="368">
        <v>802873.74</v>
      </c>
      <c r="J196" s="370">
        <v>629280.14</v>
      </c>
      <c r="K196" s="368">
        <v>44021.5</v>
      </c>
      <c r="L196" s="370">
        <v>1204093.55</v>
      </c>
      <c r="M196" s="371">
        <f t="shared" si="9"/>
        <v>19567862.25</v>
      </c>
      <c r="N196" s="35">
        <v>248363.8</v>
      </c>
      <c r="O196" s="35">
        <v>464933.3</v>
      </c>
      <c r="P196" s="35">
        <v>762892.15</v>
      </c>
      <c r="Q196" s="35">
        <v>62352.84</v>
      </c>
      <c r="R196" s="35">
        <v>882542.25</v>
      </c>
      <c r="S196" s="409"/>
      <c r="T196" s="35">
        <v>1150</v>
      </c>
      <c r="U196" s="380">
        <v>18795</v>
      </c>
      <c r="V196" s="35"/>
      <c r="W196" s="393"/>
      <c r="X196" s="372">
        <f t="shared" si="7"/>
        <v>22008891.59</v>
      </c>
      <c r="Y196" s="35"/>
      <c r="Z196" s="380"/>
      <c r="AA196" s="35"/>
      <c r="AB196" s="380"/>
      <c r="AC196" s="35">
        <v>496378.23</v>
      </c>
      <c r="AD196" s="380"/>
      <c r="AE196" s="35"/>
      <c r="AF196" s="380"/>
      <c r="AG196" s="35">
        <v>3366</v>
      </c>
      <c r="AH196" s="380"/>
      <c r="AI196" s="35"/>
      <c r="AJ196" s="380"/>
      <c r="AK196" s="35"/>
      <c r="AL196" s="403">
        <f t="shared" si="8"/>
        <v>499744.23</v>
      </c>
      <c r="AM196" s="18">
        <v>57</v>
      </c>
      <c r="AN196" s="33">
        <v>3788</v>
      </c>
      <c r="AO196" s="393">
        <v>-117758.51</v>
      </c>
      <c r="AP196" s="35">
        <v>-1185.75</v>
      </c>
      <c r="AQ196" s="35">
        <v>-8952.4699999999993</v>
      </c>
      <c r="AR196" s="35">
        <v>1</v>
      </c>
    </row>
    <row r="197" spans="1:44" x14ac:dyDescent="0.25">
      <c r="A197" s="383">
        <v>5718</v>
      </c>
      <c r="B197" s="367" t="s">
        <v>240</v>
      </c>
      <c r="C197" s="35">
        <v>7385452.3499999996</v>
      </c>
      <c r="D197" s="35">
        <v>1199322.29</v>
      </c>
      <c r="E197" s="397"/>
      <c r="F197" s="368"/>
      <c r="G197" s="368">
        <v>519857.75</v>
      </c>
      <c r="H197" s="370">
        <v>67652.100000000006</v>
      </c>
      <c r="I197" s="368">
        <v>107936.74</v>
      </c>
      <c r="J197" s="370">
        <v>64834.33</v>
      </c>
      <c r="K197" s="368">
        <v>25177.3</v>
      </c>
      <c r="L197" s="370">
        <v>587735.80000000005</v>
      </c>
      <c r="M197" s="371">
        <f t="shared" si="9"/>
        <v>9957968.660000002</v>
      </c>
      <c r="N197" s="35">
        <v>303990.40000000002</v>
      </c>
      <c r="O197" s="35">
        <v>463.5</v>
      </c>
      <c r="P197" s="35">
        <v>456794.3</v>
      </c>
      <c r="Q197" s="35">
        <v>630.24</v>
      </c>
      <c r="R197" s="35">
        <v>381370.7</v>
      </c>
      <c r="S197" s="409"/>
      <c r="T197" s="35">
        <v>50</v>
      </c>
      <c r="U197" s="380">
        <v>6150</v>
      </c>
      <c r="V197" s="35"/>
      <c r="W197" s="393"/>
      <c r="X197" s="372">
        <f t="shared" si="7"/>
        <v>11107417.800000003</v>
      </c>
      <c r="Y197" s="35">
        <v>51048.35</v>
      </c>
      <c r="Z197" s="380"/>
      <c r="AA197" s="35">
        <v>303261.95</v>
      </c>
      <c r="AB197" s="380"/>
      <c r="AC197" s="35">
        <v>189791.2</v>
      </c>
      <c r="AD197" s="380">
        <v>69184.2</v>
      </c>
      <c r="AE197" s="35"/>
      <c r="AF197" s="380"/>
      <c r="AG197" s="35">
        <v>18478.099999999999</v>
      </c>
      <c r="AH197" s="380"/>
      <c r="AI197" s="35"/>
      <c r="AJ197" s="380"/>
      <c r="AK197" s="35"/>
      <c r="AL197" s="403">
        <f t="shared" si="8"/>
        <v>631763.79999999993</v>
      </c>
      <c r="AM197" s="18">
        <v>55</v>
      </c>
      <c r="AN197" s="33">
        <v>1945</v>
      </c>
      <c r="AO197" s="393">
        <v>-22801.49</v>
      </c>
      <c r="AP197" s="35"/>
      <c r="AQ197" s="35">
        <v>-4238.03</v>
      </c>
      <c r="AR197" s="35">
        <v>1</v>
      </c>
    </row>
    <row r="198" spans="1:44" x14ac:dyDescent="0.25">
      <c r="A198" s="383">
        <v>5719</v>
      </c>
      <c r="B198" s="367" t="s">
        <v>241</v>
      </c>
      <c r="C198" s="35">
        <v>4342985.18</v>
      </c>
      <c r="D198" s="35">
        <v>2259861.1</v>
      </c>
      <c r="E198" s="397"/>
      <c r="F198" s="368"/>
      <c r="G198" s="368">
        <v>89470.35</v>
      </c>
      <c r="H198" s="370">
        <v>694.75</v>
      </c>
      <c r="I198" s="368">
        <v>371761.22</v>
      </c>
      <c r="J198" s="370">
        <v>71022.289999999994</v>
      </c>
      <c r="K198" s="368">
        <v>3649.35</v>
      </c>
      <c r="L198" s="370">
        <v>217745.05</v>
      </c>
      <c r="M198" s="371">
        <f t="shared" si="9"/>
        <v>7357189.2899999982</v>
      </c>
      <c r="N198" s="35">
        <v>83648.25</v>
      </c>
      <c r="O198" s="35">
        <v>76027.199999999997</v>
      </c>
      <c r="P198" s="35">
        <v>247370</v>
      </c>
      <c r="Q198" s="35">
        <v>2452.5500000000002</v>
      </c>
      <c r="R198" s="35">
        <v>397289.9</v>
      </c>
      <c r="S198" s="409"/>
      <c r="T198" s="35"/>
      <c r="U198" s="380">
        <v>13850</v>
      </c>
      <c r="V198" s="35"/>
      <c r="W198" s="393"/>
      <c r="X198" s="372">
        <f t="shared" si="7"/>
        <v>8177827.1899999985</v>
      </c>
      <c r="Y198" s="35">
        <v>38640</v>
      </c>
      <c r="Z198" s="380"/>
      <c r="AA198" s="35">
        <v>76008.95</v>
      </c>
      <c r="AB198" s="380"/>
      <c r="AC198" s="35">
        <v>92776.88</v>
      </c>
      <c r="AD198" s="380">
        <v>44200</v>
      </c>
      <c r="AE198" s="35"/>
      <c r="AF198" s="380"/>
      <c r="AG198" s="35"/>
      <c r="AH198" s="380"/>
      <c r="AI198" s="35"/>
      <c r="AJ198" s="380"/>
      <c r="AK198" s="35"/>
      <c r="AL198" s="403">
        <f t="shared" si="8"/>
        <v>251625.83000000002</v>
      </c>
      <c r="AM198" s="18">
        <v>57</v>
      </c>
      <c r="AN198" s="33">
        <v>1212</v>
      </c>
      <c r="AO198" s="393">
        <v>-8515.81</v>
      </c>
      <c r="AP198" s="35"/>
      <c r="AQ198" s="35">
        <v>-1858.15</v>
      </c>
      <c r="AR198" s="35">
        <v>0.6</v>
      </c>
    </row>
    <row r="199" spans="1:44" x14ac:dyDescent="0.25">
      <c r="A199" s="383">
        <v>5720</v>
      </c>
      <c r="B199" s="367" t="s">
        <v>242</v>
      </c>
      <c r="C199" s="35">
        <v>3234298.15</v>
      </c>
      <c r="D199" s="35">
        <v>568553.72</v>
      </c>
      <c r="E199" s="397"/>
      <c r="F199" s="368"/>
      <c r="G199" s="368">
        <v>24592.75</v>
      </c>
      <c r="H199" s="370">
        <v>5230.05</v>
      </c>
      <c r="I199" s="368">
        <v>315860.08</v>
      </c>
      <c r="J199" s="370">
        <v>7532.78</v>
      </c>
      <c r="K199" s="368"/>
      <c r="L199" s="370">
        <v>254943.2</v>
      </c>
      <c r="M199" s="371">
        <f t="shared" si="9"/>
        <v>4411010.7299999995</v>
      </c>
      <c r="N199" s="35">
        <v>8532.35</v>
      </c>
      <c r="O199" s="35"/>
      <c r="P199" s="35">
        <v>100346.2</v>
      </c>
      <c r="Q199" s="35">
        <v>-177.75</v>
      </c>
      <c r="R199" s="35">
        <v>50776.35</v>
      </c>
      <c r="S199" s="409"/>
      <c r="T199" s="35"/>
      <c r="U199" s="380">
        <v>6840</v>
      </c>
      <c r="V199" s="35"/>
      <c r="W199" s="393"/>
      <c r="X199" s="372">
        <f t="shared" si="7"/>
        <v>4577327.879999999</v>
      </c>
      <c r="Y199" s="35">
        <v>91866.79</v>
      </c>
      <c r="Z199" s="380"/>
      <c r="AA199" s="35">
        <v>142267.25</v>
      </c>
      <c r="AB199" s="380"/>
      <c r="AC199" s="35">
        <v>58613.2</v>
      </c>
      <c r="AD199" s="380">
        <v>107411.75</v>
      </c>
      <c r="AE199" s="35"/>
      <c r="AF199" s="380"/>
      <c r="AG199" s="35">
        <v>2405</v>
      </c>
      <c r="AH199" s="380"/>
      <c r="AI199" s="35"/>
      <c r="AJ199" s="380"/>
      <c r="AK199" s="35"/>
      <c r="AL199" s="403">
        <f t="shared" si="8"/>
        <v>402563.99</v>
      </c>
      <c r="AM199" s="18">
        <v>61</v>
      </c>
      <c r="AN199" s="33">
        <v>995</v>
      </c>
      <c r="AO199" s="393">
        <v>-16091.93</v>
      </c>
      <c r="AP199" s="35"/>
      <c r="AQ199" s="35">
        <v>-2511.79</v>
      </c>
      <c r="AR199" s="35">
        <v>0.9</v>
      </c>
    </row>
    <row r="200" spans="1:44" x14ac:dyDescent="0.25">
      <c r="A200" s="383">
        <v>5721</v>
      </c>
      <c r="B200" s="367" t="s">
        <v>243</v>
      </c>
      <c r="C200" s="35">
        <v>23877657.219999999</v>
      </c>
      <c r="D200" s="35">
        <v>6695907.0199999996</v>
      </c>
      <c r="E200" s="397"/>
      <c r="F200" s="368"/>
      <c r="G200" s="368">
        <v>1885099.75</v>
      </c>
      <c r="H200" s="370">
        <v>310585.40000000002</v>
      </c>
      <c r="I200" s="368">
        <v>1039882.68</v>
      </c>
      <c r="J200" s="370">
        <v>1169763.92</v>
      </c>
      <c r="K200" s="368">
        <v>348268.25</v>
      </c>
      <c r="L200" s="370">
        <v>2606785</v>
      </c>
      <c r="M200" s="371">
        <f t="shared" si="9"/>
        <v>37933949.240000002</v>
      </c>
      <c r="N200" s="35">
        <v>1569790.75</v>
      </c>
      <c r="O200" s="35">
        <v>2612812.9</v>
      </c>
      <c r="P200" s="35">
        <v>2093957.65</v>
      </c>
      <c r="Q200" s="35">
        <v>125418.89</v>
      </c>
      <c r="R200" s="35">
        <v>2165122.5499999998</v>
      </c>
      <c r="S200" s="409"/>
      <c r="T200" s="35"/>
      <c r="U200" s="380">
        <v>60550</v>
      </c>
      <c r="V200" s="35"/>
      <c r="W200" s="393"/>
      <c r="X200" s="372">
        <f t="shared" ref="X200:X263" si="10">SUM(M200:W200)</f>
        <v>46561601.979999997</v>
      </c>
      <c r="Y200" s="35">
        <v>124107.3</v>
      </c>
      <c r="Z200" s="380"/>
      <c r="AA200" s="35">
        <v>1119443.3999999999</v>
      </c>
      <c r="AB200" s="380"/>
      <c r="AC200" s="35">
        <v>1563586.4</v>
      </c>
      <c r="AD200" s="380">
        <v>49642.9</v>
      </c>
      <c r="AE200" s="35"/>
      <c r="AF200" s="380"/>
      <c r="AG200" s="35">
        <v>51058</v>
      </c>
      <c r="AH200" s="380">
        <v>366315.7</v>
      </c>
      <c r="AI200" s="35">
        <v>209068.32</v>
      </c>
      <c r="AJ200" s="380">
        <v>366315.7</v>
      </c>
      <c r="AK200" s="35">
        <v>261590.88</v>
      </c>
      <c r="AL200" s="403">
        <f t="shared" ref="AL200:AL263" si="11">SUM(Y200:AK200)</f>
        <v>4111128.5999999996</v>
      </c>
      <c r="AM200" s="18">
        <v>62.5</v>
      </c>
      <c r="AN200" s="33">
        <v>13081</v>
      </c>
      <c r="AO200" s="393">
        <v>-414955.23</v>
      </c>
      <c r="AP200" s="35"/>
      <c r="AQ200" s="35">
        <v>-22670.33</v>
      </c>
      <c r="AR200" s="35">
        <v>1</v>
      </c>
    </row>
    <row r="201" spans="1:44" x14ac:dyDescent="0.25">
      <c r="A201" s="383">
        <v>5722</v>
      </c>
      <c r="B201" s="367" t="s">
        <v>244</v>
      </c>
      <c r="C201" s="35">
        <v>1283476.8</v>
      </c>
      <c r="D201" s="35">
        <v>162818.82</v>
      </c>
      <c r="E201" s="397"/>
      <c r="F201" s="368"/>
      <c r="G201" s="368">
        <v>13468.55</v>
      </c>
      <c r="H201" s="370">
        <v>3080</v>
      </c>
      <c r="I201" s="368"/>
      <c r="J201" s="370">
        <v>20122.37</v>
      </c>
      <c r="K201" s="368">
        <v>5659</v>
      </c>
      <c r="L201" s="370">
        <v>81582.100000000006</v>
      </c>
      <c r="M201" s="371">
        <f t="shared" si="9"/>
        <v>1570207.6400000004</v>
      </c>
      <c r="N201" s="35">
        <v>20573.2</v>
      </c>
      <c r="O201" s="35"/>
      <c r="P201" s="35">
        <v>27830</v>
      </c>
      <c r="Q201" s="35"/>
      <c r="R201" s="35">
        <v>10392</v>
      </c>
      <c r="S201" s="409"/>
      <c r="T201" s="35"/>
      <c r="U201" s="380">
        <v>1625</v>
      </c>
      <c r="V201" s="35"/>
      <c r="W201" s="393"/>
      <c r="X201" s="372">
        <f t="shared" si="10"/>
        <v>1630627.8400000003</v>
      </c>
      <c r="Y201" s="35"/>
      <c r="Z201" s="380"/>
      <c r="AA201" s="35">
        <v>42377.83</v>
      </c>
      <c r="AB201" s="380"/>
      <c r="AC201" s="35">
        <v>25583.3</v>
      </c>
      <c r="AD201" s="380"/>
      <c r="AE201" s="35"/>
      <c r="AF201" s="380"/>
      <c r="AG201" s="35">
        <v>2000.25</v>
      </c>
      <c r="AH201" s="380">
        <v>12139.05</v>
      </c>
      <c r="AI201" s="35"/>
      <c r="AJ201" s="380"/>
      <c r="AK201" s="35"/>
      <c r="AL201" s="403">
        <f t="shared" si="11"/>
        <v>82100.430000000008</v>
      </c>
      <c r="AM201" s="18">
        <v>62</v>
      </c>
      <c r="AN201" s="33">
        <v>382</v>
      </c>
      <c r="AO201" s="393">
        <v>-991.35</v>
      </c>
      <c r="AP201" s="35"/>
      <c r="AQ201" s="35">
        <v>-273.72000000000003</v>
      </c>
      <c r="AR201" s="35">
        <v>1</v>
      </c>
    </row>
    <row r="202" spans="1:44" x14ac:dyDescent="0.25">
      <c r="A202" s="383">
        <v>5723</v>
      </c>
      <c r="B202" s="367" t="s">
        <v>245</v>
      </c>
      <c r="C202" s="35">
        <v>14440895.74</v>
      </c>
      <c r="D202" s="35">
        <v>4463500.91</v>
      </c>
      <c r="E202" s="397"/>
      <c r="F202" s="375"/>
      <c r="G202" s="375">
        <v>304849.95</v>
      </c>
      <c r="H202" s="373">
        <v>9345.5</v>
      </c>
      <c r="I202" s="375">
        <v>1502752.41</v>
      </c>
      <c r="J202" s="373">
        <v>328953.32</v>
      </c>
      <c r="K202" s="375">
        <v>39998</v>
      </c>
      <c r="L202" s="373">
        <v>735562.2</v>
      </c>
      <c r="M202" s="371">
        <f t="shared" si="9"/>
        <v>21825858.029999997</v>
      </c>
      <c r="N202" s="35">
        <v>123882.8</v>
      </c>
      <c r="O202" s="35">
        <v>499105.8</v>
      </c>
      <c r="P202" s="35">
        <v>872196.4</v>
      </c>
      <c r="Q202" s="35">
        <v>3907.73</v>
      </c>
      <c r="R202" s="35">
        <v>554106.44999999995</v>
      </c>
      <c r="S202" s="409"/>
      <c r="T202" s="35"/>
      <c r="U202" s="380">
        <v>6850</v>
      </c>
      <c r="V202" s="35"/>
      <c r="W202" s="393"/>
      <c r="X202" s="372">
        <f t="shared" si="10"/>
        <v>23885907.209999997</v>
      </c>
      <c r="Y202" s="35">
        <v>42771.199999999997</v>
      </c>
      <c r="Z202" s="380"/>
      <c r="AA202" s="35"/>
      <c r="AB202" s="380"/>
      <c r="AC202" s="35">
        <v>204865.21</v>
      </c>
      <c r="AD202" s="380"/>
      <c r="AE202" s="35"/>
      <c r="AF202" s="380"/>
      <c r="AG202" s="35">
        <v>11884.6</v>
      </c>
      <c r="AH202" s="380">
        <v>76701.55</v>
      </c>
      <c r="AI202" s="35"/>
      <c r="AJ202" s="380"/>
      <c r="AK202" s="35"/>
      <c r="AL202" s="403">
        <f t="shared" si="11"/>
        <v>336222.56</v>
      </c>
      <c r="AM202" s="18">
        <v>49</v>
      </c>
      <c r="AN202" s="33">
        <v>2037</v>
      </c>
      <c r="AO202" s="393">
        <v>-29866.6</v>
      </c>
      <c r="AP202" s="35"/>
      <c r="AQ202" s="35">
        <v>-5889.53</v>
      </c>
      <c r="AR202" s="35">
        <v>1</v>
      </c>
    </row>
    <row r="203" spans="1:44" x14ac:dyDescent="0.25">
      <c r="A203" s="383">
        <v>5724</v>
      </c>
      <c r="B203" s="367" t="s">
        <v>74</v>
      </c>
      <c r="C203" s="35">
        <v>50855546.030000001</v>
      </c>
      <c r="D203" s="35">
        <v>8537343.9199999999</v>
      </c>
      <c r="E203" s="397"/>
      <c r="F203" s="368"/>
      <c r="G203" s="368">
        <v>9576014.0500000007</v>
      </c>
      <c r="H203" s="370">
        <v>981887.2</v>
      </c>
      <c r="I203" s="368">
        <v>1770636.78</v>
      </c>
      <c r="J203" s="370">
        <v>3923331.6</v>
      </c>
      <c r="K203" s="368">
        <v>603048.55000000005</v>
      </c>
      <c r="L203" s="370">
        <v>6117670.0999999996</v>
      </c>
      <c r="M203" s="371">
        <f t="shared" si="9"/>
        <v>82365478.229999989</v>
      </c>
      <c r="N203" s="35">
        <v>4187587.15</v>
      </c>
      <c r="O203" s="35">
        <v>2910148.45</v>
      </c>
      <c r="P203" s="35">
        <v>4204838.8</v>
      </c>
      <c r="Q203" s="35">
        <v>126353.46</v>
      </c>
      <c r="R203" s="35">
        <v>1971059</v>
      </c>
      <c r="S203" s="409"/>
      <c r="T203" s="35"/>
      <c r="U203" s="380">
        <v>46292.5</v>
      </c>
      <c r="V203" s="35"/>
      <c r="W203" s="393"/>
      <c r="X203" s="372">
        <f t="shared" si="10"/>
        <v>95811757.589999989</v>
      </c>
      <c r="Y203" s="35">
        <v>945578.05</v>
      </c>
      <c r="Z203" s="380"/>
      <c r="AA203" s="35">
        <v>3603585.18</v>
      </c>
      <c r="AB203" s="380"/>
      <c r="AC203" s="35">
        <v>2054444.66</v>
      </c>
      <c r="AD203" s="380">
        <v>642388.02</v>
      </c>
      <c r="AE203" s="35"/>
      <c r="AF203" s="380"/>
      <c r="AG203" s="35">
        <v>176276</v>
      </c>
      <c r="AH203" s="380">
        <v>689206.9</v>
      </c>
      <c r="AI203" s="35">
        <v>787647.27</v>
      </c>
      <c r="AJ203" s="380">
        <v>491427.52</v>
      </c>
      <c r="AK203" s="35">
        <v>191696.91</v>
      </c>
      <c r="AL203" s="403">
        <f t="shared" si="11"/>
        <v>9582250.5099999998</v>
      </c>
      <c r="AM203" s="18">
        <v>61</v>
      </c>
      <c r="AN203" s="33">
        <v>20551</v>
      </c>
      <c r="AO203" s="393">
        <v>-748945.2</v>
      </c>
      <c r="AP203" s="35"/>
      <c r="AQ203" s="35">
        <v>-83701.289999999994</v>
      </c>
      <c r="AR203" s="35">
        <v>1.3</v>
      </c>
    </row>
    <row r="204" spans="1:44" x14ac:dyDescent="0.25">
      <c r="A204" s="383">
        <v>5725</v>
      </c>
      <c r="B204" s="367" t="s">
        <v>75</v>
      </c>
      <c r="C204" s="35">
        <v>11578139.73</v>
      </c>
      <c r="D204" s="35">
        <v>2766805.86</v>
      </c>
      <c r="E204" s="397"/>
      <c r="F204" s="368"/>
      <c r="G204" s="368">
        <v>660327.75</v>
      </c>
      <c r="H204" s="370">
        <v>9443.2000000000007</v>
      </c>
      <c r="I204" s="368">
        <v>417377.63</v>
      </c>
      <c r="J204" s="370">
        <v>265556.78000000003</v>
      </c>
      <c r="K204" s="368">
        <v>49813.7</v>
      </c>
      <c r="L204" s="370">
        <v>1524810.1</v>
      </c>
      <c r="M204" s="371">
        <f t="shared" si="9"/>
        <v>17272274.75</v>
      </c>
      <c r="N204" s="35">
        <v>1104679.95</v>
      </c>
      <c r="O204" s="35">
        <v>21482.9</v>
      </c>
      <c r="P204" s="35">
        <v>489965.5</v>
      </c>
      <c r="Q204" s="35">
        <v>27434.31</v>
      </c>
      <c r="R204" s="35">
        <v>484066.2</v>
      </c>
      <c r="S204" s="409"/>
      <c r="T204" s="35"/>
      <c r="U204" s="380">
        <v>15860</v>
      </c>
      <c r="V204" s="35"/>
      <c r="W204" s="393"/>
      <c r="X204" s="372">
        <f t="shared" si="10"/>
        <v>19415763.609999996</v>
      </c>
      <c r="Y204" s="35">
        <v>67847.45</v>
      </c>
      <c r="Z204" s="380"/>
      <c r="AA204" s="35">
        <v>350165.03</v>
      </c>
      <c r="AB204" s="380"/>
      <c r="AC204" s="35">
        <v>241876.17</v>
      </c>
      <c r="AD204" s="380"/>
      <c r="AE204" s="35"/>
      <c r="AF204" s="380"/>
      <c r="AG204" s="35">
        <v>45439.6</v>
      </c>
      <c r="AH204" s="380"/>
      <c r="AI204" s="35"/>
      <c r="AJ204" s="380">
        <v>102763.23</v>
      </c>
      <c r="AK204" s="35"/>
      <c r="AL204" s="403">
        <f t="shared" si="11"/>
        <v>808091.48</v>
      </c>
      <c r="AM204" s="18">
        <v>56</v>
      </c>
      <c r="AN204" s="33">
        <v>4069</v>
      </c>
      <c r="AO204" s="393">
        <v>-88494.48</v>
      </c>
      <c r="AP204" s="35"/>
      <c r="AQ204" s="35">
        <v>-74474.34</v>
      </c>
      <c r="AR204" s="35">
        <v>1.4</v>
      </c>
    </row>
    <row r="205" spans="1:44" x14ac:dyDescent="0.25">
      <c r="A205" s="383">
        <v>5726</v>
      </c>
      <c r="B205" s="367" t="s">
        <v>325</v>
      </c>
      <c r="C205" s="35">
        <v>2920947.91</v>
      </c>
      <c r="D205" s="35">
        <v>499553.69</v>
      </c>
      <c r="E205" s="397"/>
      <c r="F205" s="368"/>
      <c r="G205" s="368">
        <v>18422.150000000001</v>
      </c>
      <c r="H205" s="370">
        <v>897.2</v>
      </c>
      <c r="I205" s="368">
        <v>9017.15</v>
      </c>
      <c r="J205" s="370">
        <v>22266.97</v>
      </c>
      <c r="K205" s="368">
        <v>3665.15</v>
      </c>
      <c r="L205" s="370">
        <v>242421.15</v>
      </c>
      <c r="M205" s="371">
        <f t="shared" si="9"/>
        <v>3717191.37</v>
      </c>
      <c r="N205" s="35">
        <v>18897.900000000001</v>
      </c>
      <c r="O205" s="35"/>
      <c r="P205" s="35">
        <v>195118.4</v>
      </c>
      <c r="Q205" s="35">
        <v>2268.75</v>
      </c>
      <c r="R205" s="35">
        <v>138854.45000000001</v>
      </c>
      <c r="S205" s="409"/>
      <c r="T205" s="35"/>
      <c r="U205" s="380">
        <v>8150</v>
      </c>
      <c r="V205" s="35"/>
      <c r="W205" s="393"/>
      <c r="X205" s="372">
        <f t="shared" si="10"/>
        <v>4080480.87</v>
      </c>
      <c r="Y205" s="35">
        <v>45800</v>
      </c>
      <c r="Z205" s="380">
        <v>10980</v>
      </c>
      <c r="AA205" s="35">
        <v>151891.99</v>
      </c>
      <c r="AB205" s="380">
        <v>9809.44</v>
      </c>
      <c r="AC205" s="35">
        <v>93982.32</v>
      </c>
      <c r="AD205" s="380">
        <v>35000</v>
      </c>
      <c r="AE205" s="35">
        <v>-5196.7700000000004</v>
      </c>
      <c r="AF205" s="380"/>
      <c r="AG205" s="35">
        <v>7959.9</v>
      </c>
      <c r="AH205" s="380"/>
      <c r="AI205" s="35"/>
      <c r="AJ205" s="380"/>
      <c r="AK205" s="35"/>
      <c r="AL205" s="403">
        <f t="shared" si="11"/>
        <v>350226.88</v>
      </c>
      <c r="AM205" s="18">
        <v>65</v>
      </c>
      <c r="AN205" s="33">
        <v>1164</v>
      </c>
      <c r="AO205" s="393">
        <v>-19316.310000000001</v>
      </c>
      <c r="AP205" s="35"/>
      <c r="AQ205" s="35">
        <v>-3725.51</v>
      </c>
      <c r="AR205" s="35">
        <v>1</v>
      </c>
    </row>
    <row r="206" spans="1:44" x14ac:dyDescent="0.25">
      <c r="A206" s="383">
        <v>5727</v>
      </c>
      <c r="B206" s="367" t="s">
        <v>326</v>
      </c>
      <c r="C206" s="35">
        <v>5164511.99</v>
      </c>
      <c r="D206" s="35">
        <v>824692.61</v>
      </c>
      <c r="E206" s="397"/>
      <c r="F206" s="368"/>
      <c r="G206" s="368">
        <v>69333.7</v>
      </c>
      <c r="H206" s="370">
        <v>15890.15</v>
      </c>
      <c r="I206" s="368">
        <v>98546.93</v>
      </c>
      <c r="J206" s="370">
        <v>263616.21000000002</v>
      </c>
      <c r="K206" s="368">
        <v>10099.9</v>
      </c>
      <c r="L206" s="370">
        <v>704739.35</v>
      </c>
      <c r="M206" s="371">
        <f t="shared" si="9"/>
        <v>7151430.8400000008</v>
      </c>
      <c r="N206" s="35">
        <v>88630.95</v>
      </c>
      <c r="O206" s="35">
        <v>57308.1</v>
      </c>
      <c r="P206" s="35">
        <v>383865.3</v>
      </c>
      <c r="Q206" s="35">
        <v>18287.330000000002</v>
      </c>
      <c r="R206" s="35">
        <v>187050.65</v>
      </c>
      <c r="S206" s="409"/>
      <c r="T206" s="35">
        <v>2694.9</v>
      </c>
      <c r="U206" s="380">
        <v>11700</v>
      </c>
      <c r="V206" s="35"/>
      <c r="W206" s="393"/>
      <c r="X206" s="372">
        <f t="shared" si="10"/>
        <v>7900968.0700000012</v>
      </c>
      <c r="Y206" s="35">
        <v>2755.15</v>
      </c>
      <c r="Z206" s="380">
        <v>333458.59999999998</v>
      </c>
      <c r="AA206" s="35"/>
      <c r="AB206" s="380"/>
      <c r="AC206" s="35">
        <v>250872.95</v>
      </c>
      <c r="AD206" s="380">
        <v>2755.15</v>
      </c>
      <c r="AE206" s="35"/>
      <c r="AF206" s="380"/>
      <c r="AG206" s="35">
        <v>48161.1</v>
      </c>
      <c r="AH206" s="380"/>
      <c r="AI206" s="35"/>
      <c r="AJ206" s="380"/>
      <c r="AK206" s="35"/>
      <c r="AL206" s="403">
        <f t="shared" si="11"/>
        <v>638002.94999999995</v>
      </c>
      <c r="AM206" s="18">
        <v>66</v>
      </c>
      <c r="AN206" s="33">
        <v>2559</v>
      </c>
      <c r="AO206" s="393">
        <v>-302059.76</v>
      </c>
      <c r="AP206" s="35"/>
      <c r="AQ206" s="35">
        <v>-521.99</v>
      </c>
      <c r="AR206" s="35">
        <v>1.5</v>
      </c>
    </row>
    <row r="207" spans="1:44" x14ac:dyDescent="0.25">
      <c r="A207" s="383">
        <v>5728</v>
      </c>
      <c r="B207" s="367" t="s">
        <v>327</v>
      </c>
      <c r="C207" s="35">
        <v>1418239.42</v>
      </c>
      <c r="D207" s="35">
        <v>174980.27</v>
      </c>
      <c r="E207" s="397"/>
      <c r="F207" s="368"/>
      <c r="G207" s="368">
        <v>362265.65</v>
      </c>
      <c r="H207" s="370">
        <v>5546.3</v>
      </c>
      <c r="I207" s="368">
        <v>17437.900000000001</v>
      </c>
      <c r="J207" s="370">
        <v>60157.24</v>
      </c>
      <c r="K207" s="368">
        <v>51544</v>
      </c>
      <c r="L207" s="370">
        <v>201872.3</v>
      </c>
      <c r="M207" s="371">
        <f t="shared" si="9"/>
        <v>2292043.0799999996</v>
      </c>
      <c r="N207" s="35">
        <v>221113.4</v>
      </c>
      <c r="O207" s="35"/>
      <c r="P207" s="35">
        <v>106573.5</v>
      </c>
      <c r="Q207" s="35"/>
      <c r="R207" s="35">
        <v>51015.35</v>
      </c>
      <c r="S207" s="409"/>
      <c r="T207" s="35">
        <v>63388.2</v>
      </c>
      <c r="U207" s="380">
        <v>1600</v>
      </c>
      <c r="V207" s="35"/>
      <c r="W207" s="393"/>
      <c r="X207" s="372">
        <f t="shared" si="10"/>
        <v>2735733.53</v>
      </c>
      <c r="Y207" s="35">
        <v>89100</v>
      </c>
      <c r="Z207" s="380"/>
      <c r="AA207" s="35">
        <v>95298.19</v>
      </c>
      <c r="AB207" s="380"/>
      <c r="AC207" s="35">
        <v>38520</v>
      </c>
      <c r="AD207" s="380"/>
      <c r="AE207" s="35"/>
      <c r="AF207" s="380"/>
      <c r="AG207" s="35">
        <v>224.25</v>
      </c>
      <c r="AH207" s="380">
        <v>55342.5</v>
      </c>
      <c r="AI207" s="35"/>
      <c r="AJ207" s="380"/>
      <c r="AK207" s="35"/>
      <c r="AL207" s="403">
        <f t="shared" si="11"/>
        <v>278484.94</v>
      </c>
      <c r="AM207" s="18">
        <v>58</v>
      </c>
      <c r="AN207" s="33">
        <v>567</v>
      </c>
      <c r="AO207" s="393">
        <v>-21579.22</v>
      </c>
      <c r="AP207" s="35"/>
      <c r="AQ207" s="35">
        <v>-96.71</v>
      </c>
      <c r="AR207" s="35">
        <v>1</v>
      </c>
    </row>
    <row r="208" spans="1:44" x14ac:dyDescent="0.25">
      <c r="A208" s="383">
        <v>5729</v>
      </c>
      <c r="B208" s="367" t="s">
        <v>328</v>
      </c>
      <c r="C208" s="35">
        <v>7250689.3600000003</v>
      </c>
      <c r="D208" s="35">
        <v>2033791.13</v>
      </c>
      <c r="E208" s="397"/>
      <c r="F208" s="368"/>
      <c r="G208" s="368">
        <v>460416.3</v>
      </c>
      <c r="H208" s="370">
        <v>2523</v>
      </c>
      <c r="I208" s="368">
        <v>165919.35</v>
      </c>
      <c r="J208" s="370">
        <v>292796.92</v>
      </c>
      <c r="K208" s="368">
        <v>6012.15</v>
      </c>
      <c r="L208" s="370">
        <v>786976.6</v>
      </c>
      <c r="M208" s="371">
        <f t="shared" si="9"/>
        <v>10999124.810000001</v>
      </c>
      <c r="N208" s="35">
        <v>19280.349999999999</v>
      </c>
      <c r="O208" s="35">
        <v>151994.04999999999</v>
      </c>
      <c r="P208" s="35">
        <v>500966.75</v>
      </c>
      <c r="Q208" s="35">
        <v>1103.98</v>
      </c>
      <c r="R208" s="35">
        <v>461958.25</v>
      </c>
      <c r="S208" s="409"/>
      <c r="T208" s="35"/>
      <c r="U208" s="380">
        <v>9160</v>
      </c>
      <c r="V208" s="35"/>
      <c r="W208" s="393"/>
      <c r="X208" s="372">
        <f t="shared" si="10"/>
        <v>12143588.190000001</v>
      </c>
      <c r="Y208" s="35"/>
      <c r="Z208" s="380"/>
      <c r="AA208" s="35"/>
      <c r="AB208" s="380"/>
      <c r="AC208" s="35">
        <v>148896.25</v>
      </c>
      <c r="AD208" s="380"/>
      <c r="AE208" s="35"/>
      <c r="AF208" s="380"/>
      <c r="AG208" s="35">
        <v>932.53</v>
      </c>
      <c r="AH208" s="380"/>
      <c r="AI208" s="35"/>
      <c r="AJ208" s="380"/>
      <c r="AK208" s="35"/>
      <c r="AL208" s="403">
        <f t="shared" si="11"/>
        <v>149828.78</v>
      </c>
      <c r="AM208" s="18">
        <v>61</v>
      </c>
      <c r="AN208" s="33">
        <v>1585</v>
      </c>
      <c r="AO208" s="393">
        <v>-16379.63</v>
      </c>
      <c r="AP208" s="35"/>
      <c r="AQ208" s="35">
        <v>-271.60000000000002</v>
      </c>
      <c r="AR208" s="35">
        <v>1.5</v>
      </c>
    </row>
    <row r="209" spans="1:44" x14ac:dyDescent="0.25">
      <c r="A209" s="383">
        <v>5730</v>
      </c>
      <c r="B209" s="367" t="s">
        <v>329</v>
      </c>
      <c r="C209" s="35">
        <v>4624121.3499999996</v>
      </c>
      <c r="D209" s="35">
        <v>687587.34</v>
      </c>
      <c r="E209" s="397"/>
      <c r="F209" s="368"/>
      <c r="G209" s="368">
        <v>225866.8</v>
      </c>
      <c r="H209" s="370">
        <v>1162.7</v>
      </c>
      <c r="I209" s="368">
        <v>69350.25</v>
      </c>
      <c r="J209" s="370">
        <v>40030.83</v>
      </c>
      <c r="K209" s="368">
        <v>1374.7</v>
      </c>
      <c r="L209" s="370">
        <v>359113.25</v>
      </c>
      <c r="M209" s="371">
        <f t="shared" si="9"/>
        <v>6008607.2199999997</v>
      </c>
      <c r="N209" s="35">
        <v>5872.4</v>
      </c>
      <c r="O209" s="35"/>
      <c r="P209" s="35">
        <v>286550</v>
      </c>
      <c r="Q209" s="35">
        <v>13916.13</v>
      </c>
      <c r="R209" s="35">
        <v>246173.85</v>
      </c>
      <c r="S209" s="409"/>
      <c r="T209" s="35"/>
      <c r="U209" s="380">
        <v>4925</v>
      </c>
      <c r="V209" s="35"/>
      <c r="W209" s="393"/>
      <c r="X209" s="372">
        <f t="shared" si="10"/>
        <v>6566044.5999999996</v>
      </c>
      <c r="Y209" s="35">
        <v>46690</v>
      </c>
      <c r="Z209" s="380"/>
      <c r="AA209" s="35">
        <v>157526.95000000001</v>
      </c>
      <c r="AB209" s="380"/>
      <c r="AC209" s="35">
        <v>112113.7</v>
      </c>
      <c r="AD209" s="380">
        <v>83582.600000000006</v>
      </c>
      <c r="AE209" s="35"/>
      <c r="AF209" s="380"/>
      <c r="AG209" s="35"/>
      <c r="AH209" s="380"/>
      <c r="AI209" s="35"/>
      <c r="AJ209" s="380"/>
      <c r="AK209" s="35"/>
      <c r="AL209" s="403">
        <f t="shared" si="11"/>
        <v>399913.25</v>
      </c>
      <c r="AM209" s="18">
        <v>57</v>
      </c>
      <c r="AN209" s="33">
        <v>1405</v>
      </c>
      <c r="AO209" s="393">
        <v>-39404.93</v>
      </c>
      <c r="AP209" s="35"/>
      <c r="AQ209" s="35">
        <v>-26242.25</v>
      </c>
      <c r="AR209" s="35">
        <v>0.9</v>
      </c>
    </row>
    <row r="210" spans="1:44" x14ac:dyDescent="0.25">
      <c r="A210" s="383">
        <v>5731</v>
      </c>
      <c r="B210" s="367" t="s">
        <v>330</v>
      </c>
      <c r="C210" s="35">
        <v>3106485.06</v>
      </c>
      <c r="D210" s="35">
        <v>402021.56</v>
      </c>
      <c r="E210" s="397"/>
      <c r="F210" s="368"/>
      <c r="G210" s="368">
        <v>15311.25</v>
      </c>
      <c r="H210" s="370">
        <v>386.05</v>
      </c>
      <c r="I210" s="368"/>
      <c r="J210" s="370">
        <v>52414.06</v>
      </c>
      <c r="K210" s="368">
        <v>4641</v>
      </c>
      <c r="L210" s="370">
        <v>362607.15</v>
      </c>
      <c r="M210" s="371">
        <f t="shared" si="9"/>
        <v>3943866.13</v>
      </c>
      <c r="N210" s="35">
        <v>20640.25</v>
      </c>
      <c r="O210" s="35">
        <v>26387.5</v>
      </c>
      <c r="P210" s="35">
        <v>186716.25</v>
      </c>
      <c r="Q210" s="35">
        <v>31102.560000000001</v>
      </c>
      <c r="R210" s="35">
        <v>139796.54999999999</v>
      </c>
      <c r="S210" s="409">
        <v>1860.75</v>
      </c>
      <c r="T210" s="35"/>
      <c r="U210" s="380">
        <v>16200</v>
      </c>
      <c r="V210" s="35"/>
      <c r="W210" s="393"/>
      <c r="X210" s="372">
        <f t="shared" si="10"/>
        <v>4366569.9899999993</v>
      </c>
      <c r="Y210" s="35">
        <v>118159.7</v>
      </c>
      <c r="Z210" s="380"/>
      <c r="AA210" s="35">
        <v>179192.4</v>
      </c>
      <c r="AB210" s="380"/>
      <c r="AC210" s="35">
        <v>127538.98</v>
      </c>
      <c r="AD210" s="380">
        <v>113287.45</v>
      </c>
      <c r="AE210" s="35"/>
      <c r="AF210" s="380"/>
      <c r="AG210" s="35">
        <v>12184.75</v>
      </c>
      <c r="AH210" s="380"/>
      <c r="AI210" s="35"/>
      <c r="AJ210" s="380"/>
      <c r="AK210" s="35"/>
      <c r="AL210" s="403">
        <f t="shared" si="11"/>
        <v>550363.27999999991</v>
      </c>
      <c r="AM210" s="18">
        <v>75</v>
      </c>
      <c r="AN210" s="33">
        <v>1283</v>
      </c>
      <c r="AO210" s="393">
        <v>-36907.160000000003</v>
      </c>
      <c r="AP210" s="35"/>
      <c r="AQ210" s="35">
        <v>-192.49</v>
      </c>
      <c r="AR210" s="35">
        <v>1.5</v>
      </c>
    </row>
    <row r="211" spans="1:44" x14ac:dyDescent="0.25">
      <c r="A211" s="383">
        <v>5732</v>
      </c>
      <c r="B211" s="367" t="s">
        <v>331</v>
      </c>
      <c r="C211" s="35">
        <v>3109336.86</v>
      </c>
      <c r="D211" s="35">
        <v>373344.69</v>
      </c>
      <c r="E211" s="397"/>
      <c r="F211" s="368"/>
      <c r="G211" s="368">
        <v>463153.35</v>
      </c>
      <c r="H211" s="370">
        <v>1115.75</v>
      </c>
      <c r="I211" s="368">
        <v>13034.05</v>
      </c>
      <c r="J211" s="370">
        <v>34674.65</v>
      </c>
      <c r="K211" s="368">
        <v>13445.9</v>
      </c>
      <c r="L211" s="370">
        <v>309901.09999999998</v>
      </c>
      <c r="M211" s="371">
        <f t="shared" si="9"/>
        <v>4318006.3499999996</v>
      </c>
      <c r="N211" s="35">
        <v>75839.3</v>
      </c>
      <c r="O211" s="35">
        <v>2151.6</v>
      </c>
      <c r="P211" s="35">
        <v>208800.35</v>
      </c>
      <c r="Q211" s="35">
        <v>28056.73</v>
      </c>
      <c r="R211" s="35">
        <v>345665.4</v>
      </c>
      <c r="S211" s="409"/>
      <c r="T211" s="35"/>
      <c r="U211" s="380">
        <v>8080</v>
      </c>
      <c r="V211" s="35"/>
      <c r="W211" s="393"/>
      <c r="X211" s="372">
        <f t="shared" si="10"/>
        <v>4986599.7299999995</v>
      </c>
      <c r="Y211" s="35">
        <v>20454.05</v>
      </c>
      <c r="Z211" s="380">
        <v>45861.16</v>
      </c>
      <c r="AA211" s="35">
        <v>165262.26</v>
      </c>
      <c r="AB211" s="380"/>
      <c r="AC211" s="35">
        <v>75883.3</v>
      </c>
      <c r="AD211" s="380">
        <v>39319.35</v>
      </c>
      <c r="AE211" s="35">
        <v>64199.199999999997</v>
      </c>
      <c r="AF211" s="380"/>
      <c r="AG211" s="35">
        <v>8079.05</v>
      </c>
      <c r="AH211" s="380">
        <v>55140.05</v>
      </c>
      <c r="AI211" s="35"/>
      <c r="AJ211" s="380"/>
      <c r="AK211" s="35"/>
      <c r="AL211" s="403">
        <f t="shared" si="11"/>
        <v>474198.42</v>
      </c>
      <c r="AM211" s="18">
        <v>68</v>
      </c>
      <c r="AN211" s="33">
        <v>1026</v>
      </c>
      <c r="AO211" s="393">
        <v>-35321.03</v>
      </c>
      <c r="AP211" s="35"/>
      <c r="AQ211" s="35">
        <v>-816.11</v>
      </c>
      <c r="AR211" s="35">
        <v>1</v>
      </c>
    </row>
    <row r="212" spans="1:44" x14ac:dyDescent="0.25">
      <c r="A212" s="383">
        <v>5741</v>
      </c>
      <c r="B212" s="367" t="s">
        <v>332</v>
      </c>
      <c r="C212" s="35">
        <v>443935.67</v>
      </c>
      <c r="D212" s="35">
        <v>54549.06</v>
      </c>
      <c r="E212" s="397"/>
      <c r="F212" s="368">
        <v>1330</v>
      </c>
      <c r="G212" s="368">
        <v>7710.85</v>
      </c>
      <c r="H212" s="370">
        <v>192.5</v>
      </c>
      <c r="I212" s="368"/>
      <c r="J212" s="370">
        <v>1801.23</v>
      </c>
      <c r="K212" s="368"/>
      <c r="L212" s="370">
        <v>42366.400000000001</v>
      </c>
      <c r="M212" s="371">
        <f t="shared" si="9"/>
        <v>551885.71</v>
      </c>
      <c r="N212" s="35">
        <v>7043.5</v>
      </c>
      <c r="O212" s="35">
        <v>1380.6</v>
      </c>
      <c r="P212" s="35">
        <v>34066.949999999997</v>
      </c>
      <c r="Q212" s="35">
        <v>2057.86</v>
      </c>
      <c r="R212" s="35">
        <v>24002.65</v>
      </c>
      <c r="S212" s="409"/>
      <c r="T212" s="35"/>
      <c r="U212" s="380">
        <v>900</v>
      </c>
      <c r="V212" s="35"/>
      <c r="W212" s="393"/>
      <c r="X212" s="372">
        <f t="shared" si="10"/>
        <v>621337.2699999999</v>
      </c>
      <c r="Y212" s="35">
        <v>21288.45</v>
      </c>
      <c r="Z212" s="380">
        <f>3168.4+2385.6</f>
        <v>5554</v>
      </c>
      <c r="AA212" s="35">
        <v>32306.9</v>
      </c>
      <c r="AB212" s="380"/>
      <c r="AC212" s="35">
        <v>27587.95</v>
      </c>
      <c r="AD212" s="380">
        <v>14580</v>
      </c>
      <c r="AE212" s="35">
        <f>217.6+98.8</f>
        <v>316.39999999999998</v>
      </c>
      <c r="AF212" s="380"/>
      <c r="AG212" s="35"/>
      <c r="AH212" s="380"/>
      <c r="AI212" s="35"/>
      <c r="AJ212" s="380"/>
      <c r="AK212" s="35"/>
      <c r="AL212" s="403">
        <f t="shared" si="11"/>
        <v>101633.7</v>
      </c>
      <c r="AM212" s="18">
        <v>81</v>
      </c>
      <c r="AN212" s="33">
        <v>237</v>
      </c>
      <c r="AO212" s="393">
        <v>-8041.82</v>
      </c>
      <c r="AP212" s="35"/>
      <c r="AQ212" s="35">
        <v>-122.62</v>
      </c>
      <c r="AR212" s="35">
        <v>1.2</v>
      </c>
    </row>
    <row r="213" spans="1:44" x14ac:dyDescent="0.25">
      <c r="A213" s="383">
        <v>5742</v>
      </c>
      <c r="B213" s="367" t="s">
        <v>333</v>
      </c>
      <c r="C213" s="35">
        <v>589332.30000000005</v>
      </c>
      <c r="D213" s="35">
        <v>52962.54</v>
      </c>
      <c r="E213" s="397"/>
      <c r="F213" s="368"/>
      <c r="G213" s="368">
        <v>16404.05</v>
      </c>
      <c r="H213" s="370">
        <v>180.35</v>
      </c>
      <c r="I213" s="368"/>
      <c r="J213" s="370">
        <v>14377.09</v>
      </c>
      <c r="K213" s="368">
        <v>853.3</v>
      </c>
      <c r="L213" s="370">
        <v>23286.85</v>
      </c>
      <c r="M213" s="371">
        <f t="shared" si="9"/>
        <v>697396.4800000001</v>
      </c>
      <c r="N213" s="35">
        <v>1671.4</v>
      </c>
      <c r="O213" s="35">
        <v>241.8</v>
      </c>
      <c r="P213" s="35">
        <v>38383.699999999997</v>
      </c>
      <c r="Q213" s="35"/>
      <c r="R213" s="35">
        <v>33930.550000000003</v>
      </c>
      <c r="S213" s="409"/>
      <c r="T213" s="35"/>
      <c r="U213" s="380">
        <v>2680</v>
      </c>
      <c r="V213" s="35"/>
      <c r="W213" s="393"/>
      <c r="X213" s="372">
        <f t="shared" si="10"/>
        <v>774303.93000000017</v>
      </c>
      <c r="Y213" s="35">
        <v>7500</v>
      </c>
      <c r="Z213" s="380"/>
      <c r="AA213" s="35">
        <v>29425.95</v>
      </c>
      <c r="AB213" s="380"/>
      <c r="AC213" s="35">
        <v>30135</v>
      </c>
      <c r="AD213" s="380">
        <v>4032.5</v>
      </c>
      <c r="AE213" s="35"/>
      <c r="AF213" s="380"/>
      <c r="AG213" s="35"/>
      <c r="AH213" s="380"/>
      <c r="AI213" s="35"/>
      <c r="AJ213" s="380"/>
      <c r="AK213" s="35"/>
      <c r="AL213" s="403">
        <f t="shared" si="11"/>
        <v>71093.45</v>
      </c>
      <c r="AM213" s="18">
        <v>76</v>
      </c>
      <c r="AN213" s="33">
        <v>314</v>
      </c>
      <c r="AO213" s="393">
        <v>-2913.53</v>
      </c>
      <c r="AP213" s="35"/>
      <c r="AQ213" s="35">
        <v>0</v>
      </c>
      <c r="AR213" s="35">
        <v>0.5</v>
      </c>
    </row>
    <row r="214" spans="1:44" x14ac:dyDescent="0.25">
      <c r="A214" s="383">
        <v>5743</v>
      </c>
      <c r="B214" s="367" t="s">
        <v>270</v>
      </c>
      <c r="C214" s="35">
        <v>1054146.79</v>
      </c>
      <c r="D214" s="35">
        <v>125078.39999999999</v>
      </c>
      <c r="E214" s="397"/>
      <c r="F214" s="368"/>
      <c r="G214" s="368">
        <v>15217</v>
      </c>
      <c r="H214" s="370">
        <v>364.8</v>
      </c>
      <c r="I214" s="368"/>
      <c r="J214" s="370">
        <v>23132.49</v>
      </c>
      <c r="K214" s="368"/>
      <c r="L214" s="370">
        <v>62543.1</v>
      </c>
      <c r="M214" s="371">
        <f t="shared" si="9"/>
        <v>1280482.58</v>
      </c>
      <c r="N214" s="35">
        <v>27265.05</v>
      </c>
      <c r="O214" s="35">
        <v>27463.7</v>
      </c>
      <c r="P214" s="35">
        <v>47171.6</v>
      </c>
      <c r="Q214" s="35">
        <v>1639.32</v>
      </c>
      <c r="R214" s="35">
        <v>77711.899999999994</v>
      </c>
      <c r="S214" s="409">
        <v>1161.9000000000001</v>
      </c>
      <c r="T214" s="35"/>
      <c r="U214" s="380">
        <v>1850</v>
      </c>
      <c r="V214" s="35">
        <v>468</v>
      </c>
      <c r="W214" s="393"/>
      <c r="X214" s="372">
        <f t="shared" si="10"/>
        <v>1465214.05</v>
      </c>
      <c r="Y214" s="35">
        <v>10246</v>
      </c>
      <c r="Z214" s="380"/>
      <c r="AA214" s="35">
        <v>67903</v>
      </c>
      <c r="AB214" s="380"/>
      <c r="AC214" s="35">
        <v>29237.05</v>
      </c>
      <c r="AD214" s="380">
        <v>6002.4</v>
      </c>
      <c r="AE214" s="35"/>
      <c r="AF214" s="380"/>
      <c r="AG214" s="35"/>
      <c r="AH214" s="380"/>
      <c r="AI214" s="35"/>
      <c r="AJ214" s="380"/>
      <c r="AK214" s="35"/>
      <c r="AL214" s="403">
        <f t="shared" si="11"/>
        <v>113388.45</v>
      </c>
      <c r="AM214" s="18">
        <v>73</v>
      </c>
      <c r="AN214" s="33">
        <v>642</v>
      </c>
      <c r="AO214" s="393">
        <v>-7926.21</v>
      </c>
      <c r="AP214" s="35"/>
      <c r="AQ214" s="35">
        <v>0</v>
      </c>
      <c r="AR214" s="35">
        <v>0.8</v>
      </c>
    </row>
    <row r="215" spans="1:44" x14ac:dyDescent="0.25">
      <c r="A215" s="383">
        <v>5744</v>
      </c>
      <c r="B215" s="367" t="s">
        <v>271</v>
      </c>
      <c r="C215" s="35">
        <v>1300297.8</v>
      </c>
      <c r="D215" s="35">
        <v>202814.41</v>
      </c>
      <c r="E215" s="397"/>
      <c r="F215" s="368">
        <v>6340</v>
      </c>
      <c r="G215" s="368">
        <v>2272474.35</v>
      </c>
      <c r="H215" s="370">
        <v>21712.7</v>
      </c>
      <c r="I215" s="368"/>
      <c r="J215" s="370">
        <v>88985.29</v>
      </c>
      <c r="K215" s="368"/>
      <c r="L215" s="370">
        <v>159935.9</v>
      </c>
      <c r="M215" s="371">
        <f t="shared" si="9"/>
        <v>4052560.45</v>
      </c>
      <c r="N215" s="35">
        <v>1188651.25</v>
      </c>
      <c r="O215" s="35">
        <v>16975.8</v>
      </c>
      <c r="P215" s="35">
        <v>84900.1</v>
      </c>
      <c r="Q215" s="35">
        <v>11786.24</v>
      </c>
      <c r="R215" s="35">
        <v>103476.65</v>
      </c>
      <c r="S215" s="409">
        <v>125</v>
      </c>
      <c r="T215" s="35"/>
      <c r="U215" s="380">
        <v>4070</v>
      </c>
      <c r="V215" s="35">
        <v>105</v>
      </c>
      <c r="W215" s="393"/>
      <c r="X215" s="372">
        <f t="shared" si="10"/>
        <v>5462650.4900000002</v>
      </c>
      <c r="Y215" s="35"/>
      <c r="Z215" s="380"/>
      <c r="AA215" s="35">
        <v>57063.8</v>
      </c>
      <c r="AB215" s="380"/>
      <c r="AC215" s="35">
        <v>91170.64</v>
      </c>
      <c r="AD215" s="380"/>
      <c r="AE215" s="35"/>
      <c r="AF215" s="380"/>
      <c r="AG215" s="35"/>
      <c r="AH215" s="380">
        <v>104773.3</v>
      </c>
      <c r="AI215" s="35"/>
      <c r="AJ215" s="380"/>
      <c r="AK215" s="35"/>
      <c r="AL215" s="403">
        <f t="shared" si="11"/>
        <v>253007.74</v>
      </c>
      <c r="AM215" s="18">
        <v>66</v>
      </c>
      <c r="AN215" s="33">
        <v>1095</v>
      </c>
      <c r="AO215" s="393">
        <v>-52921.77</v>
      </c>
      <c r="AP215" s="35"/>
      <c r="AQ215" s="35">
        <v>-422.29</v>
      </c>
      <c r="AR215" s="35">
        <v>1</v>
      </c>
    </row>
    <row r="216" spans="1:44" x14ac:dyDescent="0.25">
      <c r="A216" s="383">
        <v>5745</v>
      </c>
      <c r="B216" s="367" t="s">
        <v>272</v>
      </c>
      <c r="C216" s="35">
        <v>1625304.55</v>
      </c>
      <c r="D216" s="35">
        <v>187496.02</v>
      </c>
      <c r="E216" s="397"/>
      <c r="F216" s="368"/>
      <c r="G216" s="368">
        <v>78217.850000000006</v>
      </c>
      <c r="H216" s="370">
        <v>670.35</v>
      </c>
      <c r="I216" s="368"/>
      <c r="J216" s="370">
        <v>16087.85</v>
      </c>
      <c r="K216" s="368"/>
      <c r="L216" s="370">
        <v>124175.8</v>
      </c>
      <c r="M216" s="371">
        <f t="shared" si="9"/>
        <v>2031952.4200000004</v>
      </c>
      <c r="N216" s="35">
        <v>192572.15</v>
      </c>
      <c r="O216" s="35">
        <v>2640</v>
      </c>
      <c r="P216" s="35">
        <v>52778</v>
      </c>
      <c r="Q216" s="35">
        <v>3445.88</v>
      </c>
      <c r="R216" s="35">
        <v>16332.9</v>
      </c>
      <c r="S216" s="409"/>
      <c r="T216" s="35"/>
      <c r="U216" s="380">
        <v>4500</v>
      </c>
      <c r="V216" s="35"/>
      <c r="W216" s="393"/>
      <c r="X216" s="372">
        <f t="shared" si="10"/>
        <v>2304221.35</v>
      </c>
      <c r="Y216" s="35"/>
      <c r="Z216" s="380">
        <v>57.7</v>
      </c>
      <c r="AA216" s="35">
        <v>137755</v>
      </c>
      <c r="AB216" s="380"/>
      <c r="AC216" s="35">
        <v>70941.75</v>
      </c>
      <c r="AD216" s="380"/>
      <c r="AE216" s="35"/>
      <c r="AF216" s="380"/>
      <c r="AG216" s="35"/>
      <c r="AH216" s="380">
        <v>24496.05</v>
      </c>
      <c r="AI216" s="35"/>
      <c r="AJ216" s="380"/>
      <c r="AK216" s="35"/>
      <c r="AL216" s="403">
        <f t="shared" si="11"/>
        <v>233250.5</v>
      </c>
      <c r="AM216" s="18">
        <v>78</v>
      </c>
      <c r="AN216" s="33">
        <v>1053</v>
      </c>
      <c r="AO216" s="393">
        <v>-29233.97</v>
      </c>
      <c r="AP216" s="35"/>
      <c r="AQ216" s="35">
        <v>-22.01</v>
      </c>
      <c r="AR216" s="35">
        <v>1</v>
      </c>
    </row>
    <row r="217" spans="1:44" x14ac:dyDescent="0.25">
      <c r="A217" s="383">
        <v>5746</v>
      </c>
      <c r="B217" s="367" t="s">
        <v>273</v>
      </c>
      <c r="C217" s="35">
        <v>1488047.8</v>
      </c>
      <c r="D217" s="35">
        <v>147080.31</v>
      </c>
      <c r="E217" s="397"/>
      <c r="F217" s="368"/>
      <c r="G217" s="368">
        <v>98243.65</v>
      </c>
      <c r="H217" s="370">
        <v>721.85</v>
      </c>
      <c r="I217" s="368"/>
      <c r="J217" s="370">
        <v>33648.699999999997</v>
      </c>
      <c r="K217" s="368"/>
      <c r="L217" s="370">
        <v>199237.8</v>
      </c>
      <c r="M217" s="371">
        <f t="shared" si="9"/>
        <v>1966980.11</v>
      </c>
      <c r="N217" s="35">
        <v>20320.150000000001</v>
      </c>
      <c r="O217" s="35">
        <v>2022.9</v>
      </c>
      <c r="P217" s="35">
        <v>85696.35</v>
      </c>
      <c r="Q217" s="35"/>
      <c r="R217" s="35">
        <v>64410.1</v>
      </c>
      <c r="S217" s="409">
        <v>375</v>
      </c>
      <c r="T217" s="35">
        <v>2250</v>
      </c>
      <c r="U217" s="380">
        <v>5130</v>
      </c>
      <c r="V217" s="35">
        <v>546.5</v>
      </c>
      <c r="W217" s="393"/>
      <c r="X217" s="372">
        <f t="shared" si="10"/>
        <v>2147731.11</v>
      </c>
      <c r="Y217" s="35">
        <v>21242.3</v>
      </c>
      <c r="Z217" s="380"/>
      <c r="AA217" s="35">
        <v>104187.55</v>
      </c>
      <c r="AB217" s="380"/>
      <c r="AC217" s="35">
        <v>66053.399999999994</v>
      </c>
      <c r="AD217" s="380">
        <v>2700.05</v>
      </c>
      <c r="AE217" s="35"/>
      <c r="AF217" s="380"/>
      <c r="AG217" s="35"/>
      <c r="AH217" s="380">
        <v>27669</v>
      </c>
      <c r="AI217" s="35"/>
      <c r="AJ217" s="380"/>
      <c r="AK217" s="35"/>
      <c r="AL217" s="403">
        <f t="shared" si="11"/>
        <v>221852.3</v>
      </c>
      <c r="AM217" s="18">
        <v>73</v>
      </c>
      <c r="AN217" s="33">
        <v>928</v>
      </c>
      <c r="AO217" s="393">
        <v>-29981.54</v>
      </c>
      <c r="AP217" s="35"/>
      <c r="AQ217" s="35">
        <v>-48.15</v>
      </c>
      <c r="AR217" s="35">
        <v>1.2</v>
      </c>
    </row>
    <row r="218" spans="1:44" x14ac:dyDescent="0.25">
      <c r="A218" s="383">
        <v>5747</v>
      </c>
      <c r="B218" s="367" t="s">
        <v>274</v>
      </c>
      <c r="C218" s="35">
        <v>298152.3</v>
      </c>
      <c r="D218" s="35">
        <v>38581.239999999903</v>
      </c>
      <c r="E218" s="397"/>
      <c r="F218" s="368"/>
      <c r="G218" s="368">
        <v>5730.7</v>
      </c>
      <c r="H218" s="370">
        <v>351.3</v>
      </c>
      <c r="I218" s="368"/>
      <c r="J218" s="370">
        <v>4735.13</v>
      </c>
      <c r="K218" s="368"/>
      <c r="L218" s="370">
        <v>27078.2</v>
      </c>
      <c r="M218" s="371">
        <f t="shared" si="9"/>
        <v>374628.86999999994</v>
      </c>
      <c r="N218" s="35"/>
      <c r="O218" s="35"/>
      <c r="P218" s="35">
        <v>1011.2</v>
      </c>
      <c r="Q218" s="35"/>
      <c r="R218" s="35"/>
      <c r="S218" s="409"/>
      <c r="T218" s="35"/>
      <c r="U218" s="380">
        <v>480</v>
      </c>
      <c r="V218" s="35"/>
      <c r="W218" s="393"/>
      <c r="X218" s="372">
        <f t="shared" si="10"/>
        <v>376120.06999999995</v>
      </c>
      <c r="Y218" s="35"/>
      <c r="Z218" s="380">
        <v>15000</v>
      </c>
      <c r="AA218" s="35">
        <v>17599</v>
      </c>
      <c r="AB218" s="380"/>
      <c r="AC218" s="35">
        <v>16745.2</v>
      </c>
      <c r="AD218" s="380">
        <v>8400</v>
      </c>
      <c r="AE218" s="35"/>
      <c r="AF218" s="380"/>
      <c r="AG218" s="35"/>
      <c r="AH218" s="380"/>
      <c r="AI218" s="35"/>
      <c r="AJ218" s="380"/>
      <c r="AK218" s="35"/>
      <c r="AL218" s="403">
        <f t="shared" si="11"/>
        <v>57744.2</v>
      </c>
      <c r="AM218" s="18">
        <v>69</v>
      </c>
      <c r="AN218" s="33">
        <v>191</v>
      </c>
      <c r="AO218" s="393">
        <v>-1520.07</v>
      </c>
      <c r="AP218" s="35"/>
      <c r="AQ218" s="35">
        <v>-0.99</v>
      </c>
      <c r="AR218" s="35">
        <v>1</v>
      </c>
    </row>
    <row r="219" spans="1:44" x14ac:dyDescent="0.25">
      <c r="A219" s="383">
        <v>5748</v>
      </c>
      <c r="B219" s="367" t="s">
        <v>275</v>
      </c>
      <c r="C219" s="35">
        <v>459366.88</v>
      </c>
      <c r="D219" s="35">
        <v>42431.16</v>
      </c>
      <c r="E219" s="397"/>
      <c r="F219" s="368">
        <v>2170</v>
      </c>
      <c r="G219" s="368">
        <v>4764.75</v>
      </c>
      <c r="H219" s="370">
        <v>21.35</v>
      </c>
      <c r="I219" s="368"/>
      <c r="J219" s="370">
        <v>6129.57</v>
      </c>
      <c r="K219" s="368"/>
      <c r="L219" s="370">
        <v>21227</v>
      </c>
      <c r="M219" s="371">
        <f t="shared" si="9"/>
        <v>536110.71</v>
      </c>
      <c r="N219" s="35">
        <v>6433.6</v>
      </c>
      <c r="O219" s="35">
        <v>194005.8</v>
      </c>
      <c r="P219" s="35">
        <v>13265.75</v>
      </c>
      <c r="Q219" s="35">
        <v>8832.99</v>
      </c>
      <c r="R219" s="35">
        <v>6703.1</v>
      </c>
      <c r="S219" s="409"/>
      <c r="T219" s="35"/>
      <c r="U219" s="380">
        <v>1275</v>
      </c>
      <c r="V219" s="35"/>
      <c r="W219" s="393"/>
      <c r="X219" s="372">
        <f t="shared" si="10"/>
        <v>766626.94999999984</v>
      </c>
      <c r="Y219" s="35"/>
      <c r="Z219" s="380">
        <v>53.05</v>
      </c>
      <c r="AA219" s="35">
        <v>30714.2</v>
      </c>
      <c r="AB219" s="380"/>
      <c r="AC219" s="35">
        <v>19995.25</v>
      </c>
      <c r="AD219" s="380"/>
      <c r="AE219" s="35">
        <v>106.1</v>
      </c>
      <c r="AF219" s="380"/>
      <c r="AG219" s="35"/>
      <c r="AH219" s="380"/>
      <c r="AI219" s="35"/>
      <c r="AJ219" s="380"/>
      <c r="AK219" s="35"/>
      <c r="AL219" s="403">
        <f t="shared" si="11"/>
        <v>50868.6</v>
      </c>
      <c r="AM219" s="18">
        <v>72</v>
      </c>
      <c r="AN219" s="33">
        <v>262</v>
      </c>
      <c r="AO219" s="393">
        <v>-5621.77</v>
      </c>
      <c r="AP219" s="35"/>
      <c r="AQ219" s="35">
        <v>0</v>
      </c>
      <c r="AR219" s="35">
        <v>0.6</v>
      </c>
    </row>
    <row r="220" spans="1:44" x14ac:dyDescent="0.25">
      <c r="A220" s="383">
        <v>5749</v>
      </c>
      <c r="B220" s="367" t="s">
        <v>276</v>
      </c>
      <c r="C220" s="35">
        <v>7820310.54</v>
      </c>
      <c r="D220" s="35">
        <v>639483.01</v>
      </c>
      <c r="E220" s="397"/>
      <c r="F220" s="368"/>
      <c r="G220" s="368">
        <v>463164.65</v>
      </c>
      <c r="H220" s="368">
        <v>31642</v>
      </c>
      <c r="I220" s="368"/>
      <c r="J220" s="368">
        <v>239142.54</v>
      </c>
      <c r="K220" s="368">
        <v>48604.4</v>
      </c>
      <c r="L220" s="368">
        <v>736460.05</v>
      </c>
      <c r="M220" s="371">
        <f t="shared" si="9"/>
        <v>9978807.1900000013</v>
      </c>
      <c r="N220" s="35">
        <v>588022.9</v>
      </c>
      <c r="O220" s="35">
        <v>75299.600000000006</v>
      </c>
      <c r="P220" s="35">
        <v>270997.8</v>
      </c>
      <c r="Q220" s="35">
        <v>92601.24</v>
      </c>
      <c r="R220" s="35">
        <v>170064.8</v>
      </c>
      <c r="S220" s="409"/>
      <c r="T220" s="35">
        <v>11697.7</v>
      </c>
      <c r="U220" s="380">
        <v>28540</v>
      </c>
      <c r="V220" s="35"/>
      <c r="W220" s="393"/>
      <c r="X220" s="372">
        <f t="shared" si="10"/>
        <v>11216031.230000002</v>
      </c>
      <c r="Y220" s="35">
        <v>36418.949999999997</v>
      </c>
      <c r="Z220" s="380"/>
      <c r="AA220" s="35">
        <v>657311.6</v>
      </c>
      <c r="AB220" s="380"/>
      <c r="AC220" s="35">
        <v>534685.49</v>
      </c>
      <c r="AD220" s="380">
        <v>38395.1</v>
      </c>
      <c r="AE220" s="35"/>
      <c r="AF220" s="380"/>
      <c r="AG220" s="35"/>
      <c r="AH220" s="380">
        <v>172494.5</v>
      </c>
      <c r="AI220" s="35"/>
      <c r="AJ220" s="380"/>
      <c r="AK220" s="35"/>
      <c r="AL220" s="403">
        <f t="shared" si="11"/>
        <v>1439305.6400000001</v>
      </c>
      <c r="AM220" s="18">
        <v>72</v>
      </c>
      <c r="AN220" s="33">
        <v>4908</v>
      </c>
      <c r="AO220" s="393">
        <v>-231348.09</v>
      </c>
      <c r="AP220" s="35"/>
      <c r="AQ220" s="35">
        <v>-409.2</v>
      </c>
      <c r="AR220" s="35">
        <v>1</v>
      </c>
    </row>
    <row r="221" spans="1:44" x14ac:dyDescent="0.25">
      <c r="A221" s="383">
        <v>5750</v>
      </c>
      <c r="B221" s="367" t="s">
        <v>277</v>
      </c>
      <c r="C221" s="35">
        <v>342412.63</v>
      </c>
      <c r="D221" s="35">
        <v>41449.1</v>
      </c>
      <c r="E221" s="397"/>
      <c r="F221" s="368">
        <v>1020</v>
      </c>
      <c r="G221" s="368">
        <v>5877.5</v>
      </c>
      <c r="H221" s="370">
        <v>83.35</v>
      </c>
      <c r="I221" s="368"/>
      <c r="J221" s="370">
        <v>8539.44</v>
      </c>
      <c r="K221" s="368">
        <v>-1746.35</v>
      </c>
      <c r="L221" s="370">
        <v>12756.1</v>
      </c>
      <c r="M221" s="371">
        <f t="shared" si="9"/>
        <v>410391.76999999996</v>
      </c>
      <c r="N221" s="35">
        <v>6513.5</v>
      </c>
      <c r="O221" s="35">
        <v>14676</v>
      </c>
      <c r="P221" s="35">
        <v>3421</v>
      </c>
      <c r="Q221" s="35"/>
      <c r="R221" s="35">
        <v>-1263.55</v>
      </c>
      <c r="S221" s="409"/>
      <c r="T221" s="35"/>
      <c r="U221" s="380">
        <v>680</v>
      </c>
      <c r="V221" s="35"/>
      <c r="W221" s="393"/>
      <c r="X221" s="372">
        <f t="shared" si="10"/>
        <v>434418.72</v>
      </c>
      <c r="Y221" s="35">
        <v>369.9</v>
      </c>
      <c r="Z221" s="380"/>
      <c r="AA221" s="35">
        <v>34814</v>
      </c>
      <c r="AB221" s="380"/>
      <c r="AC221" s="35">
        <v>19400.89</v>
      </c>
      <c r="AD221" s="380"/>
      <c r="AE221" s="35"/>
      <c r="AF221" s="380"/>
      <c r="AG221" s="35">
        <v>108</v>
      </c>
      <c r="AH221" s="380">
        <v>4487.5</v>
      </c>
      <c r="AI221" s="35"/>
      <c r="AJ221" s="380"/>
      <c r="AK221" s="35"/>
      <c r="AL221" s="403">
        <f t="shared" si="11"/>
        <v>59180.29</v>
      </c>
      <c r="AM221" s="18">
        <v>80</v>
      </c>
      <c r="AN221" s="33">
        <v>181</v>
      </c>
      <c r="AO221" s="393">
        <v>-14695.31</v>
      </c>
      <c r="AP221" s="35"/>
      <c r="AQ221" s="35">
        <v>0</v>
      </c>
      <c r="AR221" s="35">
        <v>0.6</v>
      </c>
    </row>
    <row r="222" spans="1:44" x14ac:dyDescent="0.25">
      <c r="A222" s="383">
        <v>5752</v>
      </c>
      <c r="B222" s="367" t="s">
        <v>338</v>
      </c>
      <c r="C222" s="35">
        <v>605075.06999999995</v>
      </c>
      <c r="D222" s="35">
        <v>168875.51</v>
      </c>
      <c r="E222" s="397"/>
      <c r="F222" s="368"/>
      <c r="G222" s="368">
        <v>9737.0499999999993</v>
      </c>
      <c r="H222" s="370">
        <v>422.25</v>
      </c>
      <c r="I222" s="368"/>
      <c r="J222" s="370">
        <v>5187.34</v>
      </c>
      <c r="K222" s="368">
        <v>741.3</v>
      </c>
      <c r="L222" s="370">
        <v>32833.85</v>
      </c>
      <c r="M222" s="371">
        <f t="shared" si="9"/>
        <v>822872.37</v>
      </c>
      <c r="N222" s="35">
        <v>22087.200000000001</v>
      </c>
      <c r="O222" s="35">
        <v>78</v>
      </c>
      <c r="P222" s="35">
        <v>12005.6</v>
      </c>
      <c r="Q222" s="35">
        <v>178.93</v>
      </c>
      <c r="R222" s="35">
        <v>19877.150000000001</v>
      </c>
      <c r="S222" s="409"/>
      <c r="T222" s="35"/>
      <c r="U222" s="380">
        <v>2050</v>
      </c>
      <c r="V222" s="35"/>
      <c r="W222" s="393"/>
      <c r="X222" s="372">
        <f t="shared" si="10"/>
        <v>879149.25</v>
      </c>
      <c r="Y222" s="35">
        <v>8008</v>
      </c>
      <c r="Z222" s="380"/>
      <c r="AA222" s="35">
        <v>56500.4</v>
      </c>
      <c r="AB222" s="380"/>
      <c r="AC222" s="35">
        <v>26738.75</v>
      </c>
      <c r="AD222" s="380">
        <v>8008</v>
      </c>
      <c r="AE222" s="35"/>
      <c r="AF222" s="380"/>
      <c r="AG222" s="35"/>
      <c r="AH222" s="380"/>
      <c r="AI222" s="35"/>
      <c r="AJ222" s="380"/>
      <c r="AK222" s="35"/>
      <c r="AL222" s="403">
        <f t="shared" si="11"/>
        <v>99255.15</v>
      </c>
      <c r="AM222" s="18">
        <v>74</v>
      </c>
      <c r="AN222" s="33">
        <v>379</v>
      </c>
      <c r="AO222" s="393">
        <v>-5442.03</v>
      </c>
      <c r="AP222" s="35"/>
      <c r="AQ222" s="35">
        <v>-3732.15</v>
      </c>
      <c r="AR222" s="35">
        <v>0.7</v>
      </c>
    </row>
    <row r="223" spans="1:44" x14ac:dyDescent="0.25">
      <c r="A223" s="383">
        <v>5754</v>
      </c>
      <c r="B223" s="367" t="s">
        <v>339</v>
      </c>
      <c r="C223" s="35">
        <v>530954.32999999996</v>
      </c>
      <c r="D223" s="35">
        <v>55337.63</v>
      </c>
      <c r="E223" s="397"/>
      <c r="F223" s="368"/>
      <c r="G223" s="368">
        <v>1314.9</v>
      </c>
      <c r="H223" s="370">
        <v>495.15</v>
      </c>
      <c r="I223" s="368"/>
      <c r="J223" s="370">
        <v>17249.060000000001</v>
      </c>
      <c r="K223" s="368">
        <v>944</v>
      </c>
      <c r="L223" s="370">
        <v>35869</v>
      </c>
      <c r="M223" s="371">
        <f t="shared" si="9"/>
        <v>642164.07000000007</v>
      </c>
      <c r="N223" s="35">
        <v>294.89999999999998</v>
      </c>
      <c r="O223" s="35"/>
      <c r="P223" s="35">
        <v>5800.2</v>
      </c>
      <c r="Q223" s="35">
        <v>5926.89</v>
      </c>
      <c r="R223" s="35">
        <v>3130.55</v>
      </c>
      <c r="S223" s="409"/>
      <c r="T223" s="35"/>
      <c r="U223" s="380">
        <v>1440</v>
      </c>
      <c r="V223" s="35"/>
      <c r="W223" s="393"/>
      <c r="X223" s="372">
        <f t="shared" si="10"/>
        <v>658756.6100000001</v>
      </c>
      <c r="Y223" s="35">
        <v>11696</v>
      </c>
      <c r="Z223" s="380"/>
      <c r="AA223" s="35">
        <v>39712.5</v>
      </c>
      <c r="AB223" s="380"/>
      <c r="AC223" s="35">
        <v>19831.7</v>
      </c>
      <c r="AD223" s="380">
        <v>4340</v>
      </c>
      <c r="AE223" s="35"/>
      <c r="AF223" s="380"/>
      <c r="AG223" s="35"/>
      <c r="AH223" s="380">
        <v>7614.8</v>
      </c>
      <c r="AI223" s="35"/>
      <c r="AJ223" s="380"/>
      <c r="AK223" s="35"/>
      <c r="AL223" s="403">
        <f t="shared" si="11"/>
        <v>83195</v>
      </c>
      <c r="AM223" s="18">
        <v>79</v>
      </c>
      <c r="AN223" s="33">
        <v>309</v>
      </c>
      <c r="AO223" s="393">
        <v>-5263.61</v>
      </c>
      <c r="AP223" s="35"/>
      <c r="AQ223" s="35">
        <v>-16.989999999999998</v>
      </c>
      <c r="AR223" s="35">
        <v>1</v>
      </c>
    </row>
    <row r="224" spans="1:44" x14ac:dyDescent="0.25">
      <c r="A224" s="383">
        <v>5755</v>
      </c>
      <c r="B224" s="367" t="s">
        <v>340</v>
      </c>
      <c r="C224" s="35">
        <v>636292.76</v>
      </c>
      <c r="D224" s="35">
        <v>52737.89</v>
      </c>
      <c r="E224" s="397"/>
      <c r="F224" s="368"/>
      <c r="G224" s="368">
        <v>20042.45</v>
      </c>
      <c r="H224" s="370">
        <v>187.45</v>
      </c>
      <c r="I224" s="368"/>
      <c r="J224" s="370">
        <v>19604.66</v>
      </c>
      <c r="K224" s="368">
        <v>3152.6</v>
      </c>
      <c r="L224" s="370">
        <v>39366.35</v>
      </c>
      <c r="M224" s="371">
        <f t="shared" si="9"/>
        <v>771384.15999999992</v>
      </c>
      <c r="N224" s="35">
        <v>17491.8</v>
      </c>
      <c r="O224" s="35"/>
      <c r="P224" s="35">
        <v>17655.150000000001</v>
      </c>
      <c r="Q224" s="35">
        <v>18120.939999999999</v>
      </c>
      <c r="R224" s="35">
        <v>18617.650000000001</v>
      </c>
      <c r="S224" s="409"/>
      <c r="T224" s="35"/>
      <c r="U224" s="380">
        <v>2450</v>
      </c>
      <c r="V224" s="35"/>
      <c r="W224" s="393"/>
      <c r="X224" s="372">
        <f t="shared" si="10"/>
        <v>845719.7</v>
      </c>
      <c r="Y224" s="35">
        <v>3600</v>
      </c>
      <c r="Z224" s="380"/>
      <c r="AA224" s="35">
        <v>58762.65</v>
      </c>
      <c r="AB224" s="380"/>
      <c r="AC224" s="35">
        <v>49789.4</v>
      </c>
      <c r="AD224" s="380">
        <v>3600</v>
      </c>
      <c r="AE224" s="35"/>
      <c r="AF224" s="380"/>
      <c r="AG224" s="35"/>
      <c r="AH224" s="380"/>
      <c r="AI224" s="35"/>
      <c r="AJ224" s="380"/>
      <c r="AK224" s="35"/>
      <c r="AL224" s="403">
        <f t="shared" si="11"/>
        <v>115752.05</v>
      </c>
      <c r="AM224" s="18">
        <v>80</v>
      </c>
      <c r="AN224" s="33">
        <v>417</v>
      </c>
      <c r="AO224" s="393">
        <v>-53367.34</v>
      </c>
      <c r="AP224" s="35"/>
      <c r="AQ224" s="35">
        <v>-8.76</v>
      </c>
      <c r="AR224" s="35">
        <v>0.7</v>
      </c>
    </row>
    <row r="225" spans="1:44" x14ac:dyDescent="0.25">
      <c r="A225" s="383">
        <v>5756</v>
      </c>
      <c r="B225" s="367" t="s">
        <v>341</v>
      </c>
      <c r="C225" s="35">
        <v>1041931.16</v>
      </c>
      <c r="D225" s="35">
        <v>163273.4</v>
      </c>
      <c r="E225" s="397"/>
      <c r="F225" s="368"/>
      <c r="G225" s="368">
        <v>63655.65</v>
      </c>
      <c r="H225" s="370">
        <v>989.8</v>
      </c>
      <c r="I225" s="368"/>
      <c r="J225" s="370">
        <v>12464.53</v>
      </c>
      <c r="K225" s="368">
        <v>61.5</v>
      </c>
      <c r="L225" s="370">
        <v>81036.7</v>
      </c>
      <c r="M225" s="371">
        <f t="shared" si="9"/>
        <v>1363412.74</v>
      </c>
      <c r="N225" s="35">
        <v>26068.7</v>
      </c>
      <c r="O225" s="35"/>
      <c r="P225" s="35">
        <v>16866.099999999999</v>
      </c>
      <c r="Q225" s="35"/>
      <c r="R225" s="35">
        <v>15466.1</v>
      </c>
      <c r="S225" s="409"/>
      <c r="T225" s="35">
        <v>500</v>
      </c>
      <c r="U225" s="380">
        <v>2805</v>
      </c>
      <c r="V225" s="35"/>
      <c r="W225" s="393"/>
      <c r="X225" s="372">
        <f t="shared" si="10"/>
        <v>1425118.6400000001</v>
      </c>
      <c r="Y225" s="35">
        <v>4320.3999999999996</v>
      </c>
      <c r="Z225" s="380"/>
      <c r="AA225" s="35">
        <v>55062.6</v>
      </c>
      <c r="AB225" s="380"/>
      <c r="AC225" s="35">
        <v>28429.5</v>
      </c>
      <c r="AD225" s="380">
        <v>3610.1</v>
      </c>
      <c r="AE225" s="35"/>
      <c r="AF225" s="380"/>
      <c r="AG225" s="35"/>
      <c r="AH225" s="380">
        <v>11357.55</v>
      </c>
      <c r="AI225" s="35"/>
      <c r="AJ225" s="380"/>
      <c r="AK225" s="35"/>
      <c r="AL225" s="403">
        <f t="shared" si="11"/>
        <v>102780.15000000001</v>
      </c>
      <c r="AM225" s="18">
        <v>72</v>
      </c>
      <c r="AN225" s="33">
        <v>482</v>
      </c>
      <c r="AO225" s="393">
        <v>-15207.37</v>
      </c>
      <c r="AP225" s="35"/>
      <c r="AQ225" s="35">
        <v>-254.03</v>
      </c>
      <c r="AR225" s="35">
        <v>1</v>
      </c>
    </row>
    <row r="226" spans="1:44" x14ac:dyDescent="0.25">
      <c r="A226" s="383">
        <v>5757</v>
      </c>
      <c r="B226" s="367" t="s">
        <v>342</v>
      </c>
      <c r="C226" s="35">
        <v>11200166.09</v>
      </c>
      <c r="D226" s="35">
        <v>967024.19000000099</v>
      </c>
      <c r="E226" s="397"/>
      <c r="F226" s="368"/>
      <c r="G226" s="368">
        <v>2209692.25</v>
      </c>
      <c r="H226" s="370">
        <v>22770.55</v>
      </c>
      <c r="I226" s="368"/>
      <c r="J226" s="370">
        <v>474951.93</v>
      </c>
      <c r="K226" s="368">
        <v>71774.399999999994</v>
      </c>
      <c r="L226" s="370">
        <v>1211935.6000000001</v>
      </c>
      <c r="M226" s="371">
        <f t="shared" si="9"/>
        <v>16158315.010000002</v>
      </c>
      <c r="N226" s="35">
        <v>2511647.6</v>
      </c>
      <c r="O226" s="35">
        <v>13397.3</v>
      </c>
      <c r="P226" s="35">
        <v>494441.85</v>
      </c>
      <c r="Q226" s="35">
        <v>79099.490000000005</v>
      </c>
      <c r="R226" s="35">
        <v>442812.05</v>
      </c>
      <c r="S226" s="409">
        <v>43370.54</v>
      </c>
      <c r="T226" s="35"/>
      <c r="U226" s="380">
        <v>39960</v>
      </c>
      <c r="V226" s="35">
        <v>744</v>
      </c>
      <c r="W226" s="393"/>
      <c r="X226" s="372">
        <f t="shared" si="10"/>
        <v>19783787.840000004</v>
      </c>
      <c r="Y226" s="35">
        <v>73550</v>
      </c>
      <c r="Z226" s="380"/>
      <c r="AA226" s="35">
        <v>1160217.3</v>
      </c>
      <c r="AB226" s="380"/>
      <c r="AC226" s="35">
        <v>940209.29</v>
      </c>
      <c r="AD226" s="380">
        <v>24376.799999999999</v>
      </c>
      <c r="AE226" s="35"/>
      <c r="AF226" s="380"/>
      <c r="AG226" s="35">
        <v>14925.6</v>
      </c>
      <c r="AH226" s="380"/>
      <c r="AI226" s="35">
        <v>127547.8</v>
      </c>
      <c r="AJ226" s="380">
        <v>127547.8</v>
      </c>
      <c r="AK226" s="35"/>
      <c r="AL226" s="403">
        <f t="shared" si="11"/>
        <v>2468374.5899999994</v>
      </c>
      <c r="AM226" s="18">
        <v>77</v>
      </c>
      <c r="AN226" s="33">
        <v>6985</v>
      </c>
      <c r="AO226" s="393">
        <v>-356228.78</v>
      </c>
      <c r="AP226" s="35"/>
      <c r="AQ226" s="35">
        <v>-22809.19</v>
      </c>
      <c r="AR226" s="35">
        <v>1</v>
      </c>
    </row>
    <row r="227" spans="1:44" x14ac:dyDescent="0.25">
      <c r="A227" s="383">
        <v>5758</v>
      </c>
      <c r="B227" s="367" t="s">
        <v>222</v>
      </c>
      <c r="C227" s="35">
        <v>223302.45</v>
      </c>
      <c r="D227" s="35">
        <v>20798.36</v>
      </c>
      <c r="E227" s="397"/>
      <c r="F227" s="368">
        <v>940</v>
      </c>
      <c r="G227" s="368">
        <v>3718.5</v>
      </c>
      <c r="H227" s="370">
        <v>490.85</v>
      </c>
      <c r="I227" s="368"/>
      <c r="J227" s="370">
        <v>846.63</v>
      </c>
      <c r="K227" s="368"/>
      <c r="L227" s="370">
        <v>20189.55</v>
      </c>
      <c r="M227" s="371">
        <f t="shared" si="9"/>
        <v>270286.34000000003</v>
      </c>
      <c r="N227" s="35"/>
      <c r="O227" s="35">
        <v>23869.7</v>
      </c>
      <c r="P227" s="35">
        <v>20757</v>
      </c>
      <c r="Q227" s="35"/>
      <c r="R227" s="35">
        <v>8141.1</v>
      </c>
      <c r="S227" s="409"/>
      <c r="T227" s="35"/>
      <c r="U227" s="380">
        <v>780</v>
      </c>
      <c r="V227" s="35"/>
      <c r="W227" s="393"/>
      <c r="X227" s="372">
        <f t="shared" si="10"/>
        <v>323834.14</v>
      </c>
      <c r="Y227" s="35">
        <v>8581.75</v>
      </c>
      <c r="Z227" s="380"/>
      <c r="AA227" s="35">
        <v>26406.95</v>
      </c>
      <c r="AB227" s="380"/>
      <c r="AC227" s="35">
        <v>12115.85</v>
      </c>
      <c r="AD227" s="380">
        <v>9000</v>
      </c>
      <c r="AE227" s="35"/>
      <c r="AF227" s="380"/>
      <c r="AG227" s="35"/>
      <c r="AH227" s="380">
        <v>2100</v>
      </c>
      <c r="AI227" s="35"/>
      <c r="AJ227" s="380"/>
      <c r="AK227" s="35"/>
      <c r="AL227" s="403">
        <f t="shared" si="11"/>
        <v>58204.549999999996</v>
      </c>
      <c r="AM227" s="18">
        <v>83</v>
      </c>
      <c r="AN227" s="33">
        <v>160</v>
      </c>
      <c r="AO227" s="393">
        <v>-4425.82</v>
      </c>
      <c r="AP227" s="35"/>
      <c r="AQ227" s="35">
        <v>0</v>
      </c>
      <c r="AR227" s="35">
        <v>0.9</v>
      </c>
    </row>
    <row r="228" spans="1:44" x14ac:dyDescent="0.25">
      <c r="A228" s="383">
        <v>5759</v>
      </c>
      <c r="B228" s="367" t="s">
        <v>223</v>
      </c>
      <c r="C228" s="35">
        <v>321885.46999999997</v>
      </c>
      <c r="D228" s="35">
        <v>43740.82</v>
      </c>
      <c r="E228" s="397"/>
      <c r="F228" s="368"/>
      <c r="G228" s="368">
        <v>1096.5999999999999</v>
      </c>
      <c r="H228" s="370">
        <v>58.2</v>
      </c>
      <c r="I228" s="368"/>
      <c r="J228" s="370">
        <v>2377.8200000000002</v>
      </c>
      <c r="K228" s="368">
        <v>242.95</v>
      </c>
      <c r="L228" s="370">
        <v>25806.7</v>
      </c>
      <c r="M228" s="371">
        <f t="shared" si="9"/>
        <v>395208.56</v>
      </c>
      <c r="N228" s="35">
        <v>1371.65</v>
      </c>
      <c r="O228" s="35"/>
      <c r="P228" s="35">
        <v>15840</v>
      </c>
      <c r="Q228" s="35"/>
      <c r="R228" s="35">
        <v>22357.9</v>
      </c>
      <c r="S228" s="409"/>
      <c r="T228" s="35"/>
      <c r="U228" s="380">
        <v>1225</v>
      </c>
      <c r="V228" s="35"/>
      <c r="W228" s="393"/>
      <c r="X228" s="372">
        <f t="shared" si="10"/>
        <v>436003.11000000004</v>
      </c>
      <c r="Y228" s="35"/>
      <c r="Z228" s="380"/>
      <c r="AA228" s="35">
        <v>25852.55</v>
      </c>
      <c r="AB228" s="380"/>
      <c r="AC228" s="35">
        <v>17660.3</v>
      </c>
      <c r="AD228" s="380"/>
      <c r="AE228" s="35"/>
      <c r="AF228" s="380"/>
      <c r="AG228" s="35"/>
      <c r="AH228" s="380"/>
      <c r="AI228" s="35"/>
      <c r="AJ228" s="380"/>
      <c r="AK228" s="35"/>
      <c r="AL228" s="403">
        <f t="shared" si="11"/>
        <v>43512.85</v>
      </c>
      <c r="AM228" s="18">
        <v>81</v>
      </c>
      <c r="AN228" s="33">
        <v>210</v>
      </c>
      <c r="AO228" s="393">
        <v>-11828.77</v>
      </c>
      <c r="AP228" s="35"/>
      <c r="AQ228" s="35">
        <v>-30.22</v>
      </c>
      <c r="AR228" s="35">
        <v>1</v>
      </c>
    </row>
    <row r="229" spans="1:44" x14ac:dyDescent="0.25">
      <c r="A229" s="383">
        <v>5760</v>
      </c>
      <c r="B229" s="367" t="s">
        <v>224</v>
      </c>
      <c r="C229" s="35">
        <v>719833.4</v>
      </c>
      <c r="D229" s="35">
        <v>63020.09</v>
      </c>
      <c r="E229" s="397"/>
      <c r="F229" s="368">
        <v>2310</v>
      </c>
      <c r="G229" s="368">
        <v>10524.3</v>
      </c>
      <c r="H229" s="370">
        <v>787.9</v>
      </c>
      <c r="I229" s="368"/>
      <c r="J229" s="370">
        <v>172.7</v>
      </c>
      <c r="K229" s="368"/>
      <c r="L229" s="370">
        <v>96190.65</v>
      </c>
      <c r="M229" s="371">
        <f t="shared" si="9"/>
        <v>892839.04</v>
      </c>
      <c r="N229" s="35">
        <v>13876.8</v>
      </c>
      <c r="O229" s="35"/>
      <c r="P229" s="35">
        <v>15840</v>
      </c>
      <c r="Q229" s="35">
        <v>577.46</v>
      </c>
      <c r="R229" s="35">
        <v>22330.2</v>
      </c>
      <c r="S229" s="409"/>
      <c r="T229" s="35">
        <v>772.25</v>
      </c>
      <c r="U229" s="380">
        <v>2940</v>
      </c>
      <c r="V229" s="35"/>
      <c r="W229" s="393"/>
      <c r="X229" s="372">
        <f t="shared" si="10"/>
        <v>949175.75</v>
      </c>
      <c r="Y229" s="35"/>
      <c r="Z229" s="380">
        <v>415.9</v>
      </c>
      <c r="AA229" s="35">
        <v>45349.35</v>
      </c>
      <c r="AB229" s="380">
        <v>64911.95</v>
      </c>
      <c r="AC229" s="35">
        <v>27270.85</v>
      </c>
      <c r="AD229" s="380"/>
      <c r="AE229" s="35"/>
      <c r="AF229" s="380"/>
      <c r="AG229" s="35"/>
      <c r="AH229" s="380"/>
      <c r="AI229" s="35"/>
      <c r="AJ229" s="380"/>
      <c r="AK229" s="35"/>
      <c r="AL229" s="403">
        <f t="shared" si="11"/>
        <v>137948.04999999999</v>
      </c>
      <c r="AM229" s="18">
        <v>78</v>
      </c>
      <c r="AN229" s="33">
        <v>485</v>
      </c>
      <c r="AO229" s="393">
        <v>-44141.71</v>
      </c>
      <c r="AP229" s="35"/>
      <c r="AQ229" s="35">
        <v>-637.04</v>
      </c>
      <c r="AR229" s="35">
        <v>1.5</v>
      </c>
    </row>
    <row r="230" spans="1:44" x14ac:dyDescent="0.25">
      <c r="A230" s="383">
        <v>5761</v>
      </c>
      <c r="B230" s="367" t="s">
        <v>140</v>
      </c>
      <c r="C230" s="35">
        <v>847725.31</v>
      </c>
      <c r="D230" s="35">
        <v>105781.02</v>
      </c>
      <c r="E230" s="397"/>
      <c r="F230" s="368"/>
      <c r="G230" s="368">
        <v>15079.25</v>
      </c>
      <c r="H230" s="370">
        <v>308.25</v>
      </c>
      <c r="I230" s="368"/>
      <c r="J230" s="370">
        <v>6284.36</v>
      </c>
      <c r="K230" s="368">
        <v>3477.55</v>
      </c>
      <c r="L230" s="370">
        <v>83424.45</v>
      </c>
      <c r="M230" s="371">
        <f t="shared" si="9"/>
        <v>1062080.1900000002</v>
      </c>
      <c r="N230" s="35">
        <v>49055</v>
      </c>
      <c r="O230" s="35">
        <v>15866.2</v>
      </c>
      <c r="P230" s="35">
        <v>50973.75</v>
      </c>
      <c r="Q230" s="35">
        <v>1745.7</v>
      </c>
      <c r="R230" s="35">
        <v>20098.8</v>
      </c>
      <c r="S230" s="409">
        <v>502.45</v>
      </c>
      <c r="T230" s="35"/>
      <c r="U230" s="380">
        <v>3312</v>
      </c>
      <c r="V230" s="35">
        <v>704.3</v>
      </c>
      <c r="W230" s="393"/>
      <c r="X230" s="372">
        <f t="shared" si="10"/>
        <v>1204338.3900000001</v>
      </c>
      <c r="Y230" s="35">
        <v>5126</v>
      </c>
      <c r="Z230" s="380"/>
      <c r="AA230" s="35">
        <v>91525.85</v>
      </c>
      <c r="AB230" s="380"/>
      <c r="AC230" s="35">
        <v>53065.85</v>
      </c>
      <c r="AD230" s="380">
        <v>1864</v>
      </c>
      <c r="AE230" s="35"/>
      <c r="AF230" s="380"/>
      <c r="AG230" s="35"/>
      <c r="AH230" s="380">
        <v>17242.2</v>
      </c>
      <c r="AI230" s="35"/>
      <c r="AJ230" s="380"/>
      <c r="AK230" s="35"/>
      <c r="AL230" s="403">
        <f t="shared" si="11"/>
        <v>168823.90000000002</v>
      </c>
      <c r="AM230" s="18">
        <v>81</v>
      </c>
      <c r="AN230" s="33">
        <v>551</v>
      </c>
      <c r="AO230" s="393">
        <v>-11989.97</v>
      </c>
      <c r="AP230" s="35"/>
      <c r="AQ230" s="35">
        <v>-0.01</v>
      </c>
      <c r="AR230" s="35">
        <v>1.1000000000000001</v>
      </c>
    </row>
    <row r="231" spans="1:44" x14ac:dyDescent="0.25">
      <c r="A231" s="383">
        <v>5762</v>
      </c>
      <c r="B231" s="367" t="s">
        <v>141</v>
      </c>
      <c r="C231" s="35">
        <v>265214.59000000003</v>
      </c>
      <c r="D231" s="35">
        <v>24928.63</v>
      </c>
      <c r="E231" s="397"/>
      <c r="F231" s="368"/>
      <c r="G231" s="368">
        <v>13183.5</v>
      </c>
      <c r="H231" s="370">
        <v>76.3</v>
      </c>
      <c r="I231" s="368"/>
      <c r="J231" s="370">
        <v>-3687.24</v>
      </c>
      <c r="K231" s="368"/>
      <c r="L231" s="370">
        <v>18643.2</v>
      </c>
      <c r="M231" s="371">
        <f t="shared" si="9"/>
        <v>318358.98000000004</v>
      </c>
      <c r="N231" s="35">
        <v>9127.7000000000007</v>
      </c>
      <c r="O231" s="35">
        <v>922.5</v>
      </c>
      <c r="P231" s="35"/>
      <c r="Q231" s="35"/>
      <c r="R231" s="35"/>
      <c r="S231" s="409"/>
      <c r="T231" s="35"/>
      <c r="U231" s="380">
        <v>900</v>
      </c>
      <c r="V231" s="35"/>
      <c r="W231" s="393"/>
      <c r="X231" s="372">
        <f t="shared" si="10"/>
        <v>329309.18000000005</v>
      </c>
      <c r="Y231" s="35"/>
      <c r="Z231" s="380"/>
      <c r="AA231" s="35">
        <v>5512.8</v>
      </c>
      <c r="AB231" s="380"/>
      <c r="AC231" s="35">
        <v>12022.35</v>
      </c>
      <c r="AD231" s="380"/>
      <c r="AE231" s="35"/>
      <c r="AF231" s="380"/>
      <c r="AG231" s="35"/>
      <c r="AH231" s="380"/>
      <c r="AI231" s="35"/>
      <c r="AJ231" s="380"/>
      <c r="AK231" s="35"/>
      <c r="AL231" s="403">
        <f t="shared" si="11"/>
        <v>17535.150000000001</v>
      </c>
      <c r="AM231" s="18">
        <v>78</v>
      </c>
      <c r="AN231" s="33">
        <v>137</v>
      </c>
      <c r="AO231" s="393">
        <v>-3249.89</v>
      </c>
      <c r="AP231" s="35"/>
      <c r="AQ231" s="35">
        <v>0</v>
      </c>
      <c r="AR231" s="35">
        <v>1</v>
      </c>
    </row>
    <row r="232" spans="1:44" x14ac:dyDescent="0.25">
      <c r="A232" s="383">
        <v>5763</v>
      </c>
      <c r="B232" s="367" t="s">
        <v>142</v>
      </c>
      <c r="C232" s="35">
        <v>1057527.82</v>
      </c>
      <c r="D232" s="35">
        <v>142778.92000000001</v>
      </c>
      <c r="E232" s="397"/>
      <c r="F232" s="368">
        <v>3420</v>
      </c>
      <c r="G232" s="368">
        <v>-2899.1</v>
      </c>
      <c r="H232" s="370">
        <v>285</v>
      </c>
      <c r="I232" s="368"/>
      <c r="J232" s="370">
        <v>20690.38</v>
      </c>
      <c r="K232" s="368">
        <v>3484.35</v>
      </c>
      <c r="L232" s="370">
        <v>82484.2</v>
      </c>
      <c r="M232" s="371">
        <f t="shared" si="9"/>
        <v>1307771.5699999998</v>
      </c>
      <c r="N232" s="35">
        <v>64422.35</v>
      </c>
      <c r="O232" s="35"/>
      <c r="P232" s="35">
        <v>20077.75</v>
      </c>
      <c r="Q232" s="35">
        <v>1462.6</v>
      </c>
      <c r="R232" s="35">
        <v>18042.099999999999</v>
      </c>
      <c r="S232" s="409"/>
      <c r="T232" s="35">
        <v>1579.9</v>
      </c>
      <c r="U232" s="380">
        <v>4250</v>
      </c>
      <c r="V232" s="35"/>
      <c r="W232" s="393"/>
      <c r="X232" s="372">
        <f t="shared" si="10"/>
        <v>1417606.27</v>
      </c>
      <c r="Y232" s="35">
        <v>5833.2</v>
      </c>
      <c r="Z232" s="380"/>
      <c r="AA232" s="35">
        <v>94503.2</v>
      </c>
      <c r="AB232" s="380"/>
      <c r="AC232" s="35">
        <v>54803.05</v>
      </c>
      <c r="AD232" s="380">
        <v>6560.6</v>
      </c>
      <c r="AE232" s="35"/>
      <c r="AF232" s="380"/>
      <c r="AG232" s="35"/>
      <c r="AH232" s="380"/>
      <c r="AI232" s="35"/>
      <c r="AJ232" s="380"/>
      <c r="AK232" s="35"/>
      <c r="AL232" s="403">
        <f t="shared" si="11"/>
        <v>161700.05000000002</v>
      </c>
      <c r="AM232" s="18">
        <v>65</v>
      </c>
      <c r="AN232" s="33">
        <v>631</v>
      </c>
      <c r="AO232" s="393">
        <v>-5783.68</v>
      </c>
      <c r="AP232" s="35"/>
      <c r="AQ232" s="35">
        <v>-99.31</v>
      </c>
      <c r="AR232" s="35">
        <v>1</v>
      </c>
    </row>
    <row r="233" spans="1:44" x14ac:dyDescent="0.25">
      <c r="A233" s="383">
        <v>5764</v>
      </c>
      <c r="B233" s="367" t="s">
        <v>343</v>
      </c>
      <c r="C233" s="35">
        <v>4671044.29</v>
      </c>
      <c r="D233" s="35">
        <v>379655.13</v>
      </c>
      <c r="E233" s="397"/>
      <c r="F233" s="368"/>
      <c r="G233" s="368">
        <v>498485.6</v>
      </c>
      <c r="H233" s="370">
        <v>29706.45</v>
      </c>
      <c r="I233" s="368"/>
      <c r="J233" s="370">
        <v>253550.03</v>
      </c>
      <c r="K233" s="368">
        <v>16142.75</v>
      </c>
      <c r="L233" s="370">
        <v>412807.6</v>
      </c>
      <c r="M233" s="371">
        <f t="shared" si="9"/>
        <v>6261391.8499999996</v>
      </c>
      <c r="N233" s="35">
        <v>2031379.6</v>
      </c>
      <c r="O233" s="35">
        <v>22688.799999999999</v>
      </c>
      <c r="P233" s="35">
        <v>230419.3</v>
      </c>
      <c r="Q233" s="35">
        <v>29098.83</v>
      </c>
      <c r="R233" s="35">
        <v>90429</v>
      </c>
      <c r="S233" s="409">
        <v>350</v>
      </c>
      <c r="T233" s="35">
        <v>8024.2</v>
      </c>
      <c r="U233" s="380">
        <v>21262.5</v>
      </c>
      <c r="V233" s="35">
        <v>50288.6</v>
      </c>
      <c r="W233" s="393"/>
      <c r="X233" s="372">
        <f t="shared" si="10"/>
        <v>8745332.6799999978</v>
      </c>
      <c r="Y233" s="35">
        <v>53983.7</v>
      </c>
      <c r="Z233" s="380">
        <v>4300</v>
      </c>
      <c r="AA233" s="35">
        <v>527235.71</v>
      </c>
      <c r="AB233" s="380"/>
      <c r="AC233" s="35">
        <v>547957.72</v>
      </c>
      <c r="AD233" s="380">
        <v>17196.3</v>
      </c>
      <c r="AE233" s="35">
        <v>7279.65</v>
      </c>
      <c r="AF233" s="380"/>
      <c r="AG233" s="35">
        <v>6736.2</v>
      </c>
      <c r="AH233" s="380">
        <v>196439.25</v>
      </c>
      <c r="AI233" s="35"/>
      <c r="AJ233" s="380"/>
      <c r="AK233" s="35"/>
      <c r="AL233" s="403">
        <f t="shared" si="11"/>
        <v>1361128.5299999998</v>
      </c>
      <c r="AM233" s="18">
        <v>73</v>
      </c>
      <c r="AN233" s="33">
        <v>3851</v>
      </c>
      <c r="AO233" s="393">
        <v>-204440.24</v>
      </c>
      <c r="AP233" s="35"/>
      <c r="AQ233" s="35">
        <v>-312.85000000000002</v>
      </c>
      <c r="AR233" s="35">
        <v>1</v>
      </c>
    </row>
    <row r="234" spans="1:44" x14ac:dyDescent="0.25">
      <c r="A234" s="383">
        <v>5765</v>
      </c>
      <c r="B234" s="367" t="s">
        <v>344</v>
      </c>
      <c r="C234" s="35">
        <v>631028.18000000005</v>
      </c>
      <c r="D234" s="35">
        <v>82212.62</v>
      </c>
      <c r="E234" s="397"/>
      <c r="F234" s="368"/>
      <c r="G234" s="368">
        <v>6882.25</v>
      </c>
      <c r="H234" s="370">
        <v>440.2</v>
      </c>
      <c r="I234" s="368"/>
      <c r="J234" s="370">
        <v>13489.22</v>
      </c>
      <c r="K234" s="368"/>
      <c r="L234" s="370">
        <v>28566.799999999999</v>
      </c>
      <c r="M234" s="371">
        <f t="shared" si="9"/>
        <v>762619.27</v>
      </c>
      <c r="N234" s="35">
        <v>40966.35</v>
      </c>
      <c r="O234" s="35">
        <v>848.7</v>
      </c>
      <c r="P234" s="35">
        <v>14927.35</v>
      </c>
      <c r="Q234" s="35">
        <v>2219.75</v>
      </c>
      <c r="R234" s="35">
        <v>7700</v>
      </c>
      <c r="S234" s="409"/>
      <c r="T234" s="35">
        <v>1142</v>
      </c>
      <c r="U234" s="380">
        <v>3840</v>
      </c>
      <c r="V234" s="35">
        <v>157</v>
      </c>
      <c r="W234" s="393"/>
      <c r="X234" s="372">
        <f t="shared" si="10"/>
        <v>834420.41999999993</v>
      </c>
      <c r="Y234" s="35"/>
      <c r="Z234" s="380">
        <v>3000.8</v>
      </c>
      <c r="AA234" s="35">
        <v>123832.6</v>
      </c>
      <c r="AB234" s="380"/>
      <c r="AC234" s="35">
        <v>64196.3</v>
      </c>
      <c r="AD234" s="380"/>
      <c r="AE234" s="35">
        <v>1500.35</v>
      </c>
      <c r="AF234" s="380"/>
      <c r="AG234" s="35"/>
      <c r="AH234" s="380"/>
      <c r="AI234" s="35"/>
      <c r="AJ234" s="380"/>
      <c r="AK234" s="35"/>
      <c r="AL234" s="403">
        <f t="shared" si="11"/>
        <v>192530.05000000002</v>
      </c>
      <c r="AM234" s="18">
        <v>81</v>
      </c>
      <c r="AN234" s="33">
        <v>482</v>
      </c>
      <c r="AO234" s="393">
        <v>-16805.04</v>
      </c>
      <c r="AP234" s="35"/>
      <c r="AQ234" s="35">
        <v>-0.05</v>
      </c>
      <c r="AR234" s="35">
        <v>0.5</v>
      </c>
    </row>
    <row r="235" spans="1:44" x14ac:dyDescent="0.25">
      <c r="A235" s="383">
        <v>5766</v>
      </c>
      <c r="B235" s="367" t="s">
        <v>345</v>
      </c>
      <c r="C235" s="35">
        <v>757023.26</v>
      </c>
      <c r="D235" s="35">
        <v>140934.99</v>
      </c>
      <c r="E235" s="397"/>
      <c r="F235" s="368"/>
      <c r="G235" s="368">
        <v>28012.2</v>
      </c>
      <c r="H235" s="370">
        <v>191.8</v>
      </c>
      <c r="I235" s="368"/>
      <c r="J235" s="370">
        <v>19724.080000000002</v>
      </c>
      <c r="K235" s="368">
        <v>3610.65</v>
      </c>
      <c r="L235" s="370">
        <v>49738.85</v>
      </c>
      <c r="M235" s="371">
        <f t="shared" si="9"/>
        <v>999235.83</v>
      </c>
      <c r="N235" s="35">
        <v>19131.75</v>
      </c>
      <c r="O235" s="35"/>
      <c r="P235" s="35">
        <v>23797.4</v>
      </c>
      <c r="Q235" s="35">
        <v>5264.03</v>
      </c>
      <c r="R235" s="35">
        <v>56136.95</v>
      </c>
      <c r="S235" s="409"/>
      <c r="T235" s="35"/>
      <c r="U235" s="380">
        <v>2000</v>
      </c>
      <c r="V235" s="35"/>
      <c r="W235" s="393"/>
      <c r="X235" s="372">
        <f t="shared" si="10"/>
        <v>1105565.96</v>
      </c>
      <c r="Y235" s="35"/>
      <c r="Z235" s="380"/>
      <c r="AA235" s="35">
        <v>51339.4</v>
      </c>
      <c r="AB235" s="380"/>
      <c r="AC235" s="35">
        <v>36521.300000000003</v>
      </c>
      <c r="AD235" s="380"/>
      <c r="AE235" s="35"/>
      <c r="AF235" s="380"/>
      <c r="AG235" s="35"/>
      <c r="AH235" s="380">
        <v>15839.95</v>
      </c>
      <c r="AI235" s="35"/>
      <c r="AJ235" s="380"/>
      <c r="AK235" s="35"/>
      <c r="AL235" s="403">
        <f t="shared" si="11"/>
        <v>103700.65000000001</v>
      </c>
      <c r="AM235" s="18">
        <v>77</v>
      </c>
      <c r="AN235" s="33">
        <v>574</v>
      </c>
      <c r="AO235" s="393">
        <v>-20970.79</v>
      </c>
      <c r="AP235" s="35"/>
      <c r="AQ235" s="35">
        <v>-30.57</v>
      </c>
      <c r="AR235" s="35">
        <v>0.7</v>
      </c>
    </row>
    <row r="236" spans="1:44" x14ac:dyDescent="0.25">
      <c r="A236" s="383">
        <v>5785</v>
      </c>
      <c r="B236" s="367" t="s">
        <v>284</v>
      </c>
      <c r="C236" s="35">
        <v>889206.62</v>
      </c>
      <c r="D236" s="35">
        <v>223215.27</v>
      </c>
      <c r="E236" s="397"/>
      <c r="F236" s="368"/>
      <c r="G236" s="368">
        <v>-20645.349999999999</v>
      </c>
      <c r="H236" s="370">
        <v>373.95</v>
      </c>
      <c r="I236" s="368"/>
      <c r="J236" s="370">
        <v>16310.88</v>
      </c>
      <c r="K236" s="368">
        <v>845.6</v>
      </c>
      <c r="L236" s="370">
        <v>66389</v>
      </c>
      <c r="M236" s="371">
        <f t="shared" si="9"/>
        <v>1175695.9699999997</v>
      </c>
      <c r="N236" s="35"/>
      <c r="O236" s="35">
        <v>645.4</v>
      </c>
      <c r="P236" s="35">
        <v>47043.7</v>
      </c>
      <c r="Q236" s="35"/>
      <c r="R236" s="35">
        <v>23683.35</v>
      </c>
      <c r="S236" s="409"/>
      <c r="T236" s="35">
        <v>30</v>
      </c>
      <c r="U236" s="380">
        <v>2740</v>
      </c>
      <c r="V236" s="35"/>
      <c r="W236" s="393"/>
      <c r="X236" s="372">
        <f t="shared" si="10"/>
        <v>1249838.4199999997</v>
      </c>
      <c r="Y236" s="35"/>
      <c r="Z236" s="380"/>
      <c r="AA236" s="35">
        <v>92028.5</v>
      </c>
      <c r="AB236" s="380"/>
      <c r="AC236" s="35">
        <v>40407.800000000003</v>
      </c>
      <c r="AD236" s="380">
        <v>4600</v>
      </c>
      <c r="AE236" s="35"/>
      <c r="AF236" s="380"/>
      <c r="AG236" s="35"/>
      <c r="AH236" s="380"/>
      <c r="AI236" s="35"/>
      <c r="AJ236" s="380"/>
      <c r="AK236" s="35"/>
      <c r="AL236" s="403">
        <f t="shared" si="11"/>
        <v>137036.29999999999</v>
      </c>
      <c r="AM236" s="18">
        <v>77</v>
      </c>
      <c r="AN236" s="33">
        <v>460</v>
      </c>
      <c r="AO236" s="393">
        <v>-129.91</v>
      </c>
      <c r="AP236" s="35"/>
      <c r="AQ236" s="35">
        <v>-296.14</v>
      </c>
      <c r="AR236" s="35">
        <v>1</v>
      </c>
    </row>
    <row r="237" spans="1:44" x14ac:dyDescent="0.25">
      <c r="A237" s="383">
        <v>5788</v>
      </c>
      <c r="B237" s="367" t="s">
        <v>285</v>
      </c>
      <c r="C237" s="35">
        <v>677926.93</v>
      </c>
      <c r="D237" s="35">
        <v>98431.55</v>
      </c>
      <c r="E237" s="397"/>
      <c r="F237" s="368"/>
      <c r="G237" s="368">
        <v>6679.65</v>
      </c>
      <c r="H237" s="370">
        <v>20.45</v>
      </c>
      <c r="I237" s="368"/>
      <c r="J237" s="370">
        <v>21628.84</v>
      </c>
      <c r="K237" s="368">
        <v>949.5</v>
      </c>
      <c r="L237" s="370">
        <v>70013.649999999994</v>
      </c>
      <c r="M237" s="371">
        <f t="shared" si="9"/>
        <v>875650.57000000007</v>
      </c>
      <c r="N237" s="35"/>
      <c r="O237" s="35"/>
      <c r="P237" s="35">
        <v>97923.95</v>
      </c>
      <c r="Q237" s="35">
        <v>14313</v>
      </c>
      <c r="R237" s="35">
        <v>25714.65</v>
      </c>
      <c r="S237" s="409"/>
      <c r="T237" s="35"/>
      <c r="U237" s="380">
        <v>1710</v>
      </c>
      <c r="V237" s="35"/>
      <c r="W237" s="393"/>
      <c r="X237" s="372">
        <f t="shared" si="10"/>
        <v>1015312.17</v>
      </c>
      <c r="Y237" s="35">
        <v>1070</v>
      </c>
      <c r="Z237" s="380"/>
      <c r="AA237" s="35">
        <v>47275.6</v>
      </c>
      <c r="AB237" s="380"/>
      <c r="AC237" s="35">
        <v>21084.1</v>
      </c>
      <c r="AD237" s="380"/>
      <c r="AE237" s="35"/>
      <c r="AF237" s="380"/>
      <c r="AG237" s="35"/>
      <c r="AH237" s="380"/>
      <c r="AI237" s="35"/>
      <c r="AJ237" s="380"/>
      <c r="AK237" s="35"/>
      <c r="AL237" s="403">
        <f t="shared" si="11"/>
        <v>69429.7</v>
      </c>
      <c r="AM237" s="18">
        <v>72</v>
      </c>
      <c r="AN237" s="33">
        <v>346</v>
      </c>
      <c r="AO237" s="393">
        <v>-43548.98</v>
      </c>
      <c r="AP237" s="35"/>
      <c r="AQ237" s="35">
        <v>-10.38</v>
      </c>
      <c r="AR237" s="35">
        <v>1.25</v>
      </c>
    </row>
    <row r="238" spans="1:44" x14ac:dyDescent="0.25">
      <c r="A238" s="383">
        <v>5790</v>
      </c>
      <c r="B238" s="367" t="s">
        <v>286</v>
      </c>
      <c r="C238" s="35">
        <v>729069.51</v>
      </c>
      <c r="D238" s="35">
        <v>102530.64</v>
      </c>
      <c r="E238" s="397"/>
      <c r="F238" s="368"/>
      <c r="G238" s="368">
        <v>2716.9</v>
      </c>
      <c r="H238" s="370">
        <v>559.4</v>
      </c>
      <c r="I238" s="368"/>
      <c r="J238" s="370">
        <v>18411.830000000002</v>
      </c>
      <c r="K238" s="368">
        <v>2173.5</v>
      </c>
      <c r="L238" s="370">
        <v>72565.45</v>
      </c>
      <c r="M238" s="371">
        <f t="shared" si="9"/>
        <v>928027.23</v>
      </c>
      <c r="N238" s="35">
        <v>4176.3500000000004</v>
      </c>
      <c r="O238" s="35"/>
      <c r="P238" s="35">
        <v>34405.949999999997</v>
      </c>
      <c r="Q238" s="35"/>
      <c r="R238" s="35">
        <v>74480.3</v>
      </c>
      <c r="S238" s="409"/>
      <c r="T238" s="35">
        <v>26</v>
      </c>
      <c r="U238" s="380">
        <v>5150</v>
      </c>
      <c r="V238" s="35"/>
      <c r="W238" s="393"/>
      <c r="X238" s="372">
        <f t="shared" si="10"/>
        <v>1046265.83</v>
      </c>
      <c r="Y238" s="35"/>
      <c r="Z238" s="380"/>
      <c r="AA238" s="35">
        <v>60999.7</v>
      </c>
      <c r="AB238" s="380"/>
      <c r="AC238" s="35">
        <v>26100.5</v>
      </c>
      <c r="AD238" s="380"/>
      <c r="AE238" s="35"/>
      <c r="AF238" s="380"/>
      <c r="AG238" s="35"/>
      <c r="AH238" s="380"/>
      <c r="AI238" s="35"/>
      <c r="AJ238" s="380"/>
      <c r="AK238" s="35"/>
      <c r="AL238" s="403">
        <f t="shared" si="11"/>
        <v>87100.2</v>
      </c>
      <c r="AM238" s="18">
        <v>76</v>
      </c>
      <c r="AN238" s="33">
        <v>477</v>
      </c>
      <c r="AO238" s="393">
        <v>-7657.33</v>
      </c>
      <c r="AP238" s="35"/>
      <c r="AQ238" s="35">
        <v>-100.57</v>
      </c>
      <c r="AR238" s="35">
        <v>1</v>
      </c>
    </row>
    <row r="239" spans="1:44" x14ac:dyDescent="0.25">
      <c r="A239" s="383">
        <v>5792</v>
      </c>
      <c r="B239" s="367" t="s">
        <v>287</v>
      </c>
      <c r="C239" s="35">
        <v>1075209.6200000001</v>
      </c>
      <c r="D239" s="35">
        <v>120287.72</v>
      </c>
      <c r="E239" s="397"/>
      <c r="F239" s="368"/>
      <c r="G239" s="368">
        <v>27209.55</v>
      </c>
      <c r="H239" s="370">
        <v>824.1</v>
      </c>
      <c r="I239" s="368"/>
      <c r="J239" s="370">
        <v>39894.949999999997</v>
      </c>
      <c r="K239" s="368">
        <v>-3647.2</v>
      </c>
      <c r="L239" s="370">
        <v>106648.25</v>
      </c>
      <c r="M239" s="371">
        <f t="shared" si="9"/>
        <v>1366426.9900000002</v>
      </c>
      <c r="N239" s="35"/>
      <c r="O239" s="35"/>
      <c r="P239" s="35">
        <v>87030.3</v>
      </c>
      <c r="Q239" s="35">
        <v>18090.75</v>
      </c>
      <c r="R239" s="35">
        <v>35235.949999999997</v>
      </c>
      <c r="S239" s="409"/>
      <c r="T239" s="35"/>
      <c r="U239" s="380">
        <v>3275</v>
      </c>
      <c r="V239" s="35"/>
      <c r="W239" s="393"/>
      <c r="X239" s="372">
        <f t="shared" si="10"/>
        <v>1510058.9900000002</v>
      </c>
      <c r="Y239" s="35">
        <v>70701</v>
      </c>
      <c r="Z239" s="380"/>
      <c r="AA239" s="35">
        <v>45781.75</v>
      </c>
      <c r="AB239" s="380"/>
      <c r="AC239" s="35">
        <v>45360</v>
      </c>
      <c r="AD239" s="380"/>
      <c r="AE239" s="35">
        <v>66320.399999999994</v>
      </c>
      <c r="AF239" s="380"/>
      <c r="AG239" s="35"/>
      <c r="AH239" s="380">
        <v>6362.25</v>
      </c>
      <c r="AI239" s="35"/>
      <c r="AJ239" s="380"/>
      <c r="AK239" s="35"/>
      <c r="AL239" s="403">
        <f t="shared" si="11"/>
        <v>234525.4</v>
      </c>
      <c r="AM239" s="18">
        <v>77</v>
      </c>
      <c r="AN239" s="33">
        <v>648</v>
      </c>
      <c r="AO239" s="393">
        <v>-35201.4</v>
      </c>
      <c r="AP239" s="35"/>
      <c r="AQ239" s="35">
        <v>-18.239999999999998</v>
      </c>
      <c r="AR239" s="35">
        <v>1</v>
      </c>
    </row>
    <row r="240" spans="1:44" x14ac:dyDescent="0.25">
      <c r="A240" s="383">
        <v>5798</v>
      </c>
      <c r="B240" s="367" t="s">
        <v>288</v>
      </c>
      <c r="C240" s="35">
        <v>864936.55</v>
      </c>
      <c r="D240" s="35">
        <v>117206.1</v>
      </c>
      <c r="E240" s="397"/>
      <c r="F240" s="368"/>
      <c r="G240" s="368">
        <v>22443.05</v>
      </c>
      <c r="H240" s="370">
        <v>1667</v>
      </c>
      <c r="I240" s="368"/>
      <c r="J240" s="370">
        <v>24651.54</v>
      </c>
      <c r="K240" s="368">
        <v>-135.5</v>
      </c>
      <c r="L240" s="373">
        <v>34465.65</v>
      </c>
      <c r="M240" s="371">
        <f t="shared" si="9"/>
        <v>1065234.3900000001</v>
      </c>
      <c r="N240" s="35"/>
      <c r="O240" s="35">
        <v>4856.8999999999996</v>
      </c>
      <c r="P240" s="35">
        <v>63061.85</v>
      </c>
      <c r="Q240" s="35"/>
      <c r="R240" s="35">
        <v>38274.5</v>
      </c>
      <c r="S240" s="409"/>
      <c r="T240" s="35"/>
      <c r="U240" s="380">
        <v>2880</v>
      </c>
      <c r="V240" s="35"/>
      <c r="W240" s="393"/>
      <c r="X240" s="372">
        <f t="shared" si="10"/>
        <v>1174307.6400000001</v>
      </c>
      <c r="Y240" s="35">
        <v>55000</v>
      </c>
      <c r="Z240" s="380"/>
      <c r="AA240" s="35">
        <v>42060</v>
      </c>
      <c r="AB240" s="380"/>
      <c r="AC240" s="35">
        <v>35380.75</v>
      </c>
      <c r="AD240" s="380">
        <v>35329.4</v>
      </c>
      <c r="AE240" s="35"/>
      <c r="AF240" s="380"/>
      <c r="AG240" s="35"/>
      <c r="AH240" s="380"/>
      <c r="AI240" s="35"/>
      <c r="AJ240" s="380"/>
      <c r="AK240" s="35"/>
      <c r="AL240" s="403">
        <f t="shared" si="11"/>
        <v>167770.15</v>
      </c>
      <c r="AM240" s="18">
        <v>77.5</v>
      </c>
      <c r="AN240" s="33">
        <v>450</v>
      </c>
      <c r="AO240" s="393">
        <v>-7045.93</v>
      </c>
      <c r="AP240" s="35"/>
      <c r="AQ240" s="35">
        <v>-241.96</v>
      </c>
      <c r="AR240" s="35">
        <v>0.5</v>
      </c>
    </row>
    <row r="241" spans="1:44" x14ac:dyDescent="0.25">
      <c r="A241" s="383">
        <v>5799</v>
      </c>
      <c r="B241" s="367" t="s">
        <v>289</v>
      </c>
      <c r="C241" s="35">
        <v>3648728.69</v>
      </c>
      <c r="D241" s="35">
        <v>471558.11</v>
      </c>
      <c r="E241" s="397"/>
      <c r="F241" s="368"/>
      <c r="G241" s="368">
        <v>81720</v>
      </c>
      <c r="H241" s="370">
        <v>1850.8</v>
      </c>
      <c r="I241" s="368"/>
      <c r="J241" s="370">
        <v>29480.5</v>
      </c>
      <c r="K241" s="368">
        <v>6260.75</v>
      </c>
      <c r="L241" s="370">
        <v>344121.4</v>
      </c>
      <c r="M241" s="371">
        <f t="shared" si="9"/>
        <v>4583720.25</v>
      </c>
      <c r="N241" s="35">
        <v>18141.150000000001</v>
      </c>
      <c r="O241" s="35"/>
      <c r="P241" s="35">
        <v>123826.7</v>
      </c>
      <c r="Q241" s="35">
        <v>1818.48</v>
      </c>
      <c r="R241" s="35">
        <v>112519.95</v>
      </c>
      <c r="S241" s="409"/>
      <c r="T241" s="35"/>
      <c r="U241" s="380">
        <v>9200</v>
      </c>
      <c r="V241" s="35">
        <v>57098.75</v>
      </c>
      <c r="W241" s="393">
        <v>615.6</v>
      </c>
      <c r="X241" s="372">
        <f t="shared" si="10"/>
        <v>4906940.8800000008</v>
      </c>
      <c r="Y241" s="35">
        <v>108278</v>
      </c>
      <c r="Z241" s="380"/>
      <c r="AA241" s="35">
        <v>375177.7</v>
      </c>
      <c r="AB241" s="380"/>
      <c r="AC241" s="35">
        <v>122070.7</v>
      </c>
      <c r="AD241" s="380"/>
      <c r="AE241" s="35"/>
      <c r="AF241" s="380"/>
      <c r="AG241" s="35"/>
      <c r="AH241" s="380">
        <v>57281</v>
      </c>
      <c r="AI241" s="35"/>
      <c r="AJ241" s="380"/>
      <c r="AK241" s="35"/>
      <c r="AL241" s="403">
        <f t="shared" si="11"/>
        <v>662807.4</v>
      </c>
      <c r="AM241" s="18">
        <v>69</v>
      </c>
      <c r="AN241" s="33">
        <v>1904</v>
      </c>
      <c r="AO241" s="393">
        <v>-49287.6</v>
      </c>
      <c r="AP241" s="35"/>
      <c r="AQ241" s="35">
        <v>-63.68</v>
      </c>
      <c r="AR241" s="35">
        <v>1</v>
      </c>
    </row>
    <row r="242" spans="1:44" x14ac:dyDescent="0.25">
      <c r="A242" s="383">
        <v>5803</v>
      </c>
      <c r="B242" s="367" t="s">
        <v>392</v>
      </c>
      <c r="C242" s="35">
        <v>997012.54</v>
      </c>
      <c r="D242" s="35">
        <v>112228.6</v>
      </c>
      <c r="E242" s="397"/>
      <c r="F242" s="368"/>
      <c r="G242" s="368">
        <v>23213.7</v>
      </c>
      <c r="H242" s="370">
        <v>187.15</v>
      </c>
      <c r="I242" s="368"/>
      <c r="J242" s="370">
        <v>15472.17</v>
      </c>
      <c r="K242" s="368"/>
      <c r="L242" s="370">
        <v>81214.649999999994</v>
      </c>
      <c r="M242" s="371">
        <f t="shared" si="9"/>
        <v>1229328.8099999998</v>
      </c>
      <c r="N242" s="35"/>
      <c r="O242" s="35">
        <v>10915.2</v>
      </c>
      <c r="P242" s="35">
        <v>41720.85</v>
      </c>
      <c r="Q242" s="35">
        <v>2394.15</v>
      </c>
      <c r="R242" s="35">
        <v>35989.65</v>
      </c>
      <c r="S242" s="409">
        <v>816.9</v>
      </c>
      <c r="T242" s="35"/>
      <c r="U242" s="380">
        <v>5250</v>
      </c>
      <c r="V242" s="35"/>
      <c r="W242" s="393"/>
      <c r="X242" s="372">
        <f t="shared" si="10"/>
        <v>1326415.5599999996</v>
      </c>
      <c r="Y242" s="35">
        <v>4000</v>
      </c>
      <c r="Z242" s="380"/>
      <c r="AA242" s="35"/>
      <c r="AB242" s="380">
        <v>43280</v>
      </c>
      <c r="AC242" s="35">
        <v>31700.65</v>
      </c>
      <c r="AD242" s="380">
        <v>31769.9</v>
      </c>
      <c r="AE242" s="35">
        <v>11450</v>
      </c>
      <c r="AF242" s="380"/>
      <c r="AG242" s="35"/>
      <c r="AH242" s="380"/>
      <c r="AI242" s="35"/>
      <c r="AJ242" s="380"/>
      <c r="AK242" s="35"/>
      <c r="AL242" s="403">
        <f t="shared" si="11"/>
        <v>122200.54999999999</v>
      </c>
      <c r="AM242" s="18">
        <v>78</v>
      </c>
      <c r="AN242" s="33">
        <v>515</v>
      </c>
      <c r="AO242" s="393">
        <v>-11429.48</v>
      </c>
      <c r="AP242" s="35"/>
      <c r="AQ242" s="35">
        <v>-33.19</v>
      </c>
      <c r="AR242" s="35">
        <v>1</v>
      </c>
    </row>
    <row r="243" spans="1:44" x14ac:dyDescent="0.25">
      <c r="A243" s="383">
        <v>5804</v>
      </c>
      <c r="B243" s="367" t="s">
        <v>443</v>
      </c>
      <c r="C243" s="35">
        <v>2694902.84</v>
      </c>
      <c r="D243" s="35">
        <v>338043.65</v>
      </c>
      <c r="E243" s="397"/>
      <c r="F243" s="368"/>
      <c r="G243" s="368">
        <v>18905.75</v>
      </c>
      <c r="H243" s="370">
        <v>662.45</v>
      </c>
      <c r="I243" s="368"/>
      <c r="J243" s="370">
        <v>87834.28</v>
      </c>
      <c r="K243" s="368">
        <v>3758.75</v>
      </c>
      <c r="L243" s="370">
        <v>251301.05</v>
      </c>
      <c r="M243" s="371">
        <f t="shared" si="9"/>
        <v>3395408.7699999996</v>
      </c>
      <c r="N243" s="35">
        <v>4035.95</v>
      </c>
      <c r="O243" s="35">
        <v>101140.4</v>
      </c>
      <c r="P243" s="35">
        <v>61436.3</v>
      </c>
      <c r="Q243" s="35">
        <v>37920.019999999997</v>
      </c>
      <c r="R243" s="35">
        <v>78689.2</v>
      </c>
      <c r="S243" s="409">
        <v>1827.25</v>
      </c>
      <c r="T243" s="35"/>
      <c r="U243" s="380">
        <v>14550</v>
      </c>
      <c r="V243" s="35"/>
      <c r="W243" s="393"/>
      <c r="X243" s="372">
        <f t="shared" si="10"/>
        <v>3695007.8899999997</v>
      </c>
      <c r="Y243" s="35">
        <v>53635.85</v>
      </c>
      <c r="Z243" s="380"/>
      <c r="AA243" s="35">
        <v>272062.09999999998</v>
      </c>
      <c r="AB243" s="380"/>
      <c r="AC243" s="35">
        <v>184195.3</v>
      </c>
      <c r="AD243" s="380">
        <v>41736.5</v>
      </c>
      <c r="AE243" s="35"/>
      <c r="AF243" s="380"/>
      <c r="AG243" s="35"/>
      <c r="AH243" s="380">
        <v>41521.5</v>
      </c>
      <c r="AI243" s="35"/>
      <c r="AJ243" s="380"/>
      <c r="AK243" s="35"/>
      <c r="AL243" s="403">
        <f t="shared" si="11"/>
        <v>593151.25</v>
      </c>
      <c r="AM243" s="18">
        <v>72</v>
      </c>
      <c r="AN243" s="33">
        <v>1532</v>
      </c>
      <c r="AO243" s="393">
        <v>-47779.29</v>
      </c>
      <c r="AP243" s="35"/>
      <c r="AQ243" s="35">
        <v>-40.700000000000003</v>
      </c>
      <c r="AR243" s="35">
        <v>1</v>
      </c>
    </row>
    <row r="244" spans="1:44" x14ac:dyDescent="0.25">
      <c r="A244" s="383">
        <v>5805</v>
      </c>
      <c r="B244" s="367" t="s">
        <v>445</v>
      </c>
      <c r="C244" s="35">
        <v>7681294.0999999996</v>
      </c>
      <c r="D244" s="35">
        <v>874426.76</v>
      </c>
      <c r="E244" s="397"/>
      <c r="F244" s="368"/>
      <c r="G244" s="368">
        <v>697191.45</v>
      </c>
      <c r="H244" s="370">
        <v>52595.9</v>
      </c>
      <c r="I244" s="368"/>
      <c r="J244" s="370">
        <v>240899.77</v>
      </c>
      <c r="K244" s="368">
        <v>40874.1</v>
      </c>
      <c r="L244" s="370">
        <v>946878</v>
      </c>
      <c r="M244" s="371">
        <f t="shared" si="9"/>
        <v>10534160.079999998</v>
      </c>
      <c r="N244" s="35">
        <v>83623.100000000006</v>
      </c>
      <c r="O244" s="35">
        <v>80453.7</v>
      </c>
      <c r="P244" s="35">
        <v>457879.75</v>
      </c>
      <c r="Q244" s="35">
        <v>24293.29</v>
      </c>
      <c r="R244" s="35">
        <v>306814.09999999998</v>
      </c>
      <c r="S244" s="409"/>
      <c r="T244" s="35">
        <v>51098.1</v>
      </c>
      <c r="U244" s="380">
        <v>37400</v>
      </c>
      <c r="V244" s="35">
        <v>2400</v>
      </c>
      <c r="W244" s="393">
        <v>3932.65</v>
      </c>
      <c r="X244" s="372">
        <f t="shared" si="10"/>
        <v>11582054.769999996</v>
      </c>
      <c r="Y244" s="35">
        <v>170569.7</v>
      </c>
      <c r="Z244" s="380"/>
      <c r="AA244" s="35">
        <v>816144.95</v>
      </c>
      <c r="AB244" s="380"/>
      <c r="AC244" s="35">
        <v>372873.1</v>
      </c>
      <c r="AD244" s="380">
        <v>128707.07</v>
      </c>
      <c r="AE244" s="35"/>
      <c r="AF244" s="380"/>
      <c r="AG244" s="35"/>
      <c r="AH244" s="380">
        <v>162167.95000000001</v>
      </c>
      <c r="AI244" s="35"/>
      <c r="AJ244" s="380"/>
      <c r="AK244" s="35"/>
      <c r="AL244" s="403">
        <f t="shared" si="11"/>
        <v>1650462.77</v>
      </c>
      <c r="AM244" s="18">
        <v>69</v>
      </c>
      <c r="AN244" s="33">
        <v>5463</v>
      </c>
      <c r="AO244" s="393">
        <v>-229812.76</v>
      </c>
      <c r="AP244" s="35"/>
      <c r="AQ244" s="35">
        <v>-2330.09</v>
      </c>
      <c r="AR244" s="35">
        <v>1.1000000000000001</v>
      </c>
    </row>
    <row r="245" spans="1:44" x14ac:dyDescent="0.25">
      <c r="A245" s="383">
        <v>5806</v>
      </c>
      <c r="B245" s="367" t="s">
        <v>549</v>
      </c>
      <c r="C245" s="35">
        <v>5182367.2699999996</v>
      </c>
      <c r="D245" s="35">
        <v>560141.78</v>
      </c>
      <c r="E245" s="397"/>
      <c r="F245" s="368"/>
      <c r="G245" s="368">
        <v>237575.9</v>
      </c>
      <c r="H245" s="368">
        <v>4035.9</v>
      </c>
      <c r="I245" s="368">
        <v>54947.5</v>
      </c>
      <c r="J245" s="368">
        <v>91214.42</v>
      </c>
      <c r="K245" s="368">
        <v>11950.35</v>
      </c>
      <c r="L245" s="368">
        <v>498136.3</v>
      </c>
      <c r="M245" s="371">
        <f t="shared" ref="M245" si="12">SUM(C245:L245)</f>
        <v>6640369.4199999999</v>
      </c>
      <c r="N245" s="35">
        <v>22621.9</v>
      </c>
      <c r="O245" s="35">
        <v>27856.3</v>
      </c>
      <c r="P245" s="35">
        <v>278699.65000000002</v>
      </c>
      <c r="Q245" s="35">
        <v>14243.32</v>
      </c>
      <c r="R245" s="35">
        <v>176974.1</v>
      </c>
      <c r="S245" s="409"/>
      <c r="T245" s="35"/>
      <c r="U245" s="380">
        <v>10770</v>
      </c>
      <c r="V245" s="35">
        <v>20000</v>
      </c>
      <c r="W245" s="393">
        <v>1434</v>
      </c>
      <c r="X245" s="372">
        <f t="shared" si="10"/>
        <v>7192968.6900000004</v>
      </c>
      <c r="Y245" s="35">
        <v>379573.05</v>
      </c>
      <c r="Z245" s="380"/>
      <c r="AA245" s="35">
        <v>583395.30000000005</v>
      </c>
      <c r="AB245" s="380"/>
      <c r="AC245" s="35">
        <v>283972.53999999998</v>
      </c>
      <c r="AD245" s="380">
        <v>225340</v>
      </c>
      <c r="AE245" s="35"/>
      <c r="AF245" s="380"/>
      <c r="AG245" s="35">
        <v>3038</v>
      </c>
      <c r="AH245" s="380"/>
      <c r="AI245" s="35"/>
      <c r="AJ245" s="380"/>
      <c r="AK245" s="35"/>
      <c r="AL245" s="403">
        <f t="shared" si="11"/>
        <v>1475318.8900000001</v>
      </c>
      <c r="AM245" s="18">
        <v>76</v>
      </c>
      <c r="AN245" s="33">
        <v>2850</v>
      </c>
      <c r="AO245" s="393">
        <v>-99560.960000000006</v>
      </c>
      <c r="AP245" s="35"/>
      <c r="AQ245" s="35">
        <v>-326.69</v>
      </c>
      <c r="AR245" s="35">
        <v>1</v>
      </c>
    </row>
    <row r="246" spans="1:44" x14ac:dyDescent="0.25">
      <c r="A246" s="383">
        <v>5812</v>
      </c>
      <c r="B246" s="367" t="s">
        <v>393</v>
      </c>
      <c r="C246" s="35">
        <v>164507.35999999999</v>
      </c>
      <c r="D246" s="35">
        <v>10655.67</v>
      </c>
      <c r="E246" s="397"/>
      <c r="F246" s="368"/>
      <c r="G246" s="368">
        <v>597.20000000000005</v>
      </c>
      <c r="H246" s="370">
        <v>234.7</v>
      </c>
      <c r="I246" s="368"/>
      <c r="J246" s="370">
        <v>4.3499999999999996</v>
      </c>
      <c r="K246" s="368">
        <v>613</v>
      </c>
      <c r="L246" s="373">
        <v>12613.7</v>
      </c>
      <c r="M246" s="371">
        <f t="shared" si="9"/>
        <v>189225.98000000004</v>
      </c>
      <c r="N246" s="35"/>
      <c r="O246" s="35"/>
      <c r="P246" s="35">
        <v>7359</v>
      </c>
      <c r="Q246" s="35"/>
      <c r="R246" s="35">
        <v>20000.8</v>
      </c>
      <c r="S246" s="409"/>
      <c r="T246" s="35"/>
      <c r="U246" s="380">
        <v>540</v>
      </c>
      <c r="V246" s="35"/>
      <c r="W246" s="393"/>
      <c r="X246" s="372">
        <f t="shared" si="10"/>
        <v>217125.78000000003</v>
      </c>
      <c r="Y246" s="35">
        <v>11200</v>
      </c>
      <c r="Z246" s="380"/>
      <c r="AA246" s="35">
        <v>10079.5</v>
      </c>
      <c r="AB246" s="380"/>
      <c r="AC246" s="35">
        <v>12699.05</v>
      </c>
      <c r="AD246" s="380">
        <v>7530</v>
      </c>
      <c r="AE246" s="35"/>
      <c r="AF246" s="380"/>
      <c r="AG246" s="35"/>
      <c r="AH246" s="380">
        <v>2605.35</v>
      </c>
      <c r="AI246" s="35"/>
      <c r="AJ246" s="380"/>
      <c r="AK246" s="35"/>
      <c r="AL246" s="403">
        <f t="shared" si="11"/>
        <v>44113.9</v>
      </c>
      <c r="AM246" s="18">
        <v>77</v>
      </c>
      <c r="AN246" s="33">
        <v>128</v>
      </c>
      <c r="AO246" s="393">
        <v>-6512.51</v>
      </c>
      <c r="AP246" s="35"/>
      <c r="AQ246" s="35">
        <v>0</v>
      </c>
      <c r="AR246" s="35">
        <v>0.8</v>
      </c>
    </row>
    <row r="247" spans="1:44" x14ac:dyDescent="0.25">
      <c r="A247" s="383">
        <v>5813</v>
      </c>
      <c r="B247" s="367" t="s">
        <v>394</v>
      </c>
      <c r="C247" s="35">
        <v>693068.24</v>
      </c>
      <c r="D247" s="35">
        <v>126773.28</v>
      </c>
      <c r="E247" s="397"/>
      <c r="F247" s="368">
        <v>2860</v>
      </c>
      <c r="G247" s="368">
        <v>30400.3</v>
      </c>
      <c r="H247" s="370">
        <v>270.3</v>
      </c>
      <c r="I247" s="368"/>
      <c r="J247" s="370">
        <v>5666.85</v>
      </c>
      <c r="K247" s="368"/>
      <c r="L247" s="370">
        <v>89722.75</v>
      </c>
      <c r="M247" s="371">
        <f t="shared" si="9"/>
        <v>948761.72000000009</v>
      </c>
      <c r="N247" s="35"/>
      <c r="O247" s="35">
        <v>47168.5</v>
      </c>
      <c r="P247" s="35">
        <v>56331.15</v>
      </c>
      <c r="Q247" s="35">
        <v>23644.78</v>
      </c>
      <c r="R247" s="35">
        <v>52335.45</v>
      </c>
      <c r="S247" s="409"/>
      <c r="T247" s="35">
        <v>2057.6999999999998</v>
      </c>
      <c r="U247" s="380">
        <v>5250</v>
      </c>
      <c r="V247" s="35"/>
      <c r="W247" s="393"/>
      <c r="X247" s="372">
        <f t="shared" si="10"/>
        <v>1135549.3</v>
      </c>
      <c r="Y247" s="35">
        <v>9708</v>
      </c>
      <c r="Z247" s="380"/>
      <c r="AA247" s="35">
        <v>51189</v>
      </c>
      <c r="AB247" s="380"/>
      <c r="AC247" s="35">
        <v>54056.87</v>
      </c>
      <c r="AD247" s="380">
        <v>6573.95</v>
      </c>
      <c r="AE247" s="35"/>
      <c r="AF247" s="380"/>
      <c r="AG247" s="35">
        <v>85065</v>
      </c>
      <c r="AH247" s="380"/>
      <c r="AI247" s="35">
        <v>18166.400000000001</v>
      </c>
      <c r="AJ247" s="380"/>
      <c r="AK247" s="35"/>
      <c r="AL247" s="403">
        <f t="shared" si="11"/>
        <v>224759.22</v>
      </c>
      <c r="AM247" s="18">
        <v>70</v>
      </c>
      <c r="AN247" s="33">
        <v>470</v>
      </c>
      <c r="AO247" s="393">
        <v>-26203.85</v>
      </c>
      <c r="AP247" s="35"/>
      <c r="AQ247" s="35">
        <v>-7.65</v>
      </c>
      <c r="AR247" s="35">
        <v>1.2</v>
      </c>
    </row>
    <row r="248" spans="1:44" x14ac:dyDescent="0.25">
      <c r="A248" s="383">
        <v>5816</v>
      </c>
      <c r="B248" s="367" t="s">
        <v>10</v>
      </c>
      <c r="C248" s="35">
        <v>3146994.57</v>
      </c>
      <c r="D248" s="35">
        <v>281351.58</v>
      </c>
      <c r="E248" s="397"/>
      <c r="F248" s="368"/>
      <c r="G248" s="368">
        <v>286691.20000000001</v>
      </c>
      <c r="H248" s="370">
        <v>8580.9</v>
      </c>
      <c r="I248" s="368"/>
      <c r="J248" s="370">
        <v>178054.71</v>
      </c>
      <c r="K248" s="368">
        <v>19333.5</v>
      </c>
      <c r="L248" s="370">
        <v>232411.1</v>
      </c>
      <c r="M248" s="371">
        <f t="shared" si="9"/>
        <v>4153417.56</v>
      </c>
      <c r="N248" s="35">
        <v>19098.8</v>
      </c>
      <c r="O248" s="35">
        <v>65734.899999999994</v>
      </c>
      <c r="P248" s="35">
        <v>138344.45000000001</v>
      </c>
      <c r="Q248" s="35">
        <v>2720.71</v>
      </c>
      <c r="R248" s="35">
        <v>101756.4</v>
      </c>
      <c r="S248" s="409">
        <v>675</v>
      </c>
      <c r="T248" s="35">
        <v>8271.9</v>
      </c>
      <c r="U248" s="380">
        <v>9210</v>
      </c>
      <c r="V248" s="35"/>
      <c r="W248" s="393"/>
      <c r="X248" s="372">
        <f t="shared" si="10"/>
        <v>4499229.7200000007</v>
      </c>
      <c r="Y248" s="35">
        <v>93784.3</v>
      </c>
      <c r="Z248" s="380"/>
      <c r="AA248" s="35">
        <v>475358.95</v>
      </c>
      <c r="AB248" s="380"/>
      <c r="AC248" s="35">
        <v>162648.28</v>
      </c>
      <c r="AD248" s="380">
        <v>43913.5</v>
      </c>
      <c r="AE248" s="35"/>
      <c r="AF248" s="380"/>
      <c r="AG248" s="35"/>
      <c r="AH248" s="380"/>
      <c r="AI248" s="35"/>
      <c r="AJ248" s="380"/>
      <c r="AK248" s="35"/>
      <c r="AL248" s="403">
        <f t="shared" si="11"/>
        <v>775705.03</v>
      </c>
      <c r="AM248" s="18">
        <v>72</v>
      </c>
      <c r="AN248" s="33">
        <v>2448</v>
      </c>
      <c r="AO248" s="393">
        <v>-82985.820000000007</v>
      </c>
      <c r="AP248" s="35"/>
      <c r="AQ248" s="35">
        <v>-10.39</v>
      </c>
      <c r="AR248" s="35">
        <v>0.7</v>
      </c>
    </row>
    <row r="249" spans="1:44" x14ac:dyDescent="0.25">
      <c r="A249" s="383">
        <v>5817</v>
      </c>
      <c r="B249" s="367" t="s">
        <v>11</v>
      </c>
      <c r="C249" s="35">
        <v>1489058.04</v>
      </c>
      <c r="D249" s="35">
        <v>172206.68</v>
      </c>
      <c r="E249" s="397"/>
      <c r="F249" s="368"/>
      <c r="G249" s="368">
        <v>35376.15</v>
      </c>
      <c r="H249" s="370">
        <v>612.4</v>
      </c>
      <c r="I249" s="368"/>
      <c r="J249" s="370">
        <v>25402.91</v>
      </c>
      <c r="K249" s="368">
        <v>2752.95</v>
      </c>
      <c r="L249" s="370">
        <v>110131.8</v>
      </c>
      <c r="M249" s="371">
        <f t="shared" si="9"/>
        <v>1835540.9299999997</v>
      </c>
      <c r="N249" s="35"/>
      <c r="O249" s="35">
        <v>4940</v>
      </c>
      <c r="P249" s="35">
        <v>50052.9</v>
      </c>
      <c r="Q249" s="35">
        <v>34999.15</v>
      </c>
      <c r="R249" s="35">
        <v>71500.600000000006</v>
      </c>
      <c r="S249" s="409"/>
      <c r="T249" s="35">
        <v>1340.05</v>
      </c>
      <c r="U249" s="380">
        <v>4450</v>
      </c>
      <c r="V249" s="35"/>
      <c r="W249" s="393"/>
      <c r="X249" s="372">
        <f t="shared" si="10"/>
        <v>2002823.6299999997</v>
      </c>
      <c r="Y249" s="35">
        <v>45926</v>
      </c>
      <c r="Z249" s="380"/>
      <c r="AA249" s="35">
        <v>245077.95</v>
      </c>
      <c r="AB249" s="380"/>
      <c r="AC249" s="35">
        <v>67088.45</v>
      </c>
      <c r="AD249" s="380">
        <v>12868</v>
      </c>
      <c r="AE249" s="35"/>
      <c r="AF249" s="380"/>
      <c r="AG249" s="35"/>
      <c r="AH249" s="380">
        <v>24785.25</v>
      </c>
      <c r="AI249" s="35"/>
      <c r="AJ249" s="380"/>
      <c r="AK249" s="35"/>
      <c r="AL249" s="403">
        <f t="shared" si="11"/>
        <v>395745.65</v>
      </c>
      <c r="AM249" s="18">
        <v>79.5</v>
      </c>
      <c r="AN249" s="33">
        <v>890</v>
      </c>
      <c r="AO249" s="393">
        <v>-101794.85</v>
      </c>
      <c r="AP249" s="35"/>
      <c r="AQ249" s="35">
        <v>-0.71</v>
      </c>
      <c r="AR249" s="35">
        <v>1</v>
      </c>
    </row>
    <row r="250" spans="1:44" x14ac:dyDescent="0.25">
      <c r="A250" s="383">
        <v>5819</v>
      </c>
      <c r="B250" s="367" t="s">
        <v>12</v>
      </c>
      <c r="C250" s="35">
        <v>535309.27</v>
      </c>
      <c r="D250" s="35">
        <v>164112.35999999999</v>
      </c>
      <c r="E250" s="397"/>
      <c r="F250" s="368"/>
      <c r="G250" s="368">
        <v>238787.85</v>
      </c>
      <c r="H250" s="370">
        <v>4337.3999999999996</v>
      </c>
      <c r="I250" s="368"/>
      <c r="J250" s="370">
        <v>11537.38</v>
      </c>
      <c r="K250" s="368">
        <v>1849.35</v>
      </c>
      <c r="L250" s="370">
        <v>80845.350000000006</v>
      </c>
      <c r="M250" s="371">
        <f t="shared" si="9"/>
        <v>1036778.96</v>
      </c>
      <c r="N250" s="35">
        <v>18163.650000000001</v>
      </c>
      <c r="O250" s="35">
        <v>1532.6</v>
      </c>
      <c r="P250" s="35">
        <v>18786.5</v>
      </c>
      <c r="Q250" s="35">
        <v>2012.25</v>
      </c>
      <c r="R250" s="35">
        <v>39202.35</v>
      </c>
      <c r="S250" s="409"/>
      <c r="T250" s="35"/>
      <c r="U250" s="380">
        <v>880</v>
      </c>
      <c r="V250" s="35"/>
      <c r="W250" s="393"/>
      <c r="X250" s="372">
        <f t="shared" si="10"/>
        <v>1117356.31</v>
      </c>
      <c r="Y250" s="35">
        <v>21000</v>
      </c>
      <c r="Z250" s="380"/>
      <c r="AA250" s="35">
        <v>27765.25</v>
      </c>
      <c r="AB250" s="380"/>
      <c r="AC250" s="35">
        <v>33909.9</v>
      </c>
      <c r="AD250" s="380">
        <v>15297</v>
      </c>
      <c r="AE250" s="35"/>
      <c r="AF250" s="380"/>
      <c r="AG250" s="35"/>
      <c r="AH250" s="380"/>
      <c r="AI250" s="35"/>
      <c r="AJ250" s="380"/>
      <c r="AK250" s="35"/>
      <c r="AL250" s="403">
        <f t="shared" si="11"/>
        <v>97972.15</v>
      </c>
      <c r="AM250" s="18">
        <v>69</v>
      </c>
      <c r="AN250" s="33">
        <v>359</v>
      </c>
      <c r="AO250" s="393">
        <v>-12381.68</v>
      </c>
      <c r="AP250" s="35"/>
      <c r="AQ250" s="35">
        <v>-99.16</v>
      </c>
      <c r="AR250" s="35">
        <v>1</v>
      </c>
    </row>
    <row r="251" spans="1:44" x14ac:dyDescent="0.25">
      <c r="A251" s="383">
        <v>5821</v>
      </c>
      <c r="B251" s="367" t="s">
        <v>13</v>
      </c>
      <c r="C251" s="35">
        <v>441063.63</v>
      </c>
      <c r="D251" s="35">
        <v>60833.32</v>
      </c>
      <c r="E251" s="397"/>
      <c r="F251" s="368">
        <v>2080</v>
      </c>
      <c r="G251" s="368">
        <v>1920.4</v>
      </c>
      <c r="H251" s="370">
        <v>214.05</v>
      </c>
      <c r="I251" s="368"/>
      <c r="J251" s="370">
        <v>14600.82</v>
      </c>
      <c r="K251" s="368">
        <v>1276.6500000000001</v>
      </c>
      <c r="L251" s="370">
        <v>47399.3</v>
      </c>
      <c r="M251" s="371">
        <f t="shared" si="9"/>
        <v>569388.17000000004</v>
      </c>
      <c r="N251" s="35"/>
      <c r="O251" s="35"/>
      <c r="P251" s="35">
        <v>9597.5</v>
      </c>
      <c r="Q251" s="35"/>
      <c r="R251" s="35">
        <v>3755.25</v>
      </c>
      <c r="S251" s="409"/>
      <c r="T251" s="35"/>
      <c r="U251" s="380">
        <v>2050</v>
      </c>
      <c r="V251" s="35"/>
      <c r="W251" s="393"/>
      <c r="X251" s="372">
        <f t="shared" si="10"/>
        <v>584790.92000000004</v>
      </c>
      <c r="Y251" s="35">
        <v>6000</v>
      </c>
      <c r="Z251" s="380"/>
      <c r="AA251" s="35">
        <v>60655.25</v>
      </c>
      <c r="AB251" s="380"/>
      <c r="AC251" s="35">
        <v>23169.25</v>
      </c>
      <c r="AD251" s="380"/>
      <c r="AE251" s="35">
        <v>7664.1</v>
      </c>
      <c r="AF251" s="380"/>
      <c r="AG251" s="35"/>
      <c r="AH251" s="380">
        <v>7772.25</v>
      </c>
      <c r="AI251" s="35"/>
      <c r="AJ251" s="380"/>
      <c r="AK251" s="35">
        <v>85.8</v>
      </c>
      <c r="AL251" s="403">
        <f t="shared" si="11"/>
        <v>105346.65000000001</v>
      </c>
      <c r="AM251" s="18">
        <v>72</v>
      </c>
      <c r="AN251" s="33">
        <v>352</v>
      </c>
      <c r="AO251" s="393">
        <v>-19375.32</v>
      </c>
      <c r="AP251" s="35"/>
      <c r="AQ251" s="35">
        <v>0</v>
      </c>
      <c r="AR251" s="35">
        <v>1</v>
      </c>
    </row>
    <row r="252" spans="1:44" x14ac:dyDescent="0.25">
      <c r="A252" s="383">
        <v>5822</v>
      </c>
      <c r="B252" s="367" t="s">
        <v>14</v>
      </c>
      <c r="C252" s="35">
        <v>13320642.57</v>
      </c>
      <c r="D252" s="35">
        <v>1352783.31</v>
      </c>
      <c r="E252" s="397"/>
      <c r="F252" s="368"/>
      <c r="G252" s="368">
        <v>2063732.65</v>
      </c>
      <c r="H252" s="370">
        <v>55709.9</v>
      </c>
      <c r="I252" s="368"/>
      <c r="J252" s="370">
        <v>693109.76000000001</v>
      </c>
      <c r="K252" s="368">
        <v>166885.15</v>
      </c>
      <c r="L252" s="370">
        <v>1278294</v>
      </c>
      <c r="M252" s="371">
        <f t="shared" si="9"/>
        <v>18931157.34</v>
      </c>
      <c r="N252" s="35">
        <v>79488.55</v>
      </c>
      <c r="O252" s="35">
        <v>324837.7</v>
      </c>
      <c r="P252" s="35">
        <v>652835.30000000005</v>
      </c>
      <c r="Q252" s="35">
        <v>181782.73</v>
      </c>
      <c r="R252" s="35">
        <v>398719.65</v>
      </c>
      <c r="S252" s="409">
        <v>87983.95</v>
      </c>
      <c r="T252" s="35">
        <v>34460</v>
      </c>
      <c r="U252" s="380">
        <v>22100</v>
      </c>
      <c r="V252" s="35">
        <v>58733.7</v>
      </c>
      <c r="W252" s="393"/>
      <c r="X252" s="372">
        <f t="shared" si="10"/>
        <v>20772098.919999998</v>
      </c>
      <c r="Y252" s="35">
        <v>163262.39999999999</v>
      </c>
      <c r="Z252" s="380"/>
      <c r="AA252" s="35">
        <v>2298904</v>
      </c>
      <c r="AB252" s="380"/>
      <c r="AC252" s="35">
        <v>1158792.3999999999</v>
      </c>
      <c r="AD252" s="380">
        <v>85863.5</v>
      </c>
      <c r="AE252" s="35"/>
      <c r="AF252" s="380"/>
      <c r="AG252" s="35">
        <v>960</v>
      </c>
      <c r="AH252" s="380"/>
      <c r="AI252" s="35"/>
      <c r="AJ252" s="380"/>
      <c r="AK252" s="35"/>
      <c r="AL252" s="403">
        <f t="shared" si="11"/>
        <v>3707782.3</v>
      </c>
      <c r="AM252" s="18">
        <v>75</v>
      </c>
      <c r="AN252" s="33">
        <v>9716</v>
      </c>
      <c r="AO252" s="393">
        <v>-632928.4</v>
      </c>
      <c r="AP252" s="35"/>
      <c r="AQ252" s="35">
        <v>-185.05</v>
      </c>
      <c r="AR252" s="35">
        <v>1</v>
      </c>
    </row>
    <row r="253" spans="1:44" x14ac:dyDescent="0.25">
      <c r="A253" s="383">
        <v>5827</v>
      </c>
      <c r="B253" s="367" t="s">
        <v>15</v>
      </c>
      <c r="C253" s="35">
        <v>453528.81</v>
      </c>
      <c r="D253" s="35">
        <v>42519.95</v>
      </c>
      <c r="E253" s="397"/>
      <c r="F253" s="368">
        <v>1470</v>
      </c>
      <c r="G253" s="368">
        <v>12988.25</v>
      </c>
      <c r="H253" s="370">
        <v>377.5</v>
      </c>
      <c r="I253" s="368"/>
      <c r="J253" s="370">
        <v>-141.22999999999999</v>
      </c>
      <c r="K253" s="368">
        <v>469.35</v>
      </c>
      <c r="L253" s="370">
        <v>33699.65</v>
      </c>
      <c r="M253" s="371">
        <f t="shared" si="9"/>
        <v>544912.28</v>
      </c>
      <c r="N253" s="35">
        <v>20433.599999999999</v>
      </c>
      <c r="O253" s="35"/>
      <c r="P253" s="35">
        <v>10809.4</v>
      </c>
      <c r="Q253" s="35">
        <v>1985.27</v>
      </c>
      <c r="R253" s="35">
        <v>7486.1</v>
      </c>
      <c r="S253" s="409"/>
      <c r="T253" s="35"/>
      <c r="U253" s="380">
        <v>1775</v>
      </c>
      <c r="V253" s="35"/>
      <c r="W253" s="393"/>
      <c r="X253" s="372">
        <f t="shared" si="10"/>
        <v>587401.65</v>
      </c>
      <c r="Y253" s="35"/>
      <c r="Z253" s="380"/>
      <c r="AA253" s="35">
        <v>43015.199999999997</v>
      </c>
      <c r="AB253" s="380"/>
      <c r="AC253" s="35">
        <v>13360</v>
      </c>
      <c r="AD253" s="380"/>
      <c r="AE253" s="35"/>
      <c r="AF253" s="380"/>
      <c r="AG253" s="35"/>
      <c r="AH253" s="380"/>
      <c r="AI253" s="35"/>
      <c r="AJ253" s="380"/>
      <c r="AK253" s="35"/>
      <c r="AL253" s="403">
        <f t="shared" si="11"/>
        <v>56375.199999999997</v>
      </c>
      <c r="AM253" s="18">
        <v>80</v>
      </c>
      <c r="AN253" s="33">
        <v>268</v>
      </c>
      <c r="AO253" s="393">
        <v>-6716.17</v>
      </c>
      <c r="AP253" s="35"/>
      <c r="AQ253" s="35">
        <v>0</v>
      </c>
      <c r="AR253" s="35">
        <v>1</v>
      </c>
    </row>
    <row r="254" spans="1:44" x14ac:dyDescent="0.25">
      <c r="A254" s="383">
        <v>5828</v>
      </c>
      <c r="B254" s="367" t="s">
        <v>533</v>
      </c>
      <c r="C254" s="35">
        <v>167917.88</v>
      </c>
      <c r="D254" s="35">
        <v>16913.240000000002</v>
      </c>
      <c r="E254" s="397"/>
      <c r="F254" s="368"/>
      <c r="G254" s="368">
        <v>497.3</v>
      </c>
      <c r="H254" s="370">
        <v>59.95</v>
      </c>
      <c r="I254" s="368"/>
      <c r="J254" s="370">
        <v>184.94</v>
      </c>
      <c r="K254" s="368"/>
      <c r="L254" s="370">
        <v>21781.3</v>
      </c>
      <c r="M254" s="371">
        <f t="shared" si="9"/>
        <v>207354.61</v>
      </c>
      <c r="N254" s="35"/>
      <c r="O254" s="35">
        <v>3117.5</v>
      </c>
      <c r="P254" s="35">
        <v>13181.75</v>
      </c>
      <c r="Q254" s="35"/>
      <c r="R254" s="35">
        <v>19729.900000000001</v>
      </c>
      <c r="S254" s="409"/>
      <c r="T254" s="35"/>
      <c r="U254" s="380">
        <v>540</v>
      </c>
      <c r="V254" s="35"/>
      <c r="W254" s="393"/>
      <c r="X254" s="372">
        <f t="shared" si="10"/>
        <v>243923.75999999998</v>
      </c>
      <c r="Y254" s="35">
        <v>4000</v>
      </c>
      <c r="Z254" s="380"/>
      <c r="AA254" s="35">
        <v>19960.75</v>
      </c>
      <c r="AB254" s="380"/>
      <c r="AC254" s="35">
        <v>9881.9500000000007</v>
      </c>
      <c r="AD254" s="380">
        <v>6930</v>
      </c>
      <c r="AE254" s="35"/>
      <c r="AF254" s="380"/>
      <c r="AG254" s="35"/>
      <c r="AH254" s="380">
        <v>2834.6</v>
      </c>
      <c r="AI254" s="35"/>
      <c r="AJ254" s="380"/>
      <c r="AK254" s="35"/>
      <c r="AL254" s="403">
        <f t="shared" si="11"/>
        <v>43607.299999999996</v>
      </c>
      <c r="AM254" s="18">
        <v>84</v>
      </c>
      <c r="AN254" s="33">
        <v>122</v>
      </c>
      <c r="AO254" s="393">
        <v>-8514.61</v>
      </c>
      <c r="AP254" s="35"/>
      <c r="AQ254" s="35">
        <v>0</v>
      </c>
      <c r="AR254" s="35">
        <v>1.5</v>
      </c>
    </row>
    <row r="255" spans="1:44" x14ac:dyDescent="0.25">
      <c r="A255" s="383">
        <v>5830</v>
      </c>
      <c r="B255" s="367" t="s">
        <v>16</v>
      </c>
      <c r="C255" s="35">
        <v>666513.9</v>
      </c>
      <c r="D255" s="35">
        <v>80234.98</v>
      </c>
      <c r="E255" s="397"/>
      <c r="F255" s="368"/>
      <c r="G255" s="368">
        <v>14104.7</v>
      </c>
      <c r="H255" s="370">
        <v>157.44999999999999</v>
      </c>
      <c r="I255" s="368"/>
      <c r="J255" s="370">
        <v>18139.03</v>
      </c>
      <c r="K255" s="368">
        <v>1384.7</v>
      </c>
      <c r="L255" s="370">
        <v>54020.85</v>
      </c>
      <c r="M255" s="371">
        <f t="shared" si="9"/>
        <v>834555.60999999987</v>
      </c>
      <c r="N255" s="35"/>
      <c r="O255" s="35"/>
      <c r="P255" s="35">
        <v>44385</v>
      </c>
      <c r="Q255" s="35">
        <v>50.17</v>
      </c>
      <c r="R255" s="35">
        <v>18401</v>
      </c>
      <c r="S255" s="409"/>
      <c r="T255" s="35"/>
      <c r="U255" s="380">
        <v>2940</v>
      </c>
      <c r="V255" s="35"/>
      <c r="W255" s="393"/>
      <c r="X255" s="372">
        <f t="shared" si="10"/>
        <v>900331.77999999991</v>
      </c>
      <c r="Y255" s="35">
        <v>14000</v>
      </c>
      <c r="Z255" s="380"/>
      <c r="AA255" s="35">
        <v>59381.4</v>
      </c>
      <c r="AB255" s="380"/>
      <c r="AC255" s="35">
        <v>33368.15</v>
      </c>
      <c r="AD255" s="380">
        <v>4000</v>
      </c>
      <c r="AE255" s="35"/>
      <c r="AF255" s="380"/>
      <c r="AG255" s="35"/>
      <c r="AH255" s="380"/>
      <c r="AI255" s="35"/>
      <c r="AJ255" s="380"/>
      <c r="AK255" s="35"/>
      <c r="AL255" s="403">
        <f t="shared" si="11"/>
        <v>110749.54999999999</v>
      </c>
      <c r="AM255" s="18">
        <v>79</v>
      </c>
      <c r="AN255" s="33">
        <v>417</v>
      </c>
      <c r="AO255" s="393">
        <v>-3301.08</v>
      </c>
      <c r="AP255" s="35"/>
      <c r="AQ255" s="35">
        <v>-0.89</v>
      </c>
      <c r="AR255" s="35">
        <v>1</v>
      </c>
    </row>
    <row r="256" spans="1:44" x14ac:dyDescent="0.25">
      <c r="A256" s="383">
        <v>5831</v>
      </c>
      <c r="B256" s="367" t="s">
        <v>444</v>
      </c>
      <c r="C256" s="35">
        <v>4453398.46</v>
      </c>
      <c r="D256" s="35">
        <v>649578</v>
      </c>
      <c r="E256" s="397"/>
      <c r="F256" s="368"/>
      <c r="G256" s="368">
        <v>463707.2</v>
      </c>
      <c r="H256" s="370">
        <v>3255.95</v>
      </c>
      <c r="I256" s="368"/>
      <c r="J256" s="370">
        <v>133776.45000000001</v>
      </c>
      <c r="K256" s="368">
        <v>3274.7</v>
      </c>
      <c r="L256" s="370">
        <v>237489.45</v>
      </c>
      <c r="M256" s="371">
        <f t="shared" si="9"/>
        <v>5944480.2100000009</v>
      </c>
      <c r="N256" s="35">
        <v>28878.2</v>
      </c>
      <c r="O256" s="35">
        <v>239598.05</v>
      </c>
      <c r="P256" s="35">
        <v>269533.90000000002</v>
      </c>
      <c r="Q256" s="35">
        <v>21451.98</v>
      </c>
      <c r="R256" s="35">
        <v>140805.75</v>
      </c>
      <c r="S256" s="409"/>
      <c r="T256" s="35"/>
      <c r="U256" s="380">
        <v>15550</v>
      </c>
      <c r="V256" s="35"/>
      <c r="W256" s="393"/>
      <c r="X256" s="372">
        <f t="shared" si="10"/>
        <v>6660298.0900000017</v>
      </c>
      <c r="Y256" s="35">
        <v>687870</v>
      </c>
      <c r="Z256" s="380"/>
      <c r="AA256" s="35">
        <v>317838.09999999998</v>
      </c>
      <c r="AB256" s="380"/>
      <c r="AC256" s="35">
        <v>264377.62</v>
      </c>
      <c r="AD256" s="380">
        <v>191710.05</v>
      </c>
      <c r="AE256" s="35"/>
      <c r="AF256" s="380"/>
      <c r="AG256" s="35"/>
      <c r="AH256" s="380">
        <v>153421.20000000001</v>
      </c>
      <c r="AI256" s="35"/>
      <c r="AJ256" s="380"/>
      <c r="AK256" s="35"/>
      <c r="AL256" s="403">
        <f t="shared" si="11"/>
        <v>1615216.97</v>
      </c>
      <c r="AM256" s="18">
        <v>73</v>
      </c>
      <c r="AN256" s="33">
        <v>3035</v>
      </c>
      <c r="AO256" s="393">
        <v>-78152.509999999995</v>
      </c>
      <c r="AP256" s="35"/>
      <c r="AQ256" s="35">
        <v>-129.99</v>
      </c>
      <c r="AR256" s="35">
        <v>0.6</v>
      </c>
    </row>
    <row r="257" spans="1:44" x14ac:dyDescent="0.25">
      <c r="A257" s="383">
        <v>5841</v>
      </c>
      <c r="B257" s="367" t="s">
        <v>17</v>
      </c>
      <c r="C257" s="35">
        <v>5550985.0199999996</v>
      </c>
      <c r="D257" s="35">
        <v>1738056.87</v>
      </c>
      <c r="E257" s="397"/>
      <c r="F257" s="368"/>
      <c r="G257" s="368">
        <v>261536.45</v>
      </c>
      <c r="H257" s="370">
        <v>74261.149999999994</v>
      </c>
      <c r="I257" s="368">
        <v>527038.55000000005</v>
      </c>
      <c r="J257" s="370">
        <v>341795.83</v>
      </c>
      <c r="K257" s="368">
        <v>29642.55</v>
      </c>
      <c r="L257" s="370">
        <v>1401870.75</v>
      </c>
      <c r="M257" s="371">
        <f t="shared" ref="M257:M315" si="13">SUM(C257:L257)</f>
        <v>9925187.1699999999</v>
      </c>
      <c r="N257" s="35">
        <v>6087.3</v>
      </c>
      <c r="O257" s="35">
        <v>389778.3</v>
      </c>
      <c r="P257" s="35">
        <v>529843.15</v>
      </c>
      <c r="Q257" s="35">
        <v>13534.32</v>
      </c>
      <c r="R257" s="35">
        <v>212308.15</v>
      </c>
      <c r="S257" s="367">
        <v>-37.5</v>
      </c>
      <c r="T257" s="35">
        <v>31840.95</v>
      </c>
      <c r="U257" s="380">
        <v>24870</v>
      </c>
      <c r="V257" s="35">
        <v>570</v>
      </c>
      <c r="W257" s="393"/>
      <c r="X257" s="372">
        <f t="shared" si="10"/>
        <v>11133981.840000002</v>
      </c>
      <c r="Y257" s="35">
        <v>116018.52</v>
      </c>
      <c r="Z257" s="380"/>
      <c r="AA257" s="35">
        <v>1083872.42</v>
      </c>
      <c r="AB257" s="380"/>
      <c r="AC257" s="35">
        <v>593232.79</v>
      </c>
      <c r="AD257" s="380"/>
      <c r="AE257" s="35"/>
      <c r="AF257" s="380"/>
      <c r="AG257" s="35">
        <v>590576.29</v>
      </c>
      <c r="AH257" s="380">
        <v>155661.9</v>
      </c>
      <c r="AI257" s="35"/>
      <c r="AJ257" s="380"/>
      <c r="AK257" s="35"/>
      <c r="AL257" s="403">
        <f t="shared" si="11"/>
        <v>2539361.92</v>
      </c>
      <c r="AM257" s="18">
        <v>83</v>
      </c>
      <c r="AN257" s="33">
        <v>3433</v>
      </c>
      <c r="AO257" s="393">
        <v>-121594.72</v>
      </c>
      <c r="AP257" s="35"/>
      <c r="AQ257" s="35">
        <v>-2399.7600000000002</v>
      </c>
      <c r="AR257" s="35">
        <v>1.5</v>
      </c>
    </row>
    <row r="258" spans="1:44" x14ac:dyDescent="0.25">
      <c r="A258" s="383">
        <v>5842</v>
      </c>
      <c r="B258" s="367" t="s">
        <v>18</v>
      </c>
      <c r="C258" s="35">
        <v>695752.04</v>
      </c>
      <c r="D258" s="35">
        <v>178037.63</v>
      </c>
      <c r="E258" s="397"/>
      <c r="F258" s="368"/>
      <c r="G258" s="368">
        <v>15192.4</v>
      </c>
      <c r="H258" s="370">
        <v>175.4</v>
      </c>
      <c r="I258" s="368">
        <v>24596.85</v>
      </c>
      <c r="J258" s="370">
        <v>17398.23</v>
      </c>
      <c r="K258" s="368">
        <v>369.65</v>
      </c>
      <c r="L258" s="370">
        <v>128808.65</v>
      </c>
      <c r="M258" s="371">
        <f t="shared" si="13"/>
        <v>1060330.8500000001</v>
      </c>
      <c r="N258" s="35"/>
      <c r="O258" s="35">
        <v>51868.5</v>
      </c>
      <c r="P258" s="35">
        <v>21807.5</v>
      </c>
      <c r="Q258" s="35">
        <v>3076.88</v>
      </c>
      <c r="R258" s="35">
        <v>12361.7</v>
      </c>
      <c r="S258" s="367"/>
      <c r="T258" s="35"/>
      <c r="U258" s="380">
        <v>4000</v>
      </c>
      <c r="V258" s="35"/>
      <c r="W258" s="393"/>
      <c r="X258" s="372">
        <f t="shared" si="10"/>
        <v>1153445.43</v>
      </c>
      <c r="Y258" s="35">
        <v>4762.3500000000004</v>
      </c>
      <c r="Z258" s="380"/>
      <c r="AA258" s="35">
        <v>78300</v>
      </c>
      <c r="AB258" s="380"/>
      <c r="AC258" s="35">
        <v>39234.35</v>
      </c>
      <c r="AD258" s="380">
        <v>4762.3500000000004</v>
      </c>
      <c r="AE258" s="35"/>
      <c r="AF258" s="380"/>
      <c r="AG258" s="35"/>
      <c r="AH258" s="380"/>
      <c r="AI258" s="35"/>
      <c r="AJ258" s="380"/>
      <c r="AK258" s="35"/>
      <c r="AL258" s="403">
        <f t="shared" si="11"/>
        <v>127059.05000000002</v>
      </c>
      <c r="AM258" s="18">
        <v>81</v>
      </c>
      <c r="AN258" s="33">
        <v>545</v>
      </c>
      <c r="AO258" s="393">
        <v>-5268.32</v>
      </c>
      <c r="AP258" s="35"/>
      <c r="AQ258" s="35">
        <v>-97.71</v>
      </c>
      <c r="AR258" s="35">
        <v>1.5</v>
      </c>
    </row>
    <row r="259" spans="1:44" x14ac:dyDescent="0.25">
      <c r="A259" s="383">
        <v>5843</v>
      </c>
      <c r="B259" s="367" t="s">
        <v>19</v>
      </c>
      <c r="C259" s="35">
        <v>2315327.14</v>
      </c>
      <c r="D259" s="35">
        <v>1875942.43</v>
      </c>
      <c r="E259" s="397"/>
      <c r="F259" s="368"/>
      <c r="G259" s="368">
        <v>182255.45</v>
      </c>
      <c r="H259" s="370">
        <v>10083.65</v>
      </c>
      <c r="I259" s="368">
        <v>1313074.51</v>
      </c>
      <c r="J259" s="370">
        <v>83618.48</v>
      </c>
      <c r="K259" s="368">
        <v>39669</v>
      </c>
      <c r="L259" s="370">
        <v>1114751.55</v>
      </c>
      <c r="M259" s="371">
        <f t="shared" si="13"/>
        <v>6934722.2100000009</v>
      </c>
      <c r="N259" s="35"/>
      <c r="O259" s="35">
        <v>271009.8</v>
      </c>
      <c r="P259" s="35">
        <v>285187.20000000001</v>
      </c>
      <c r="Q259" s="35">
        <v>1.23</v>
      </c>
      <c r="R259" s="35">
        <v>400319.65</v>
      </c>
      <c r="S259" s="367"/>
      <c r="T259" s="35">
        <v>2108.75</v>
      </c>
      <c r="U259" s="380">
        <v>5430</v>
      </c>
      <c r="V259" s="35"/>
      <c r="W259" s="393"/>
      <c r="X259" s="372">
        <f t="shared" si="10"/>
        <v>7898778.8400000017</v>
      </c>
      <c r="Y259" s="35">
        <v>21600</v>
      </c>
      <c r="Z259" s="380"/>
      <c r="AA259" s="35">
        <v>223978.18</v>
      </c>
      <c r="AB259" s="380"/>
      <c r="AC259" s="35">
        <v>238317.54</v>
      </c>
      <c r="AD259" s="380">
        <v>48600</v>
      </c>
      <c r="AE259" s="35"/>
      <c r="AF259" s="380"/>
      <c r="AG259" s="35">
        <v>780866.31</v>
      </c>
      <c r="AH259" s="380">
        <v>79240.899999999994</v>
      </c>
      <c r="AI259" s="35"/>
      <c r="AJ259" s="380"/>
      <c r="AK259" s="35"/>
      <c r="AL259" s="403">
        <f t="shared" si="11"/>
        <v>1392602.93</v>
      </c>
      <c r="AM259" s="18">
        <v>74</v>
      </c>
      <c r="AN259" s="33">
        <v>882</v>
      </c>
      <c r="AO259" s="393">
        <v>-53275.41</v>
      </c>
      <c r="AP259" s="35"/>
      <c r="AQ259" s="35">
        <v>-5363.1</v>
      </c>
      <c r="AR259" s="35">
        <v>1.5</v>
      </c>
    </row>
    <row r="260" spans="1:44" x14ac:dyDescent="0.25">
      <c r="A260" s="383">
        <v>5851</v>
      </c>
      <c r="B260" s="367" t="s">
        <v>20</v>
      </c>
      <c r="C260" s="35">
        <v>980174.5</v>
      </c>
      <c r="D260" s="35">
        <v>174289.54</v>
      </c>
      <c r="E260" s="397"/>
      <c r="F260" s="368"/>
      <c r="G260" s="368">
        <v>180996.3</v>
      </c>
      <c r="H260" s="370">
        <v>10072.799999999999</v>
      </c>
      <c r="I260" s="368">
        <v>146101.65</v>
      </c>
      <c r="J260" s="370">
        <v>60745.440000000002</v>
      </c>
      <c r="K260" s="368">
        <v>28577.3</v>
      </c>
      <c r="L260" s="370">
        <v>235688.75</v>
      </c>
      <c r="M260" s="371">
        <f t="shared" si="13"/>
        <v>1816646.28</v>
      </c>
      <c r="N260" s="35">
        <v>27948.65</v>
      </c>
      <c r="O260" s="35">
        <v>21620.1</v>
      </c>
      <c r="P260" s="35">
        <v>22440</v>
      </c>
      <c r="Q260" s="35">
        <v>0</v>
      </c>
      <c r="R260" s="35">
        <v>24488.799999999999</v>
      </c>
      <c r="S260" s="367">
        <v>44535.6</v>
      </c>
      <c r="T260" s="35"/>
      <c r="U260" s="380">
        <v>1925</v>
      </c>
      <c r="V260" s="35"/>
      <c r="W260" s="393"/>
      <c r="X260" s="372">
        <f t="shared" si="10"/>
        <v>1959604.4300000002</v>
      </c>
      <c r="Y260" s="35"/>
      <c r="Z260" s="380"/>
      <c r="AA260" s="35">
        <v>197358.15</v>
      </c>
      <c r="AB260" s="380"/>
      <c r="AC260" s="35">
        <v>29591.75</v>
      </c>
      <c r="AD260" s="380"/>
      <c r="AE260" s="35"/>
      <c r="AF260" s="380"/>
      <c r="AG260" s="35"/>
      <c r="AH260" s="380">
        <v>57939.3</v>
      </c>
      <c r="AI260" s="35"/>
      <c r="AJ260" s="380"/>
      <c r="AK260" s="35"/>
      <c r="AL260" s="403">
        <f t="shared" si="11"/>
        <v>284889.2</v>
      </c>
      <c r="AM260" s="18">
        <v>62</v>
      </c>
      <c r="AN260" s="33">
        <v>442</v>
      </c>
      <c r="AO260" s="393">
        <v>-20033.97</v>
      </c>
      <c r="AP260" s="35"/>
      <c r="AQ260" s="35">
        <v>-192.23</v>
      </c>
      <c r="AR260" s="35">
        <v>1.1000000000000001</v>
      </c>
    </row>
    <row r="261" spans="1:44" x14ac:dyDescent="0.25">
      <c r="A261" s="383">
        <v>5852</v>
      </c>
      <c r="B261" s="367" t="s">
        <v>21</v>
      </c>
      <c r="C261" s="35">
        <v>1407819.7</v>
      </c>
      <c r="D261" s="35">
        <v>480937.4</v>
      </c>
      <c r="E261" s="397"/>
      <c r="F261" s="368"/>
      <c r="G261" s="368">
        <v>11645.85</v>
      </c>
      <c r="H261" s="370">
        <v>1863.9</v>
      </c>
      <c r="I261" s="368">
        <v>337827.75</v>
      </c>
      <c r="J261" s="370">
        <v>130024.34</v>
      </c>
      <c r="K261" s="368">
        <v>6707.65</v>
      </c>
      <c r="L261" s="370">
        <v>170328.9</v>
      </c>
      <c r="M261" s="371">
        <f t="shared" si="13"/>
        <v>2547155.4899999998</v>
      </c>
      <c r="N261" s="35">
        <v>8338.25</v>
      </c>
      <c r="O261" s="35">
        <v>2681875</v>
      </c>
      <c r="P261" s="35">
        <v>207295.25</v>
      </c>
      <c r="Q261" s="35">
        <v>1073.69</v>
      </c>
      <c r="R261" s="35">
        <v>107361.75</v>
      </c>
      <c r="S261" s="367"/>
      <c r="T261" s="35"/>
      <c r="U261" s="380">
        <v>3655</v>
      </c>
      <c r="V261" s="35"/>
      <c r="W261" s="393"/>
      <c r="X261" s="372">
        <f t="shared" si="10"/>
        <v>5556754.4300000006</v>
      </c>
      <c r="Y261" s="35">
        <v>15312.6</v>
      </c>
      <c r="Z261" s="380"/>
      <c r="AA261" s="35">
        <v>41505</v>
      </c>
      <c r="AB261" s="380"/>
      <c r="AC261" s="35">
        <v>22532.5</v>
      </c>
      <c r="AD261" s="380"/>
      <c r="AE261" s="35"/>
      <c r="AF261" s="380"/>
      <c r="AG261" s="35">
        <v>1285.9000000000001</v>
      </c>
      <c r="AH261" s="380"/>
      <c r="AI261" s="35"/>
      <c r="AJ261" s="380"/>
      <c r="AK261" s="35"/>
      <c r="AL261" s="403">
        <f t="shared" si="11"/>
        <v>80636</v>
      </c>
      <c r="AM261" s="18">
        <v>65.5</v>
      </c>
      <c r="AN261" s="33">
        <v>488</v>
      </c>
      <c r="AO261" s="393">
        <v>-6310.4</v>
      </c>
      <c r="AP261" s="35"/>
      <c r="AQ261" s="35">
        <v>-1971.28</v>
      </c>
      <c r="AR261" s="35">
        <v>1</v>
      </c>
    </row>
    <row r="262" spans="1:44" x14ac:dyDescent="0.25">
      <c r="A262" s="383">
        <v>5853</v>
      </c>
      <c r="B262" s="367" t="s">
        <v>22</v>
      </c>
      <c r="C262" s="35">
        <v>1679672.66</v>
      </c>
      <c r="D262" s="35">
        <v>341700</v>
      </c>
      <c r="E262" s="397"/>
      <c r="F262" s="368"/>
      <c r="G262" s="368">
        <v>50110.2</v>
      </c>
      <c r="H262" s="370">
        <v>8984.15</v>
      </c>
      <c r="I262" s="368">
        <v>256574.3</v>
      </c>
      <c r="J262" s="370">
        <v>83353.259999999995</v>
      </c>
      <c r="K262" s="368">
        <v>8287.65</v>
      </c>
      <c r="L262" s="370">
        <v>191238.1</v>
      </c>
      <c r="M262" s="371">
        <f t="shared" si="13"/>
        <v>2619920.3199999994</v>
      </c>
      <c r="N262" s="35">
        <v>24763.7</v>
      </c>
      <c r="O262" s="35">
        <v>123783.5</v>
      </c>
      <c r="P262" s="35">
        <v>79721.899999999994</v>
      </c>
      <c r="Q262" s="35">
        <v>4065.52</v>
      </c>
      <c r="R262" s="35">
        <v>85713.1</v>
      </c>
      <c r="S262" s="367"/>
      <c r="T262" s="35"/>
      <c r="U262" s="380">
        <v>5250</v>
      </c>
      <c r="V262" s="35"/>
      <c r="W262" s="393"/>
      <c r="X262" s="372">
        <f t="shared" si="10"/>
        <v>2943218.0399999996</v>
      </c>
      <c r="Y262" s="35"/>
      <c r="Z262" s="380"/>
      <c r="AA262" s="35">
        <v>178962.5</v>
      </c>
      <c r="AB262" s="380"/>
      <c r="AC262" s="35">
        <v>45550.55</v>
      </c>
      <c r="AD262" s="380"/>
      <c r="AE262" s="35"/>
      <c r="AF262" s="380"/>
      <c r="AG262" s="35">
        <v>9473</v>
      </c>
      <c r="AH262" s="380"/>
      <c r="AI262" s="35"/>
      <c r="AJ262" s="380"/>
      <c r="AK262" s="35"/>
      <c r="AL262" s="403">
        <f t="shared" si="11"/>
        <v>233986.05</v>
      </c>
      <c r="AM262" s="18">
        <v>71</v>
      </c>
      <c r="AN262" s="33">
        <v>745</v>
      </c>
      <c r="AO262" s="393">
        <v>-58273.05</v>
      </c>
      <c r="AP262" s="35"/>
      <c r="AQ262" s="35">
        <v>-479.8</v>
      </c>
      <c r="AR262" s="35">
        <v>1</v>
      </c>
    </row>
    <row r="263" spans="1:44" x14ac:dyDescent="0.25">
      <c r="A263" s="383">
        <v>5854</v>
      </c>
      <c r="B263" s="367" t="s">
        <v>23</v>
      </c>
      <c r="C263" s="35">
        <v>565727.39</v>
      </c>
      <c r="D263" s="35">
        <v>119391.28</v>
      </c>
      <c r="E263" s="397"/>
      <c r="F263" s="368"/>
      <c r="G263" s="368">
        <v>57278.85</v>
      </c>
      <c r="H263" s="370">
        <v>554.4</v>
      </c>
      <c r="I263" s="368"/>
      <c r="J263" s="370">
        <v>15625.34</v>
      </c>
      <c r="K263" s="368">
        <v>1051.2</v>
      </c>
      <c r="L263" s="370">
        <v>83631.95</v>
      </c>
      <c r="M263" s="371">
        <f t="shared" si="13"/>
        <v>843260.40999999992</v>
      </c>
      <c r="N263" s="35">
        <v>17103</v>
      </c>
      <c r="O263" s="35"/>
      <c r="P263" s="35">
        <v>70739.75</v>
      </c>
      <c r="Q263" s="35"/>
      <c r="R263" s="35">
        <v>57416</v>
      </c>
      <c r="S263" s="367"/>
      <c r="T263" s="35"/>
      <c r="U263" s="380">
        <v>1025</v>
      </c>
      <c r="V263" s="35"/>
      <c r="W263" s="393"/>
      <c r="X263" s="372">
        <f t="shared" si="10"/>
        <v>989544.15999999992</v>
      </c>
      <c r="Y263" s="35">
        <v>1000</v>
      </c>
      <c r="Z263" s="380"/>
      <c r="AA263" s="35">
        <v>91201.25</v>
      </c>
      <c r="AB263" s="380"/>
      <c r="AC263" s="35">
        <v>28910</v>
      </c>
      <c r="AD263" s="380"/>
      <c r="AE263" s="35"/>
      <c r="AF263" s="380"/>
      <c r="AG263" s="35">
        <v>399.7</v>
      </c>
      <c r="AH263" s="380">
        <v>8749.7999999999993</v>
      </c>
      <c r="AI263" s="35"/>
      <c r="AJ263" s="380"/>
      <c r="AK263" s="35"/>
      <c r="AL263" s="403">
        <f t="shared" si="11"/>
        <v>130260.75</v>
      </c>
      <c r="AM263" s="18">
        <v>80</v>
      </c>
      <c r="AN263" s="33">
        <v>361</v>
      </c>
      <c r="AO263" s="393">
        <v>-781.83</v>
      </c>
      <c r="AP263" s="35"/>
      <c r="AQ263" s="35">
        <v>-133.74</v>
      </c>
      <c r="AR263" s="35">
        <v>1.5</v>
      </c>
    </row>
    <row r="264" spans="1:44" x14ac:dyDescent="0.25">
      <c r="A264" s="383">
        <v>5855</v>
      </c>
      <c r="B264" s="367" t="s">
        <v>24</v>
      </c>
      <c r="C264" s="35">
        <v>1917565.92</v>
      </c>
      <c r="D264" s="35">
        <v>886271.81</v>
      </c>
      <c r="E264" s="397"/>
      <c r="F264" s="368"/>
      <c r="G264" s="368">
        <v>47360.7</v>
      </c>
      <c r="H264" s="370">
        <v>3090.65</v>
      </c>
      <c r="I264" s="368">
        <v>540610.02</v>
      </c>
      <c r="J264" s="370">
        <v>107810.65</v>
      </c>
      <c r="K264" s="368">
        <v>8960.25</v>
      </c>
      <c r="L264" s="370">
        <v>169335.55</v>
      </c>
      <c r="M264" s="371">
        <f t="shared" si="13"/>
        <v>3681005.55</v>
      </c>
      <c r="N264" s="35">
        <v>1345.35</v>
      </c>
      <c r="O264" s="35"/>
      <c r="P264" s="35">
        <v>96380.85</v>
      </c>
      <c r="Q264" s="35"/>
      <c r="R264" s="35">
        <v>87104.85</v>
      </c>
      <c r="S264" s="367"/>
      <c r="T264" s="35"/>
      <c r="U264" s="380">
        <v>2020</v>
      </c>
      <c r="V264" s="35"/>
      <c r="W264" s="393"/>
      <c r="X264" s="372">
        <f t="shared" ref="X264:X315" si="14">SUM(M264:W264)</f>
        <v>3867856.6</v>
      </c>
      <c r="Y264" s="35">
        <v>20050.8</v>
      </c>
      <c r="Z264" s="380"/>
      <c r="AA264" s="35">
        <v>128168.55</v>
      </c>
      <c r="AB264" s="380"/>
      <c r="AC264" s="35">
        <v>30525</v>
      </c>
      <c r="AD264" s="380"/>
      <c r="AE264" s="35"/>
      <c r="AF264" s="380"/>
      <c r="AG264" s="35">
        <v>2222.6</v>
      </c>
      <c r="AH264" s="380"/>
      <c r="AI264" s="35"/>
      <c r="AJ264" s="380"/>
      <c r="AK264" s="35"/>
      <c r="AL264" s="403">
        <f t="shared" ref="AL264:AL315" si="15">SUM(Y264:AK264)</f>
        <v>180966.95</v>
      </c>
      <c r="AM264" s="18">
        <v>49</v>
      </c>
      <c r="AN264" s="33">
        <v>640</v>
      </c>
      <c r="AO264" s="393">
        <v>-4816.03</v>
      </c>
      <c r="AP264" s="35"/>
      <c r="AQ264" s="35">
        <v>-2621.16</v>
      </c>
      <c r="AR264" s="35">
        <v>0.5</v>
      </c>
    </row>
    <row r="265" spans="1:44" x14ac:dyDescent="0.25">
      <c r="A265" s="383">
        <v>5856</v>
      </c>
      <c r="B265" s="367" t="s">
        <v>25</v>
      </c>
      <c r="C265" s="35">
        <v>1633824.6</v>
      </c>
      <c r="D265" s="35">
        <v>278750.55</v>
      </c>
      <c r="E265" s="397"/>
      <c r="F265" s="368"/>
      <c r="G265" s="368">
        <v>3543.2</v>
      </c>
      <c r="H265" s="370">
        <v>1318.3</v>
      </c>
      <c r="I265" s="368">
        <v>190327.85</v>
      </c>
      <c r="J265" s="370">
        <v>57015.24</v>
      </c>
      <c r="K265" s="368">
        <v>2727.6</v>
      </c>
      <c r="L265" s="370">
        <v>221817.2</v>
      </c>
      <c r="M265" s="371">
        <f t="shared" si="13"/>
        <v>2389324.5400000005</v>
      </c>
      <c r="N265" s="35">
        <v>3050.8</v>
      </c>
      <c r="O265" s="35">
        <v>235101.65</v>
      </c>
      <c r="P265" s="35">
        <v>43760.25</v>
      </c>
      <c r="Q265" s="35">
        <v>3224.22</v>
      </c>
      <c r="R265" s="35">
        <v>39422.949999999997</v>
      </c>
      <c r="S265" s="367"/>
      <c r="T265" s="35"/>
      <c r="U265" s="380">
        <v>2808.35</v>
      </c>
      <c r="V265" s="35"/>
      <c r="W265" s="393"/>
      <c r="X265" s="372">
        <f t="shared" si="14"/>
        <v>2716692.7600000007</v>
      </c>
      <c r="Y265" s="35">
        <v>6370.35</v>
      </c>
      <c r="Z265" s="380"/>
      <c r="AA265" s="35">
        <v>140296.15</v>
      </c>
      <c r="AB265" s="380"/>
      <c r="AC265" s="35">
        <v>59141.85</v>
      </c>
      <c r="AD265" s="380">
        <v>11121.95</v>
      </c>
      <c r="AE265" s="35"/>
      <c r="AF265" s="380"/>
      <c r="AG265" s="35"/>
      <c r="AH265" s="380"/>
      <c r="AI265" s="35"/>
      <c r="AJ265" s="380"/>
      <c r="AK265" s="35"/>
      <c r="AL265" s="403">
        <f t="shared" si="15"/>
        <v>216930.30000000002</v>
      </c>
      <c r="AM265" s="18">
        <v>68</v>
      </c>
      <c r="AN265" s="33">
        <v>696</v>
      </c>
      <c r="AO265" s="393">
        <v>-4845.28</v>
      </c>
      <c r="AP265" s="35"/>
      <c r="AQ265" s="35">
        <v>-336.96</v>
      </c>
      <c r="AR265" s="35">
        <v>1.3</v>
      </c>
    </row>
    <row r="266" spans="1:44" x14ac:dyDescent="0.25">
      <c r="A266" s="383">
        <v>5857</v>
      </c>
      <c r="B266" s="367" t="s">
        <v>26</v>
      </c>
      <c r="C266" s="35">
        <v>3660588.25</v>
      </c>
      <c r="D266" s="35">
        <v>874622.16</v>
      </c>
      <c r="E266" s="397"/>
      <c r="F266" s="368"/>
      <c r="G266" s="368">
        <v>65976.649999999994</v>
      </c>
      <c r="H266" s="370">
        <v>1454.6</v>
      </c>
      <c r="I266" s="368"/>
      <c r="J266" s="370">
        <v>142583.84</v>
      </c>
      <c r="K266" s="368">
        <v>10352.75</v>
      </c>
      <c r="L266" s="370">
        <v>349305.3</v>
      </c>
      <c r="M266" s="371">
        <f t="shared" si="13"/>
        <v>5104883.55</v>
      </c>
      <c r="N266" s="35">
        <v>88455.1</v>
      </c>
      <c r="O266" s="35">
        <v>74218.7</v>
      </c>
      <c r="P266" s="35">
        <v>238221.95</v>
      </c>
      <c r="Q266" s="35">
        <v>3446.66</v>
      </c>
      <c r="R266" s="35">
        <v>170605.4</v>
      </c>
      <c r="S266" s="367"/>
      <c r="T266" s="35"/>
      <c r="U266" s="380">
        <v>2640</v>
      </c>
      <c r="V266" s="35"/>
      <c r="W266" s="393"/>
      <c r="X266" s="372">
        <f t="shared" si="14"/>
        <v>5682471.3600000003</v>
      </c>
      <c r="Y266" s="35">
        <v>235020</v>
      </c>
      <c r="Z266" s="380"/>
      <c r="AA266" s="35">
        <v>101149.3</v>
      </c>
      <c r="AB266" s="380"/>
      <c r="AC266" s="35">
        <v>89619.35</v>
      </c>
      <c r="AD266" s="380"/>
      <c r="AE266" s="35"/>
      <c r="AF266" s="380"/>
      <c r="AG266" s="35">
        <v>2026.45</v>
      </c>
      <c r="AH266" s="380">
        <v>34852.85</v>
      </c>
      <c r="AI266" s="35"/>
      <c r="AJ266" s="380"/>
      <c r="AK266" s="35"/>
      <c r="AL266" s="403">
        <f t="shared" si="15"/>
        <v>462667.95</v>
      </c>
      <c r="AM266" s="18">
        <v>66</v>
      </c>
      <c r="AN266" s="33">
        <v>1294</v>
      </c>
      <c r="AO266" s="393">
        <v>-32962.92</v>
      </c>
      <c r="AP266" s="35"/>
      <c r="AQ266" s="35">
        <v>-411.98</v>
      </c>
      <c r="AR266" s="35">
        <v>1</v>
      </c>
    </row>
    <row r="267" spans="1:44" x14ac:dyDescent="0.25">
      <c r="A267" s="383">
        <v>5858</v>
      </c>
      <c r="B267" s="367" t="s">
        <v>27</v>
      </c>
      <c r="C267" s="35">
        <v>1335684.02</v>
      </c>
      <c r="D267" s="35">
        <v>315819.40999999997</v>
      </c>
      <c r="E267" s="397"/>
      <c r="F267" s="368"/>
      <c r="G267" s="368">
        <v>6011.45</v>
      </c>
      <c r="H267" s="370">
        <v>3354.4</v>
      </c>
      <c r="I267" s="368">
        <v>171069.7</v>
      </c>
      <c r="J267" s="370">
        <v>53935.73</v>
      </c>
      <c r="K267" s="368">
        <v>1039.5</v>
      </c>
      <c r="L267" s="370">
        <v>215656</v>
      </c>
      <c r="M267" s="371">
        <f t="shared" si="13"/>
        <v>2102570.21</v>
      </c>
      <c r="N267" s="35">
        <v>9337.1</v>
      </c>
      <c r="O267" s="35">
        <v>3226.4</v>
      </c>
      <c r="P267" s="35">
        <v>59278.95</v>
      </c>
      <c r="Q267" s="35">
        <v>39322.300000000003</v>
      </c>
      <c r="R267" s="35">
        <v>42849.2</v>
      </c>
      <c r="S267" s="367"/>
      <c r="T267" s="35">
        <v>500</v>
      </c>
      <c r="U267" s="380">
        <v>1950</v>
      </c>
      <c r="V267" s="35"/>
      <c r="W267" s="393"/>
      <c r="X267" s="372">
        <f t="shared" si="14"/>
        <v>2259034.16</v>
      </c>
      <c r="Y267" s="35">
        <v>9600</v>
      </c>
      <c r="Z267" s="380"/>
      <c r="AA267" s="35">
        <v>24494.5</v>
      </c>
      <c r="AB267" s="380"/>
      <c r="AC267" s="35">
        <v>35379.4</v>
      </c>
      <c r="AD267" s="380"/>
      <c r="AE267" s="35"/>
      <c r="AF267" s="380"/>
      <c r="AG267" s="35">
        <v>128.69999999999999</v>
      </c>
      <c r="AH267" s="380">
        <v>19268.849999999999</v>
      </c>
      <c r="AI267" s="35"/>
      <c r="AJ267" s="380"/>
      <c r="AK267" s="35"/>
      <c r="AL267" s="403">
        <f t="shared" si="15"/>
        <v>88871.449999999983</v>
      </c>
      <c r="AM267" s="18">
        <v>60</v>
      </c>
      <c r="AN267" s="33">
        <v>608</v>
      </c>
      <c r="AO267" s="393">
        <v>-15473.35</v>
      </c>
      <c r="AP267" s="35"/>
      <c r="AQ267" s="35">
        <v>-487.24</v>
      </c>
      <c r="AR267" s="35">
        <v>1.5</v>
      </c>
    </row>
    <row r="268" spans="1:44" x14ac:dyDescent="0.25">
      <c r="A268" s="383">
        <v>5859</v>
      </c>
      <c r="B268" s="367" t="s">
        <v>28</v>
      </c>
      <c r="C268" s="35">
        <v>6352620.6299999999</v>
      </c>
      <c r="D268" s="35">
        <v>1179555.79</v>
      </c>
      <c r="E268" s="397"/>
      <c r="F268" s="368"/>
      <c r="G268" s="368">
        <v>105268.55</v>
      </c>
      <c r="H268" s="370">
        <v>7176.9</v>
      </c>
      <c r="I268" s="368">
        <v>359170.5</v>
      </c>
      <c r="J268" s="370">
        <v>207146.41</v>
      </c>
      <c r="K268" s="368">
        <v>17333.150000000001</v>
      </c>
      <c r="L268" s="370">
        <v>620357.05000000005</v>
      </c>
      <c r="M268" s="371">
        <f t="shared" si="13"/>
        <v>8848628.9800000004</v>
      </c>
      <c r="N268" s="35">
        <v>96183.6</v>
      </c>
      <c r="O268" s="35">
        <v>27006.9</v>
      </c>
      <c r="P268" s="35">
        <v>564504.80000000005</v>
      </c>
      <c r="Q268" s="35">
        <v>14124.27</v>
      </c>
      <c r="R268" s="35">
        <v>552728.85</v>
      </c>
      <c r="S268" s="367">
        <v>97.25</v>
      </c>
      <c r="T268" s="35"/>
      <c r="U268" s="380">
        <v>13450</v>
      </c>
      <c r="V268" s="35"/>
      <c r="W268" s="393"/>
      <c r="X268" s="372">
        <f t="shared" si="14"/>
        <v>10116724.65</v>
      </c>
      <c r="Y268" s="35">
        <v>98017.65</v>
      </c>
      <c r="Z268" s="380"/>
      <c r="AA268" s="35">
        <v>364802.05</v>
      </c>
      <c r="AB268" s="380"/>
      <c r="AC268" s="35">
        <v>171234.7</v>
      </c>
      <c r="AD268" s="380"/>
      <c r="AE268" s="35"/>
      <c r="AF268" s="380"/>
      <c r="AG268" s="35"/>
      <c r="AH268" s="380"/>
      <c r="AI268" s="35"/>
      <c r="AJ268" s="380"/>
      <c r="AK268" s="35"/>
      <c r="AL268" s="403">
        <f t="shared" si="15"/>
        <v>634054.39999999991</v>
      </c>
      <c r="AM268" s="18">
        <v>64</v>
      </c>
      <c r="AN268" s="33">
        <v>2701</v>
      </c>
      <c r="AO268" s="393">
        <v>-96651.16</v>
      </c>
      <c r="AP268" s="35"/>
      <c r="AQ268" s="35">
        <v>-5190.49</v>
      </c>
      <c r="AR268" s="35">
        <v>1</v>
      </c>
    </row>
    <row r="269" spans="1:44" x14ac:dyDescent="0.25">
      <c r="A269" s="383">
        <v>5860</v>
      </c>
      <c r="B269" s="367" t="s">
        <v>29</v>
      </c>
      <c r="C269" s="35">
        <v>3516571.37</v>
      </c>
      <c r="D269" s="35">
        <v>861706.11</v>
      </c>
      <c r="E269" s="397"/>
      <c r="F269" s="368"/>
      <c r="G269" s="368">
        <v>52117.3</v>
      </c>
      <c r="H269" s="370">
        <v>2935.9</v>
      </c>
      <c r="I269" s="368">
        <v>294245.23</v>
      </c>
      <c r="J269" s="370">
        <v>91442.32</v>
      </c>
      <c r="K269" s="368">
        <v>26801.05</v>
      </c>
      <c r="L269" s="370">
        <v>615088.75</v>
      </c>
      <c r="M269" s="371">
        <f t="shared" si="13"/>
        <v>5460908.0300000003</v>
      </c>
      <c r="N269" s="35">
        <v>19488.349999999999</v>
      </c>
      <c r="O269" s="35">
        <v>19677.7</v>
      </c>
      <c r="P269" s="35">
        <v>306789.59999999998</v>
      </c>
      <c r="Q269" s="35">
        <v>19264.79</v>
      </c>
      <c r="R269" s="35">
        <v>267455.75</v>
      </c>
      <c r="S269" s="367"/>
      <c r="T269" s="35"/>
      <c r="U269" s="380">
        <v>8560</v>
      </c>
      <c r="V269" s="35"/>
      <c r="W269" s="393"/>
      <c r="X269" s="372">
        <f t="shared" si="14"/>
        <v>6102144.2199999997</v>
      </c>
      <c r="Y269" s="35">
        <v>28716.6</v>
      </c>
      <c r="Z269" s="380"/>
      <c r="AA269" s="35">
        <v>265649.09999999998</v>
      </c>
      <c r="AB269" s="380"/>
      <c r="AC269" s="35">
        <v>113841.52</v>
      </c>
      <c r="AD269" s="380"/>
      <c r="AE269" s="35"/>
      <c r="AF269" s="380"/>
      <c r="AG269" s="35"/>
      <c r="AH269" s="380"/>
      <c r="AI269" s="35"/>
      <c r="AJ269" s="380"/>
      <c r="AK269" s="35"/>
      <c r="AL269" s="403">
        <f t="shared" si="15"/>
        <v>408207.22</v>
      </c>
      <c r="AM269" s="18">
        <v>60</v>
      </c>
      <c r="AN269" s="33">
        <v>1514</v>
      </c>
      <c r="AO269" s="393">
        <v>-62586.02</v>
      </c>
      <c r="AP269" s="35"/>
      <c r="AQ269" s="35">
        <v>-3997.52</v>
      </c>
      <c r="AR269" s="35">
        <v>1.3</v>
      </c>
    </row>
    <row r="270" spans="1:44" x14ac:dyDescent="0.25">
      <c r="A270" s="383">
        <v>5861</v>
      </c>
      <c r="B270" s="367" t="s">
        <v>30</v>
      </c>
      <c r="C270" s="35">
        <v>12661253.390000001</v>
      </c>
      <c r="D270" s="35">
        <v>2491208.6</v>
      </c>
      <c r="E270" s="397"/>
      <c r="F270" s="368"/>
      <c r="G270" s="368">
        <v>26702653.050000001</v>
      </c>
      <c r="H270" s="370">
        <v>755252.7</v>
      </c>
      <c r="I270" s="368">
        <v>1099470.69</v>
      </c>
      <c r="J270" s="370">
        <v>3463952.82</v>
      </c>
      <c r="K270" s="368">
        <v>269525.3</v>
      </c>
      <c r="L270" s="370">
        <v>1700525.45</v>
      </c>
      <c r="M270" s="371">
        <f t="shared" si="13"/>
        <v>49143842</v>
      </c>
      <c r="N270" s="35">
        <v>673413.7</v>
      </c>
      <c r="O270" s="35">
        <v>198879.2</v>
      </c>
      <c r="P270" s="35">
        <v>570098.19999999995</v>
      </c>
      <c r="Q270" s="35">
        <v>29176.57</v>
      </c>
      <c r="R270" s="35">
        <v>507120.8</v>
      </c>
      <c r="S270" s="367"/>
      <c r="T270" s="35"/>
      <c r="U270" s="380">
        <v>20518.75</v>
      </c>
      <c r="V270" s="35"/>
      <c r="W270" s="393"/>
      <c r="X270" s="372">
        <f t="shared" si="14"/>
        <v>51143049.220000006</v>
      </c>
      <c r="Y270" s="35">
        <v>289866</v>
      </c>
      <c r="Z270" s="380">
        <v>417096</v>
      </c>
      <c r="AA270" s="35">
        <v>1027422</v>
      </c>
      <c r="AB270" s="380"/>
      <c r="AC270" s="35">
        <v>462764.2</v>
      </c>
      <c r="AD270" s="380"/>
      <c r="AE270" s="35"/>
      <c r="AF270" s="380"/>
      <c r="AG270" s="35">
        <v>92593.1</v>
      </c>
      <c r="AH270" s="380">
        <v>207603.45</v>
      </c>
      <c r="AI270" s="35"/>
      <c r="AJ270" s="380"/>
      <c r="AK270" s="35"/>
      <c r="AL270" s="403">
        <f t="shared" si="15"/>
        <v>2497344.7500000005</v>
      </c>
      <c r="AM270" s="18">
        <v>59.5</v>
      </c>
      <c r="AN270" s="33">
        <v>6225</v>
      </c>
      <c r="AO270" s="393">
        <v>-131439.24</v>
      </c>
      <c r="AP270" s="35"/>
      <c r="AQ270" s="35">
        <v>-7202.48</v>
      </c>
      <c r="AR270" s="35">
        <v>1</v>
      </c>
    </row>
    <row r="271" spans="1:44" x14ac:dyDescent="0.25">
      <c r="A271" s="383">
        <v>5862</v>
      </c>
      <c r="B271" s="367" t="s">
        <v>31</v>
      </c>
      <c r="C271" s="35">
        <v>724421.85</v>
      </c>
      <c r="D271" s="35">
        <v>79893.710000000006</v>
      </c>
      <c r="E271" s="397"/>
      <c r="F271" s="368"/>
      <c r="G271" s="368">
        <v>9498.35</v>
      </c>
      <c r="H271" s="370">
        <v>854.2</v>
      </c>
      <c r="I271" s="368"/>
      <c r="J271" s="370">
        <v>13344.4</v>
      </c>
      <c r="K271" s="368"/>
      <c r="L271" s="370">
        <v>41274.75</v>
      </c>
      <c r="M271" s="371">
        <f t="shared" si="13"/>
        <v>869287.25999999989</v>
      </c>
      <c r="N271" s="35">
        <v>4117.75</v>
      </c>
      <c r="O271" s="35">
        <v>143354.9</v>
      </c>
      <c r="P271" s="35"/>
      <c r="Q271" s="35"/>
      <c r="R271" s="35"/>
      <c r="S271" s="367"/>
      <c r="T271" s="35"/>
      <c r="U271" s="380">
        <v>1125</v>
      </c>
      <c r="V271" s="35"/>
      <c r="W271" s="393"/>
      <c r="X271" s="372">
        <f t="shared" si="14"/>
        <v>1017884.9099999999</v>
      </c>
      <c r="Y271" s="35">
        <v>8656.25</v>
      </c>
      <c r="Z271" s="380"/>
      <c r="AA271" s="35">
        <v>46720.55</v>
      </c>
      <c r="AB271" s="380"/>
      <c r="AC271" s="35">
        <v>16105</v>
      </c>
      <c r="AD271" s="380">
        <v>19043.75</v>
      </c>
      <c r="AE271" s="35"/>
      <c r="AF271" s="380"/>
      <c r="AG271" s="35"/>
      <c r="AH271" s="380"/>
      <c r="AI271" s="35"/>
      <c r="AJ271" s="380"/>
      <c r="AK271" s="35"/>
      <c r="AL271" s="403">
        <f t="shared" si="15"/>
        <v>90525.55</v>
      </c>
      <c r="AM271" s="18">
        <v>81</v>
      </c>
      <c r="AN271" s="33">
        <v>235</v>
      </c>
      <c r="AO271" s="393">
        <v>-12838.81</v>
      </c>
      <c r="AP271" s="35"/>
      <c r="AQ271" s="35">
        <v>-9.18</v>
      </c>
      <c r="AR271" s="35">
        <v>0.9</v>
      </c>
    </row>
    <row r="272" spans="1:44" x14ac:dyDescent="0.25">
      <c r="A272" s="383">
        <v>5863</v>
      </c>
      <c r="B272" s="367" t="s">
        <v>32</v>
      </c>
      <c r="C272" s="35">
        <v>1219297.96</v>
      </c>
      <c r="D272" s="35">
        <v>198490.58</v>
      </c>
      <c r="E272" s="397"/>
      <c r="F272" s="368"/>
      <c r="G272" s="368">
        <v>19919.25</v>
      </c>
      <c r="H272" s="370">
        <v>564.15</v>
      </c>
      <c r="I272" s="368"/>
      <c r="J272" s="370">
        <v>29620.6</v>
      </c>
      <c r="K272" s="368">
        <v>2004.9</v>
      </c>
      <c r="L272" s="370">
        <v>77805.600000000006</v>
      </c>
      <c r="M272" s="371">
        <f t="shared" si="13"/>
        <v>1547703.04</v>
      </c>
      <c r="N272" s="35">
        <v>24160.55</v>
      </c>
      <c r="O272" s="35"/>
      <c r="P272" s="35">
        <v>1375.2</v>
      </c>
      <c r="Q272" s="35"/>
      <c r="R272" s="35"/>
      <c r="S272" s="367">
        <v>325</v>
      </c>
      <c r="T272" s="35"/>
      <c r="U272" s="380">
        <v>1550</v>
      </c>
      <c r="V272" s="35"/>
      <c r="W272" s="393"/>
      <c r="X272" s="372">
        <f t="shared" si="14"/>
        <v>1575113.79</v>
      </c>
      <c r="Y272" s="35"/>
      <c r="Z272" s="380"/>
      <c r="AA272" s="35">
        <v>14144</v>
      </c>
      <c r="AB272" s="380"/>
      <c r="AC272" s="35">
        <v>20678.2</v>
      </c>
      <c r="AD272" s="380"/>
      <c r="AE272" s="35"/>
      <c r="AF272" s="380"/>
      <c r="AG272" s="35">
        <v>2146.9</v>
      </c>
      <c r="AH272" s="380">
        <v>6051.65</v>
      </c>
      <c r="AI272" s="35"/>
      <c r="AJ272" s="380"/>
      <c r="AK272" s="35"/>
      <c r="AL272" s="403">
        <f t="shared" si="15"/>
        <v>43020.75</v>
      </c>
      <c r="AM272" s="18">
        <v>67</v>
      </c>
      <c r="AN272" s="33">
        <v>371</v>
      </c>
      <c r="AO272" s="393">
        <v>-14262.93</v>
      </c>
      <c r="AP272" s="35"/>
      <c r="AQ272" s="35">
        <v>-1188.23</v>
      </c>
      <c r="AR272" s="35">
        <v>1</v>
      </c>
    </row>
    <row r="273" spans="1:44" x14ac:dyDescent="0.25">
      <c r="A273" s="383">
        <v>5871</v>
      </c>
      <c r="B273" s="367" t="s">
        <v>33</v>
      </c>
      <c r="C273" s="35">
        <v>2600372.16</v>
      </c>
      <c r="D273" s="35">
        <v>526045.36</v>
      </c>
      <c r="E273" s="397"/>
      <c r="F273" s="368"/>
      <c r="G273" s="368">
        <v>274901.55</v>
      </c>
      <c r="H273" s="370">
        <v>2738.95</v>
      </c>
      <c r="I273" s="368"/>
      <c r="J273" s="370">
        <v>74316.539999999994</v>
      </c>
      <c r="K273" s="368">
        <v>2702.5</v>
      </c>
      <c r="L273" s="370">
        <v>241459.6</v>
      </c>
      <c r="M273" s="371">
        <f t="shared" si="13"/>
        <v>3722536.66</v>
      </c>
      <c r="N273" s="35">
        <v>728755.45</v>
      </c>
      <c r="O273" s="35">
        <v>11699</v>
      </c>
      <c r="P273" s="35">
        <v>94222.45</v>
      </c>
      <c r="Q273" s="35">
        <v>43762.28</v>
      </c>
      <c r="R273" s="35">
        <v>136544.1</v>
      </c>
      <c r="S273" s="367"/>
      <c r="T273" s="35"/>
      <c r="U273" s="380">
        <v>11900</v>
      </c>
      <c r="V273" s="35"/>
      <c r="W273" s="393"/>
      <c r="X273" s="372">
        <f t="shared" si="14"/>
        <v>4749419.9400000004</v>
      </c>
      <c r="Y273" s="35">
        <v>23517.45</v>
      </c>
      <c r="Z273" s="380">
        <v>3537.8</v>
      </c>
      <c r="AA273" s="35">
        <v>301113.2</v>
      </c>
      <c r="AB273" s="380"/>
      <c r="AC273" s="35">
        <v>144408.75</v>
      </c>
      <c r="AD273" s="380"/>
      <c r="AE273" s="35"/>
      <c r="AF273" s="380"/>
      <c r="AG273" s="35">
        <v>58930.05</v>
      </c>
      <c r="AH273" s="380"/>
      <c r="AI273" s="35"/>
      <c r="AJ273" s="380"/>
      <c r="AK273" s="35"/>
      <c r="AL273" s="403">
        <f t="shared" si="15"/>
        <v>531507.25</v>
      </c>
      <c r="AM273" s="18">
        <v>77.3</v>
      </c>
      <c r="AN273" s="33">
        <v>1492</v>
      </c>
      <c r="AO273" s="393">
        <v>-71554.31</v>
      </c>
      <c r="AP273" s="35"/>
      <c r="AQ273" s="35">
        <v>-208</v>
      </c>
      <c r="AR273" s="35">
        <v>1</v>
      </c>
    </row>
    <row r="274" spans="1:44" x14ac:dyDescent="0.25">
      <c r="A274" s="383">
        <v>5872</v>
      </c>
      <c r="B274" s="367" t="s">
        <v>209</v>
      </c>
      <c r="C274" s="35">
        <v>6967920.5700000003</v>
      </c>
      <c r="D274" s="35">
        <v>948545.54</v>
      </c>
      <c r="E274" s="397"/>
      <c r="F274" s="368"/>
      <c r="G274" s="368">
        <v>6067865.25</v>
      </c>
      <c r="H274" s="370">
        <v>431501.2</v>
      </c>
      <c r="I274" s="368"/>
      <c r="J274" s="370">
        <v>405845.68</v>
      </c>
      <c r="K274" s="368">
        <v>46592.35</v>
      </c>
      <c r="L274" s="370">
        <v>488810.75</v>
      </c>
      <c r="M274" s="371">
        <f t="shared" si="13"/>
        <v>15357081.339999998</v>
      </c>
      <c r="N274" s="35">
        <v>4996793.5999999996</v>
      </c>
      <c r="O274" s="35">
        <v>233987.3</v>
      </c>
      <c r="P274" s="35">
        <v>318319.25</v>
      </c>
      <c r="Q274" s="35">
        <v>9244.66</v>
      </c>
      <c r="R274" s="35">
        <v>139690.15</v>
      </c>
      <c r="S274" s="367"/>
      <c r="T274" s="35">
        <v>2950</v>
      </c>
      <c r="U274" s="380">
        <v>31450</v>
      </c>
      <c r="V274" s="35"/>
      <c r="W274" s="393"/>
      <c r="X274" s="372">
        <f t="shared" si="14"/>
        <v>21089516.299999997</v>
      </c>
      <c r="Y274" s="35">
        <v>13470</v>
      </c>
      <c r="Z274" s="380">
        <v>6735</v>
      </c>
      <c r="AA274" s="35">
        <v>952235.25</v>
      </c>
      <c r="AB274" s="380"/>
      <c r="AC274" s="35">
        <v>425365.55</v>
      </c>
      <c r="AD274" s="380">
        <v>9150</v>
      </c>
      <c r="AE274" s="35">
        <v>4580</v>
      </c>
      <c r="AF274" s="380"/>
      <c r="AG274" s="35">
        <v>110045.65</v>
      </c>
      <c r="AH274" s="380"/>
      <c r="AI274" s="35"/>
      <c r="AJ274" s="380"/>
      <c r="AK274" s="35"/>
      <c r="AL274" s="403">
        <f t="shared" si="15"/>
        <v>1521581.45</v>
      </c>
      <c r="AM274" s="18">
        <v>69.56</v>
      </c>
      <c r="AN274" s="33">
        <v>4612</v>
      </c>
      <c r="AO274" s="393">
        <v>-92981.24</v>
      </c>
      <c r="AP274" s="35"/>
      <c r="AQ274" s="35">
        <v>-1082.8399999999999</v>
      </c>
      <c r="AR274" s="35">
        <v>0.7</v>
      </c>
    </row>
    <row r="275" spans="1:44" x14ac:dyDescent="0.25">
      <c r="A275" s="383">
        <v>5873</v>
      </c>
      <c r="B275" s="367" t="s">
        <v>210</v>
      </c>
      <c r="C275" s="35">
        <v>1365709.3</v>
      </c>
      <c r="D275" s="35">
        <v>334782.05</v>
      </c>
      <c r="E275" s="397"/>
      <c r="F275" s="368"/>
      <c r="G275" s="368">
        <v>253812.75</v>
      </c>
      <c r="H275" s="370">
        <v>9794.9500000000007</v>
      </c>
      <c r="I275" s="368"/>
      <c r="J275" s="370">
        <v>65289.86</v>
      </c>
      <c r="K275" s="368"/>
      <c r="L275" s="370">
        <v>83138.5</v>
      </c>
      <c r="M275" s="371">
        <f t="shared" si="13"/>
        <v>2112527.41</v>
      </c>
      <c r="N275" s="35">
        <v>848439.35</v>
      </c>
      <c r="O275" s="35"/>
      <c r="P275" s="35">
        <v>18660.95</v>
      </c>
      <c r="Q275" s="35">
        <v>23317.53</v>
      </c>
      <c r="R275" s="35">
        <v>35140.9</v>
      </c>
      <c r="S275" s="367">
        <v>475</v>
      </c>
      <c r="T275" s="35"/>
      <c r="U275" s="380">
        <v>7000</v>
      </c>
      <c r="V275" s="35"/>
      <c r="W275" s="393"/>
      <c r="X275" s="372">
        <f t="shared" si="14"/>
        <v>3045561.14</v>
      </c>
      <c r="Y275" s="35">
        <v>7065</v>
      </c>
      <c r="Z275" s="380"/>
      <c r="AA275" s="35">
        <v>232960.3</v>
      </c>
      <c r="AB275" s="380"/>
      <c r="AC275" s="35">
        <v>87570.8</v>
      </c>
      <c r="AD275" s="380">
        <v>79040</v>
      </c>
      <c r="AE275" s="35"/>
      <c r="AF275" s="380"/>
      <c r="AG275" s="35">
        <v>22559.95</v>
      </c>
      <c r="AH275" s="380"/>
      <c r="AI275" s="35"/>
      <c r="AJ275" s="380"/>
      <c r="AK275" s="35"/>
      <c r="AL275" s="403">
        <f t="shared" si="15"/>
        <v>429196.05</v>
      </c>
      <c r="AM275" s="18">
        <v>65</v>
      </c>
      <c r="AN275" s="33">
        <v>869</v>
      </c>
      <c r="AO275" s="393">
        <v>-16404.84</v>
      </c>
      <c r="AP275" s="35"/>
      <c r="AQ275" s="35">
        <v>-96.5</v>
      </c>
      <c r="AR275" s="35">
        <v>0.6</v>
      </c>
    </row>
    <row r="276" spans="1:44" x14ac:dyDescent="0.25">
      <c r="A276" s="383">
        <v>5881</v>
      </c>
      <c r="B276" s="367" t="s">
        <v>211</v>
      </c>
      <c r="C276" s="35">
        <v>17175028.899999999</v>
      </c>
      <c r="D276" s="35">
        <v>3405779.36</v>
      </c>
      <c r="E276" s="397"/>
      <c r="F276" s="368"/>
      <c r="G276" s="368">
        <v>411153.45</v>
      </c>
      <c r="H276" s="370">
        <v>10853</v>
      </c>
      <c r="I276" s="368">
        <v>1024100.06</v>
      </c>
      <c r="J276" s="370">
        <v>331530.07</v>
      </c>
      <c r="K276" s="368">
        <v>36678.1</v>
      </c>
      <c r="L276" s="370">
        <v>1604822.15</v>
      </c>
      <c r="M276" s="371">
        <f t="shared" si="13"/>
        <v>23999945.089999996</v>
      </c>
      <c r="N276" s="35">
        <v>83809.45</v>
      </c>
      <c r="O276" s="35">
        <v>102726.39999999999</v>
      </c>
      <c r="P276" s="35">
        <v>693090.65</v>
      </c>
      <c r="Q276" s="35">
        <v>42838.68</v>
      </c>
      <c r="R276" s="35">
        <v>448979.8</v>
      </c>
      <c r="S276" s="367"/>
      <c r="T276" s="35"/>
      <c r="U276" s="380">
        <v>49250</v>
      </c>
      <c r="V276" s="35"/>
      <c r="W276" s="393"/>
      <c r="X276" s="372">
        <f t="shared" si="14"/>
        <v>25420640.069999993</v>
      </c>
      <c r="Y276" s="35">
        <v>141728</v>
      </c>
      <c r="Z276" s="380"/>
      <c r="AA276" s="35">
        <v>464906.9</v>
      </c>
      <c r="AB276" s="380"/>
      <c r="AC276" s="35">
        <v>755748.3</v>
      </c>
      <c r="AD276" s="380">
        <v>195955.95</v>
      </c>
      <c r="AE276" s="35"/>
      <c r="AF276" s="380"/>
      <c r="AG276" s="35"/>
      <c r="AH276" s="380"/>
      <c r="AI276" s="35"/>
      <c r="AJ276" s="380"/>
      <c r="AK276" s="35"/>
      <c r="AL276" s="403">
        <f t="shared" si="15"/>
        <v>1558339.1500000001</v>
      </c>
      <c r="AM276" s="18">
        <v>70</v>
      </c>
      <c r="AN276" s="33">
        <v>6183</v>
      </c>
      <c r="AO276" s="393">
        <v>-155287.64000000001</v>
      </c>
      <c r="AP276" s="35"/>
      <c r="AQ276" s="35">
        <v>-109052.67</v>
      </c>
      <c r="AR276" s="35">
        <v>1</v>
      </c>
    </row>
    <row r="277" spans="1:44" x14ac:dyDescent="0.25">
      <c r="A277" s="383">
        <v>5882</v>
      </c>
      <c r="B277" s="367" t="s">
        <v>212</v>
      </c>
      <c r="C277" s="35">
        <v>7415162.6100000003</v>
      </c>
      <c r="D277" s="35">
        <v>1708634.02</v>
      </c>
      <c r="E277" s="397"/>
      <c r="F277" s="368"/>
      <c r="G277" s="368">
        <v>162901.29999999999</v>
      </c>
      <c r="H277" s="370">
        <v>3923.5</v>
      </c>
      <c r="I277" s="368">
        <v>362767.42</v>
      </c>
      <c r="J277" s="370">
        <v>227461.72</v>
      </c>
      <c r="K277" s="368">
        <v>38284.25</v>
      </c>
      <c r="L277" s="370">
        <v>859661.16</v>
      </c>
      <c r="M277" s="371">
        <f t="shared" si="13"/>
        <v>10778795.980000002</v>
      </c>
      <c r="N277" s="35">
        <v>15528.4</v>
      </c>
      <c r="O277" s="35">
        <v>1190895.6000000001</v>
      </c>
      <c r="P277" s="35">
        <v>593668.25</v>
      </c>
      <c r="Q277" s="35">
        <v>9686.6299999999992</v>
      </c>
      <c r="R277" s="35">
        <v>771366.25</v>
      </c>
      <c r="S277" s="367"/>
      <c r="T277" s="35"/>
      <c r="U277" s="380">
        <v>13760</v>
      </c>
      <c r="V277" s="35"/>
      <c r="W277" s="393"/>
      <c r="X277" s="372">
        <f t="shared" si="14"/>
        <v>13373701.110000003</v>
      </c>
      <c r="Y277" s="35">
        <v>226986.57</v>
      </c>
      <c r="Z277" s="380"/>
      <c r="AA277" s="35">
        <v>329464.94</v>
      </c>
      <c r="AB277" s="380"/>
      <c r="AC277" s="35">
        <v>284054.19</v>
      </c>
      <c r="AD277" s="380"/>
      <c r="AE277" s="35"/>
      <c r="AF277" s="380"/>
      <c r="AG277" s="35"/>
      <c r="AH277" s="380"/>
      <c r="AI277" s="35"/>
      <c r="AJ277" s="380"/>
      <c r="AK277" s="35"/>
      <c r="AL277" s="403">
        <f t="shared" si="15"/>
        <v>840505.7</v>
      </c>
      <c r="AM277" s="18">
        <v>68</v>
      </c>
      <c r="AN277" s="33">
        <v>2921</v>
      </c>
      <c r="AO277" s="393">
        <v>-84606.54</v>
      </c>
      <c r="AP277" s="35"/>
      <c r="AQ277" s="35">
        <v>-1575.09</v>
      </c>
      <c r="AR277" s="35">
        <v>1</v>
      </c>
    </row>
    <row r="278" spans="1:44" x14ac:dyDescent="0.25">
      <c r="A278" s="383">
        <v>5883</v>
      </c>
      <c r="B278" s="367" t="s">
        <v>213</v>
      </c>
      <c r="C278" s="35">
        <v>7286866.3200000003</v>
      </c>
      <c r="D278" s="35">
        <v>1639169.67</v>
      </c>
      <c r="E278" s="397"/>
      <c r="F278" s="368"/>
      <c r="G278" s="368">
        <v>188026</v>
      </c>
      <c r="H278" s="370">
        <v>9619.35</v>
      </c>
      <c r="I278" s="368">
        <v>548295.93999999994</v>
      </c>
      <c r="J278" s="370">
        <v>169713.3</v>
      </c>
      <c r="K278" s="368">
        <v>7131.5</v>
      </c>
      <c r="L278" s="370">
        <v>635793.85</v>
      </c>
      <c r="M278" s="371">
        <f t="shared" si="13"/>
        <v>10484615.93</v>
      </c>
      <c r="N278" s="35"/>
      <c r="O278" s="35">
        <v>362315.7</v>
      </c>
      <c r="P278" s="35">
        <v>265661</v>
      </c>
      <c r="Q278" s="35">
        <v>4659.0200000000004</v>
      </c>
      <c r="R278" s="35">
        <v>235156.7</v>
      </c>
      <c r="S278" s="367"/>
      <c r="T278" s="35"/>
      <c r="U278" s="380">
        <v>4300</v>
      </c>
      <c r="V278" s="35"/>
      <c r="W278" s="393"/>
      <c r="X278" s="372">
        <f t="shared" si="14"/>
        <v>11356708.349999998</v>
      </c>
      <c r="Y278" s="35"/>
      <c r="Z278" s="380"/>
      <c r="AA278" s="35"/>
      <c r="AB278" s="380"/>
      <c r="AC278" s="35">
        <v>330751.67</v>
      </c>
      <c r="AD278" s="380">
        <v>149409.45000000001</v>
      </c>
      <c r="AE278" s="35"/>
      <c r="AF278" s="380"/>
      <c r="AG278" s="35"/>
      <c r="AH278" s="380"/>
      <c r="AI278" s="35"/>
      <c r="AJ278" s="380"/>
      <c r="AK278" s="35"/>
      <c r="AL278" s="403">
        <f t="shared" si="15"/>
        <v>480161.12</v>
      </c>
      <c r="AM278" s="18">
        <v>69</v>
      </c>
      <c r="AN278" s="33">
        <v>2289</v>
      </c>
      <c r="AO278" s="393">
        <v>-64700.57</v>
      </c>
      <c r="AP278" s="35"/>
      <c r="AQ278" s="35">
        <v>-1687.17</v>
      </c>
      <c r="AR278" s="35">
        <v>1</v>
      </c>
    </row>
    <row r="279" spans="1:44" x14ac:dyDescent="0.25">
      <c r="A279" s="383">
        <v>5884</v>
      </c>
      <c r="B279" s="367" t="s">
        <v>53</v>
      </c>
      <c r="C279" s="35">
        <v>5162432.1399999997</v>
      </c>
      <c r="D279" s="35">
        <v>751820.05</v>
      </c>
      <c r="E279" s="397"/>
      <c r="F279" s="368"/>
      <c r="G279" s="368">
        <v>1774860.57</v>
      </c>
      <c r="H279" s="370">
        <v>17561.3</v>
      </c>
      <c r="I279" s="368">
        <v>22781.4</v>
      </c>
      <c r="J279" s="370">
        <v>265255.77</v>
      </c>
      <c r="K279" s="368">
        <v>50985.2</v>
      </c>
      <c r="L279" s="370">
        <v>935458.9</v>
      </c>
      <c r="M279" s="371">
        <f t="shared" si="13"/>
        <v>8981155.3300000001</v>
      </c>
      <c r="N279" s="35">
        <v>469080.1</v>
      </c>
      <c r="O279" s="35">
        <v>98675.3</v>
      </c>
      <c r="P279" s="35">
        <v>229542.5</v>
      </c>
      <c r="Q279" s="35">
        <v>47766.79</v>
      </c>
      <c r="R279" s="35">
        <v>234602.75</v>
      </c>
      <c r="S279" s="367"/>
      <c r="T279" s="35"/>
      <c r="U279" s="380">
        <v>15950</v>
      </c>
      <c r="V279" s="35"/>
      <c r="W279" s="393"/>
      <c r="X279" s="372">
        <f t="shared" si="14"/>
        <v>10076772.77</v>
      </c>
      <c r="Y279" s="35">
        <v>1726.64</v>
      </c>
      <c r="Z279" s="380"/>
      <c r="AA279" s="35">
        <v>330639.42</v>
      </c>
      <c r="AB279" s="380">
        <v>649631.69999999995</v>
      </c>
      <c r="AC279" s="35">
        <v>251486.61</v>
      </c>
      <c r="AD279" s="380"/>
      <c r="AE279" s="35"/>
      <c r="AF279" s="380"/>
      <c r="AG279" s="35">
        <v>11220</v>
      </c>
      <c r="AH279" s="380">
        <v>291367.2</v>
      </c>
      <c r="AI279" s="35"/>
      <c r="AJ279" s="380"/>
      <c r="AK279" s="35"/>
      <c r="AL279" s="403">
        <f t="shared" si="15"/>
        <v>1536071.57</v>
      </c>
      <c r="AM279" s="18">
        <v>66</v>
      </c>
      <c r="AN279" s="33">
        <v>3396</v>
      </c>
      <c r="AO279" s="393">
        <v>-164447.10999999999</v>
      </c>
      <c r="AP279" s="35"/>
      <c r="AQ279" s="35">
        <v>-665.19</v>
      </c>
      <c r="AR279" s="35">
        <v>1.2</v>
      </c>
    </row>
    <row r="280" spans="1:44" x14ac:dyDescent="0.25">
      <c r="A280" s="383">
        <v>5885</v>
      </c>
      <c r="B280" s="367" t="s">
        <v>54</v>
      </c>
      <c r="C280" s="35">
        <v>4694237.32</v>
      </c>
      <c r="D280" s="35">
        <v>1115873.99</v>
      </c>
      <c r="E280" s="397"/>
      <c r="F280" s="368"/>
      <c r="G280" s="368">
        <v>249182.8</v>
      </c>
      <c r="H280" s="370">
        <v>376.75</v>
      </c>
      <c r="I280" s="368">
        <v>142208.18</v>
      </c>
      <c r="J280" s="370">
        <v>120812.65</v>
      </c>
      <c r="K280" s="368">
        <v>10194.9</v>
      </c>
      <c r="L280" s="370">
        <v>444849.65</v>
      </c>
      <c r="M280" s="371">
        <f t="shared" si="13"/>
        <v>6777736.2400000012</v>
      </c>
      <c r="N280" s="35">
        <v>7550.35</v>
      </c>
      <c r="O280" s="35">
        <v>165366.1</v>
      </c>
      <c r="P280" s="35">
        <v>213726.4</v>
      </c>
      <c r="Q280" s="35">
        <v>13302.69</v>
      </c>
      <c r="R280" s="35">
        <v>278243.15000000002</v>
      </c>
      <c r="S280" s="367"/>
      <c r="T280" s="35"/>
      <c r="U280" s="380">
        <v>6850</v>
      </c>
      <c r="V280" s="35"/>
      <c r="W280" s="393"/>
      <c r="X280" s="372">
        <f t="shared" si="14"/>
        <v>7462774.9300000016</v>
      </c>
      <c r="Y280" s="35">
        <v>297210</v>
      </c>
      <c r="Z280" s="380"/>
      <c r="AA280" s="35">
        <v>26285.3</v>
      </c>
      <c r="AB280" s="380"/>
      <c r="AC280" s="35">
        <v>154909.82</v>
      </c>
      <c r="AD280" s="380"/>
      <c r="AE280" s="35"/>
      <c r="AF280" s="380"/>
      <c r="AG280" s="35"/>
      <c r="AH280" s="380"/>
      <c r="AI280" s="35"/>
      <c r="AJ280" s="380"/>
      <c r="AK280" s="35"/>
      <c r="AL280" s="403">
        <f t="shared" si="15"/>
        <v>478405.12</v>
      </c>
      <c r="AM280" s="18">
        <v>71</v>
      </c>
      <c r="AN280" s="33">
        <v>1549</v>
      </c>
      <c r="AO280" s="393">
        <v>-32513.439999999999</v>
      </c>
      <c r="AP280" s="35"/>
      <c r="AQ280" s="35">
        <v>-5133.49</v>
      </c>
      <c r="AR280" s="35">
        <v>1.2</v>
      </c>
    </row>
    <row r="281" spans="1:44" x14ac:dyDescent="0.25">
      <c r="A281" s="383">
        <v>5886</v>
      </c>
      <c r="B281" s="367" t="s">
        <v>55</v>
      </c>
      <c r="C281" s="35">
        <v>45064376</v>
      </c>
      <c r="D281" s="35">
        <v>10869595.640000001</v>
      </c>
      <c r="E281" s="397"/>
      <c r="F281" s="368"/>
      <c r="G281" s="368">
        <v>3485696.1</v>
      </c>
      <c r="H281" s="370">
        <v>347509.7</v>
      </c>
      <c r="I281" s="368">
        <v>4481090.6100000003</v>
      </c>
      <c r="J281" s="370">
        <v>3087361.22</v>
      </c>
      <c r="K281" s="368">
        <v>586296.69999999995</v>
      </c>
      <c r="L281" s="370">
        <v>10055342.15</v>
      </c>
      <c r="M281" s="371">
        <f t="shared" si="13"/>
        <v>77977268.12000002</v>
      </c>
      <c r="N281" s="35">
        <v>677240.75</v>
      </c>
      <c r="O281" s="35">
        <v>8095409.7000000002</v>
      </c>
      <c r="P281" s="35">
        <v>3972357.55</v>
      </c>
      <c r="Q281" s="35">
        <v>388269.5</v>
      </c>
      <c r="R281" s="35">
        <v>3792148.65</v>
      </c>
      <c r="S281" s="367"/>
      <c r="T281" s="35"/>
      <c r="U281" s="380">
        <v>98350</v>
      </c>
      <c r="V281" s="35"/>
      <c r="W281" s="393"/>
      <c r="X281" s="372">
        <f t="shared" si="14"/>
        <v>95001044.270000026</v>
      </c>
      <c r="Y281" s="35"/>
      <c r="Z281" s="380">
        <v>2580062</v>
      </c>
      <c r="AA281" s="35"/>
      <c r="AB281" s="380"/>
      <c r="AC281" s="35">
        <v>3746335</v>
      </c>
      <c r="AD281" s="380"/>
      <c r="AE281" s="35"/>
      <c r="AF281" s="380"/>
      <c r="AG281" s="35"/>
      <c r="AH281" s="380"/>
      <c r="AI281" s="35"/>
      <c r="AJ281" s="380"/>
      <c r="AK281" s="35"/>
      <c r="AL281" s="403">
        <f t="shared" si="15"/>
        <v>6326397</v>
      </c>
      <c r="AM281" s="18">
        <v>65</v>
      </c>
      <c r="AN281" s="33">
        <v>26653</v>
      </c>
      <c r="AO281" s="393">
        <v>-1625317.09</v>
      </c>
      <c r="AP281" s="35"/>
      <c r="AQ281" s="35">
        <v>-31877.83</v>
      </c>
      <c r="AR281" s="35">
        <v>1.5</v>
      </c>
    </row>
    <row r="282" spans="1:44" x14ac:dyDescent="0.25">
      <c r="A282" s="383">
        <v>5888</v>
      </c>
      <c r="B282" s="367" t="s">
        <v>534</v>
      </c>
      <c r="C282" s="35">
        <v>14368407.550000001</v>
      </c>
      <c r="D282" s="35">
        <v>2888081.85</v>
      </c>
      <c r="E282" s="397"/>
      <c r="F282" s="368"/>
      <c r="G282" s="368">
        <v>633232.25</v>
      </c>
      <c r="H282" s="370">
        <v>5632.85</v>
      </c>
      <c r="I282" s="368">
        <v>90942.84</v>
      </c>
      <c r="J282" s="370">
        <v>357068.75</v>
      </c>
      <c r="K282" s="368">
        <v>-6066.65</v>
      </c>
      <c r="L282" s="370">
        <v>1743140.2</v>
      </c>
      <c r="M282" s="371">
        <f t="shared" si="13"/>
        <v>20080439.640000004</v>
      </c>
      <c r="N282" s="35">
        <v>154863.9</v>
      </c>
      <c r="O282" s="35">
        <v>387548</v>
      </c>
      <c r="P282" s="35">
        <v>1047193.35</v>
      </c>
      <c r="Q282" s="35">
        <v>139599.91</v>
      </c>
      <c r="R282" s="35">
        <v>482408.15</v>
      </c>
      <c r="S282" s="367"/>
      <c r="T282" s="35"/>
      <c r="U282" s="380">
        <v>36250</v>
      </c>
      <c r="V282" s="35"/>
      <c r="W282" s="393"/>
      <c r="X282" s="372">
        <f t="shared" si="14"/>
        <v>22328302.950000003</v>
      </c>
      <c r="Y282" s="35">
        <v>754616</v>
      </c>
      <c r="Z282" s="380"/>
      <c r="AA282" s="35">
        <v>741305.3</v>
      </c>
      <c r="AB282" s="380">
        <v>1071087.8500000001</v>
      </c>
      <c r="AC282" s="35">
        <v>369748.78</v>
      </c>
      <c r="AD282" s="380">
        <v>706424.25</v>
      </c>
      <c r="AE282" s="35"/>
      <c r="AF282" s="380"/>
      <c r="AG282" s="35">
        <v>129856.3</v>
      </c>
      <c r="AH282" s="380"/>
      <c r="AI282" s="35"/>
      <c r="AJ282" s="380"/>
      <c r="AK282" s="35"/>
      <c r="AL282" s="403">
        <f t="shared" si="15"/>
        <v>3773038.4800000004</v>
      </c>
      <c r="AM282" s="18">
        <v>67</v>
      </c>
      <c r="AN282" s="33">
        <v>5167</v>
      </c>
      <c r="AO282" s="393">
        <v>-202357.88</v>
      </c>
      <c r="AP282" s="35"/>
      <c r="AQ282" s="35">
        <v>-8942.5</v>
      </c>
      <c r="AR282" s="35">
        <v>1.2</v>
      </c>
    </row>
    <row r="283" spans="1:44" x14ac:dyDescent="0.25">
      <c r="A283" s="383">
        <v>5889</v>
      </c>
      <c r="B283" s="367" t="s">
        <v>56</v>
      </c>
      <c r="C283" s="35">
        <v>26259337.739999998</v>
      </c>
      <c r="D283" s="35">
        <v>5781999.2699999996</v>
      </c>
      <c r="E283" s="397"/>
      <c r="F283" s="368"/>
      <c r="G283" s="368">
        <v>1443755.65</v>
      </c>
      <c r="H283" s="370">
        <v>4883214.75</v>
      </c>
      <c r="I283" s="368">
        <v>919774.08</v>
      </c>
      <c r="J283" s="370">
        <v>1352330.25</v>
      </c>
      <c r="K283" s="368">
        <v>188269.6</v>
      </c>
      <c r="L283" s="370">
        <v>2600070.5499999998</v>
      </c>
      <c r="M283" s="371">
        <f t="shared" si="13"/>
        <v>43428751.889999993</v>
      </c>
      <c r="N283" s="35">
        <v>130445.55</v>
      </c>
      <c r="O283" s="35">
        <v>294441.2</v>
      </c>
      <c r="P283" s="35">
        <v>2117848.35</v>
      </c>
      <c r="Q283" s="35">
        <v>118064.7</v>
      </c>
      <c r="R283" s="35">
        <v>1102536.1000000001</v>
      </c>
      <c r="S283" s="367"/>
      <c r="T283" s="35"/>
      <c r="U283" s="380">
        <v>39250</v>
      </c>
      <c r="V283" s="35"/>
      <c r="W283" s="393">
        <v>513616.05</v>
      </c>
      <c r="X283" s="372">
        <f t="shared" si="14"/>
        <v>47744953.839999996</v>
      </c>
      <c r="Y283" s="35">
        <v>22045.1</v>
      </c>
      <c r="Z283" s="380"/>
      <c r="AA283" s="35">
        <v>883981.3</v>
      </c>
      <c r="AB283" s="380">
        <v>1792842.7</v>
      </c>
      <c r="AC283" s="35">
        <v>1173482.1100000001</v>
      </c>
      <c r="AD283" s="380"/>
      <c r="AE283" s="35"/>
      <c r="AF283" s="380"/>
      <c r="AG283" s="35"/>
      <c r="AH283" s="380">
        <v>229846.39999999999</v>
      </c>
      <c r="AI283" s="35"/>
      <c r="AJ283" s="380"/>
      <c r="AK283" s="35"/>
      <c r="AL283" s="403">
        <f t="shared" si="15"/>
        <v>4102197.61</v>
      </c>
      <c r="AM283" s="18">
        <v>64</v>
      </c>
      <c r="AN283" s="33">
        <v>11779</v>
      </c>
      <c r="AO283" s="393">
        <v>-394446.37</v>
      </c>
      <c r="AP283" s="35"/>
      <c r="AQ283" s="35">
        <v>-84398.75</v>
      </c>
      <c r="AR283" s="35">
        <v>1.2</v>
      </c>
    </row>
    <row r="284" spans="1:44" x14ac:dyDescent="0.25">
      <c r="A284" s="383">
        <v>5890</v>
      </c>
      <c r="B284" s="367" t="s">
        <v>57</v>
      </c>
      <c r="C284" s="35">
        <v>37600999.560000002</v>
      </c>
      <c r="D284" s="35">
        <v>4543236.49</v>
      </c>
      <c r="E284" s="397"/>
      <c r="F284" s="368"/>
      <c r="G284" s="368">
        <v>9823111</v>
      </c>
      <c r="H284" s="370">
        <v>11219253.15</v>
      </c>
      <c r="I284" s="368">
        <v>532328.87</v>
      </c>
      <c r="J284" s="370">
        <v>4596329.45</v>
      </c>
      <c r="K284" s="368">
        <v>546173.19999999995</v>
      </c>
      <c r="L284" s="370">
        <v>5141008.9000000004</v>
      </c>
      <c r="M284" s="371">
        <f t="shared" si="13"/>
        <v>74002440.620000005</v>
      </c>
      <c r="N284" s="35">
        <v>904038.35</v>
      </c>
      <c r="O284" s="35">
        <v>3914517.8</v>
      </c>
      <c r="P284" s="35">
        <v>1147833.8999999999</v>
      </c>
      <c r="Q284" s="35">
        <v>142962.25</v>
      </c>
      <c r="R284" s="35">
        <v>530230.4</v>
      </c>
      <c r="S284" s="367"/>
      <c r="T284" s="35"/>
      <c r="U284" s="380">
        <v>55650</v>
      </c>
      <c r="V284" s="35"/>
      <c r="W284" s="393"/>
      <c r="X284" s="372">
        <f t="shared" si="14"/>
        <v>80697673.320000008</v>
      </c>
      <c r="Y284" s="35"/>
      <c r="Z284" s="380"/>
      <c r="AA284" s="35">
        <v>933261.8</v>
      </c>
      <c r="AB284" s="380"/>
      <c r="AC284" s="35">
        <v>1263861.48</v>
      </c>
      <c r="AD284" s="380"/>
      <c r="AE284" s="35"/>
      <c r="AF284" s="380"/>
      <c r="AG284" s="35"/>
      <c r="AH284" s="380">
        <v>680743.8</v>
      </c>
      <c r="AI284" s="35"/>
      <c r="AJ284" s="380">
        <v>193641.1</v>
      </c>
      <c r="AK284" s="35"/>
      <c r="AL284" s="403">
        <f t="shared" si="15"/>
        <v>3071508.18</v>
      </c>
      <c r="AM284" s="18">
        <v>73</v>
      </c>
      <c r="AN284" s="33">
        <v>19829</v>
      </c>
      <c r="AO284" s="393">
        <v>-1079319.3999999999</v>
      </c>
      <c r="AP284" s="35"/>
      <c r="AQ284" s="35">
        <v>-100162.21</v>
      </c>
      <c r="AR284" s="35">
        <v>1.5</v>
      </c>
    </row>
    <row r="285" spans="1:44" x14ac:dyDescent="0.25">
      <c r="A285" s="383">
        <v>5891</v>
      </c>
      <c r="B285" s="367" t="s">
        <v>58</v>
      </c>
      <c r="C285" s="35">
        <v>1605610.62</v>
      </c>
      <c r="D285" s="35">
        <v>464650.68</v>
      </c>
      <c r="E285" s="397"/>
      <c r="F285" s="368"/>
      <c r="G285" s="368">
        <v>53814.3</v>
      </c>
      <c r="H285" s="370">
        <v>8814.35</v>
      </c>
      <c r="I285" s="368">
        <v>57838.65</v>
      </c>
      <c r="J285" s="370">
        <v>57552</v>
      </c>
      <c r="K285" s="368">
        <v>-12841.9</v>
      </c>
      <c r="L285" s="370">
        <v>283203.20000000001</v>
      </c>
      <c r="M285" s="371">
        <f t="shared" si="13"/>
        <v>2518641.9000000004</v>
      </c>
      <c r="N285" s="35"/>
      <c r="O285" s="35">
        <v>10395</v>
      </c>
      <c r="P285" s="35">
        <v>182197.4</v>
      </c>
      <c r="Q285" s="35">
        <v>21048.67</v>
      </c>
      <c r="R285" s="35">
        <v>50754.9</v>
      </c>
      <c r="S285" s="367"/>
      <c r="T285" s="35"/>
      <c r="U285" s="380">
        <v>4950</v>
      </c>
      <c r="V285" s="35">
        <v>262746</v>
      </c>
      <c r="W285" s="393"/>
      <c r="X285" s="372">
        <f t="shared" si="14"/>
        <v>3050733.87</v>
      </c>
      <c r="Y285" s="35">
        <v>20423.599999999999</v>
      </c>
      <c r="Z285" s="380"/>
      <c r="AA285" s="35">
        <v>49920.9</v>
      </c>
      <c r="AB285" s="380"/>
      <c r="AC285" s="35">
        <v>87839.61</v>
      </c>
      <c r="AD285" s="380"/>
      <c r="AE285" s="35"/>
      <c r="AF285" s="380"/>
      <c r="AG285" s="35"/>
      <c r="AH285" s="380">
        <v>42987.55</v>
      </c>
      <c r="AI285" s="35"/>
      <c r="AJ285" s="380"/>
      <c r="AK285" s="35">
        <v>12553.6</v>
      </c>
      <c r="AL285" s="403">
        <f t="shared" si="15"/>
        <v>213725.25999999998</v>
      </c>
      <c r="AM285" s="18">
        <v>69</v>
      </c>
      <c r="AN285" s="33">
        <v>870</v>
      </c>
      <c r="AO285" s="393">
        <v>-60678.64</v>
      </c>
      <c r="AP285" s="35"/>
      <c r="AQ285" s="35">
        <v>-1060.32</v>
      </c>
      <c r="AR285" s="35">
        <v>1.2</v>
      </c>
    </row>
    <row r="286" spans="1:44" x14ac:dyDescent="0.25">
      <c r="A286" s="383">
        <v>5902</v>
      </c>
      <c r="B286" s="367" t="s">
        <v>59</v>
      </c>
      <c r="C286" s="35">
        <v>634082.69999999995</v>
      </c>
      <c r="D286" s="35">
        <v>54117.5</v>
      </c>
      <c r="E286" s="397"/>
      <c r="F286" s="368"/>
      <c r="G286" s="368">
        <v>3462.4</v>
      </c>
      <c r="H286" s="370">
        <v>234</v>
      </c>
      <c r="I286" s="368"/>
      <c r="J286" s="370">
        <v>8882.9500000000007</v>
      </c>
      <c r="K286" s="368">
        <v>-84.5</v>
      </c>
      <c r="L286" s="370">
        <v>52127.9</v>
      </c>
      <c r="M286" s="371">
        <f t="shared" si="13"/>
        <v>752822.95</v>
      </c>
      <c r="N286" s="35"/>
      <c r="O286" s="35"/>
      <c r="P286" s="35">
        <v>32761.85</v>
      </c>
      <c r="Q286" s="35"/>
      <c r="R286" s="35">
        <v>30670.85</v>
      </c>
      <c r="S286" s="367"/>
      <c r="T286" s="35">
        <v>300</v>
      </c>
      <c r="U286" s="380">
        <v>4450</v>
      </c>
      <c r="V286" s="35"/>
      <c r="W286" s="393"/>
      <c r="X286" s="372">
        <f t="shared" si="14"/>
        <v>821005.64999999991</v>
      </c>
      <c r="Y286" s="35"/>
      <c r="Z286" s="380"/>
      <c r="AA286" s="35">
        <v>68332.2</v>
      </c>
      <c r="AB286" s="380"/>
      <c r="AC286" s="35">
        <v>22735.439999999999</v>
      </c>
      <c r="AD286" s="380">
        <v>36</v>
      </c>
      <c r="AE286" s="35"/>
      <c r="AF286" s="380"/>
      <c r="AG286" s="35"/>
      <c r="AH286" s="380"/>
      <c r="AI286" s="35"/>
      <c r="AJ286" s="380"/>
      <c r="AK286" s="35"/>
      <c r="AL286" s="403">
        <f t="shared" si="15"/>
        <v>91103.64</v>
      </c>
      <c r="AM286" s="18">
        <v>76</v>
      </c>
      <c r="AN286" s="33">
        <v>378</v>
      </c>
      <c r="AO286" s="393">
        <v>-8.65</v>
      </c>
      <c r="AP286" s="35"/>
      <c r="AQ286" s="35">
        <v>0</v>
      </c>
      <c r="AR286" s="35">
        <v>1</v>
      </c>
    </row>
    <row r="287" spans="1:44" x14ac:dyDescent="0.25">
      <c r="A287" s="383">
        <v>5903</v>
      </c>
      <c r="B287" s="367" t="s">
        <v>60</v>
      </c>
      <c r="C287" s="35">
        <v>348125.83</v>
      </c>
      <c r="D287" s="35">
        <v>48963.360000000001</v>
      </c>
      <c r="E287" s="397"/>
      <c r="F287" s="368"/>
      <c r="G287" s="368">
        <v>9575.65</v>
      </c>
      <c r="H287" s="370">
        <v>77</v>
      </c>
      <c r="I287" s="368"/>
      <c r="J287" s="370">
        <v>2401.9299999999998</v>
      </c>
      <c r="K287" s="368"/>
      <c r="L287" s="370">
        <v>23477.9</v>
      </c>
      <c r="M287" s="371">
        <f t="shared" si="13"/>
        <v>432621.67000000004</v>
      </c>
      <c r="N287" s="35">
        <v>6652.7</v>
      </c>
      <c r="O287" s="35"/>
      <c r="P287" s="35">
        <v>13707.75</v>
      </c>
      <c r="Q287" s="35"/>
      <c r="R287" s="35">
        <v>13292.75</v>
      </c>
      <c r="S287" s="367"/>
      <c r="T287" s="35"/>
      <c r="U287" s="380">
        <v>1200</v>
      </c>
      <c r="V287" s="35"/>
      <c r="W287" s="393"/>
      <c r="X287" s="372">
        <f t="shared" si="14"/>
        <v>467474.87000000005</v>
      </c>
      <c r="Y287" s="35"/>
      <c r="Z287" s="380"/>
      <c r="AA287" s="35">
        <v>15283.35</v>
      </c>
      <c r="AB287" s="380"/>
      <c r="AC287" s="35">
        <v>7991.85</v>
      </c>
      <c r="AD287" s="380"/>
      <c r="AE287" s="35"/>
      <c r="AF287" s="380"/>
      <c r="AG287" s="35"/>
      <c r="AH287" s="380"/>
      <c r="AI287" s="35"/>
      <c r="AJ287" s="380"/>
      <c r="AK287" s="35"/>
      <c r="AL287" s="403">
        <f t="shared" si="15"/>
        <v>23275.200000000001</v>
      </c>
      <c r="AM287" s="18">
        <v>74</v>
      </c>
      <c r="AN287" s="33">
        <v>225</v>
      </c>
      <c r="AO287" s="393">
        <v>-172.76</v>
      </c>
      <c r="AP287" s="35"/>
      <c r="AQ287" s="35">
        <v>0</v>
      </c>
      <c r="AR287" s="35">
        <v>0.7</v>
      </c>
    </row>
    <row r="288" spans="1:44" x14ac:dyDescent="0.25">
      <c r="A288" s="383">
        <v>5904</v>
      </c>
      <c r="B288" s="367" t="s">
        <v>61</v>
      </c>
      <c r="C288" s="35">
        <v>1193108.3700000001</v>
      </c>
      <c r="D288" s="35">
        <v>131340.14000000001</v>
      </c>
      <c r="E288" s="397"/>
      <c r="F288" s="368"/>
      <c r="G288" s="368">
        <v>13495.85</v>
      </c>
      <c r="H288" s="370">
        <v>465.5</v>
      </c>
      <c r="I288" s="368"/>
      <c r="J288" s="370">
        <v>24088.22</v>
      </c>
      <c r="K288" s="368">
        <v>2914.15</v>
      </c>
      <c r="L288" s="370">
        <v>92722</v>
      </c>
      <c r="M288" s="371">
        <f t="shared" si="13"/>
        <v>1458134.2300000002</v>
      </c>
      <c r="N288" s="35">
        <v>31716.6</v>
      </c>
      <c r="O288" s="35">
        <v>4058.8</v>
      </c>
      <c r="P288" s="35">
        <v>71951</v>
      </c>
      <c r="Q288" s="35"/>
      <c r="R288" s="35">
        <v>7540.6</v>
      </c>
      <c r="S288" s="367"/>
      <c r="T288" s="35">
        <v>147.25</v>
      </c>
      <c r="U288" s="380">
        <v>3900</v>
      </c>
      <c r="V288" s="35"/>
      <c r="W288" s="393"/>
      <c r="X288" s="372">
        <f t="shared" si="14"/>
        <v>1577448.4800000004</v>
      </c>
      <c r="Y288" s="35">
        <v>4373.5</v>
      </c>
      <c r="Z288" s="380"/>
      <c r="AA288" s="35">
        <v>77286.2</v>
      </c>
      <c r="AB288" s="380"/>
      <c r="AC288" s="35">
        <v>36669.199999999997</v>
      </c>
      <c r="AD288" s="380">
        <v>7605</v>
      </c>
      <c r="AE288" s="35"/>
      <c r="AF288" s="380"/>
      <c r="AG288" s="35"/>
      <c r="AH288" s="380">
        <v>22933.1</v>
      </c>
      <c r="AI288" s="35"/>
      <c r="AJ288" s="380"/>
      <c r="AK288" s="35"/>
      <c r="AL288" s="403">
        <f t="shared" si="15"/>
        <v>148867</v>
      </c>
      <c r="AM288" s="18">
        <v>66</v>
      </c>
      <c r="AN288" s="33">
        <v>534</v>
      </c>
      <c r="AO288" s="393">
        <v>-24375.13</v>
      </c>
      <c r="AP288" s="35"/>
      <c r="AQ288" s="35">
        <v>-11.68</v>
      </c>
      <c r="AR288" s="35">
        <v>1</v>
      </c>
    </row>
    <row r="289" spans="1:44" x14ac:dyDescent="0.25">
      <c r="A289" s="383">
        <v>5905</v>
      </c>
      <c r="B289" s="367" t="s">
        <v>62</v>
      </c>
      <c r="C289" s="35">
        <v>1192883.7</v>
      </c>
      <c r="D289" s="35">
        <v>120319.71</v>
      </c>
      <c r="E289" s="397"/>
      <c r="F289" s="368"/>
      <c r="G289" s="368">
        <v>203474.4</v>
      </c>
      <c r="H289" s="370">
        <v>210.95</v>
      </c>
      <c r="I289" s="368"/>
      <c r="J289" s="370">
        <v>41043.230000000003</v>
      </c>
      <c r="K289" s="368">
        <v>855.3</v>
      </c>
      <c r="L289" s="370">
        <v>95315.65</v>
      </c>
      <c r="M289" s="371">
        <f t="shared" si="13"/>
        <v>1654102.9399999997</v>
      </c>
      <c r="N289" s="35">
        <v>111826.35</v>
      </c>
      <c r="O289" s="35"/>
      <c r="P289" s="35">
        <v>36061.1</v>
      </c>
      <c r="Q289" s="35">
        <v>2804.22</v>
      </c>
      <c r="R289" s="35">
        <v>12873.75</v>
      </c>
      <c r="S289" s="367"/>
      <c r="T289" s="35"/>
      <c r="U289" s="380"/>
      <c r="V289" s="35"/>
      <c r="W289" s="393"/>
      <c r="X289" s="372">
        <f t="shared" si="14"/>
        <v>1817668.3599999999</v>
      </c>
      <c r="Y289" s="35">
        <v>3579.65</v>
      </c>
      <c r="Z289" s="380">
        <v>11836.15</v>
      </c>
      <c r="AA289" s="35">
        <v>95053.94</v>
      </c>
      <c r="AB289" s="380"/>
      <c r="AC289" s="35"/>
      <c r="AD289" s="380"/>
      <c r="AE289" s="35"/>
      <c r="AF289" s="380"/>
      <c r="AG289" s="35"/>
      <c r="AH289" s="380"/>
      <c r="AI289" s="35"/>
      <c r="AJ289" s="380"/>
      <c r="AK289" s="35"/>
      <c r="AL289" s="403">
        <f t="shared" si="15"/>
        <v>110469.74</v>
      </c>
      <c r="AM289" s="18">
        <v>71</v>
      </c>
      <c r="AN289" s="33">
        <v>669</v>
      </c>
      <c r="AO289" s="393">
        <v>-4229.2</v>
      </c>
      <c r="AP289" s="35"/>
      <c r="AQ289" s="35">
        <v>-7.32</v>
      </c>
      <c r="AR289" s="35">
        <v>1</v>
      </c>
    </row>
    <row r="290" spans="1:44" x14ac:dyDescent="0.25">
      <c r="A290" s="383">
        <v>5907</v>
      </c>
      <c r="B290" s="367" t="s">
        <v>63</v>
      </c>
      <c r="C290" s="35">
        <v>545530.6</v>
      </c>
      <c r="D290" s="35">
        <v>84545.71</v>
      </c>
      <c r="E290" s="397"/>
      <c r="F290" s="368">
        <v>1820</v>
      </c>
      <c r="G290" s="368">
        <v>2539.35</v>
      </c>
      <c r="H290" s="370">
        <v>31</v>
      </c>
      <c r="I290" s="368"/>
      <c r="J290" s="370">
        <v>3429.23</v>
      </c>
      <c r="K290" s="368">
        <v>134</v>
      </c>
      <c r="L290" s="370">
        <v>38474.699999999997</v>
      </c>
      <c r="M290" s="371">
        <f t="shared" si="13"/>
        <v>676504.58999999985</v>
      </c>
      <c r="N290" s="35">
        <v>6237</v>
      </c>
      <c r="O290" s="35"/>
      <c r="P290" s="35">
        <v>8230.5499999999993</v>
      </c>
      <c r="Q290" s="35">
        <v>8850.2999999999993</v>
      </c>
      <c r="R290" s="35">
        <v>1166.6500000000001</v>
      </c>
      <c r="S290" s="367"/>
      <c r="T290" s="35">
        <v>1390</v>
      </c>
      <c r="U290" s="380">
        <v>1860</v>
      </c>
      <c r="V290" s="35"/>
      <c r="W290" s="393"/>
      <c r="X290" s="372">
        <f t="shared" si="14"/>
        <v>704239.09</v>
      </c>
      <c r="Y290" s="35">
        <v>10500</v>
      </c>
      <c r="Z290" s="380"/>
      <c r="AA290" s="35">
        <v>6850.05</v>
      </c>
      <c r="AB290" s="380"/>
      <c r="AC290" s="35">
        <v>10620</v>
      </c>
      <c r="AD290" s="380">
        <v>6950.05</v>
      </c>
      <c r="AE290" s="35"/>
      <c r="AF290" s="380"/>
      <c r="AG290" s="35"/>
      <c r="AH290" s="380"/>
      <c r="AI290" s="35"/>
      <c r="AJ290" s="380"/>
      <c r="AK290" s="35"/>
      <c r="AL290" s="403">
        <f t="shared" si="15"/>
        <v>34920.1</v>
      </c>
      <c r="AM290" s="18">
        <v>78</v>
      </c>
      <c r="AN290" s="33">
        <v>298</v>
      </c>
      <c r="AO290" s="393">
        <v>-10875.63</v>
      </c>
      <c r="AP290" s="35"/>
      <c r="AQ290" s="35">
        <v>0</v>
      </c>
      <c r="AR290" s="35">
        <v>1</v>
      </c>
    </row>
    <row r="291" spans="1:44" x14ac:dyDescent="0.25">
      <c r="A291" s="383">
        <v>5908</v>
      </c>
      <c r="B291" s="367" t="s">
        <v>64</v>
      </c>
      <c r="C291" s="35">
        <v>173247.81</v>
      </c>
      <c r="D291" s="35">
        <v>25677.29</v>
      </c>
      <c r="E291" s="397"/>
      <c r="F291" s="368"/>
      <c r="G291" s="368">
        <v>791.05</v>
      </c>
      <c r="H291" s="370">
        <v>218.55</v>
      </c>
      <c r="I291" s="368"/>
      <c r="J291" s="370">
        <v>2485.4699999999998</v>
      </c>
      <c r="K291" s="368">
        <v>49.5</v>
      </c>
      <c r="L291" s="370">
        <v>16264</v>
      </c>
      <c r="M291" s="371">
        <f t="shared" si="13"/>
        <v>218733.66999999998</v>
      </c>
      <c r="N291" s="35"/>
      <c r="O291" s="35">
        <v>1173</v>
      </c>
      <c r="P291" s="35">
        <v>867.85</v>
      </c>
      <c r="Q291" s="35">
        <v>362.93</v>
      </c>
      <c r="R291" s="35">
        <v>798.8</v>
      </c>
      <c r="S291" s="367"/>
      <c r="T291" s="35"/>
      <c r="U291" s="380">
        <v>1056</v>
      </c>
      <c r="V291" s="35"/>
      <c r="W291" s="393"/>
      <c r="X291" s="372">
        <f t="shared" si="14"/>
        <v>222992.24999999997</v>
      </c>
      <c r="Y291" s="35">
        <v>10500</v>
      </c>
      <c r="Z291" s="380"/>
      <c r="AA291" s="35">
        <v>25100</v>
      </c>
      <c r="AB291" s="380"/>
      <c r="AC291" s="35">
        <v>5507</v>
      </c>
      <c r="AD291" s="380">
        <v>3000</v>
      </c>
      <c r="AE291" s="35"/>
      <c r="AF291" s="380"/>
      <c r="AG291" s="35"/>
      <c r="AH291" s="380"/>
      <c r="AI291" s="35"/>
      <c r="AJ291" s="380"/>
      <c r="AK291" s="35"/>
      <c r="AL291" s="403">
        <f t="shared" si="15"/>
        <v>44107</v>
      </c>
      <c r="AM291" s="18">
        <v>79</v>
      </c>
      <c r="AN291" s="33">
        <v>139</v>
      </c>
      <c r="AO291" s="393">
        <v>-1708.82</v>
      </c>
      <c r="AP291" s="35"/>
      <c r="AQ291" s="35">
        <v>-8.43</v>
      </c>
      <c r="AR291" s="35">
        <v>1</v>
      </c>
    </row>
    <row r="292" spans="1:44" x14ac:dyDescent="0.25">
      <c r="A292" s="383">
        <v>5909</v>
      </c>
      <c r="B292" s="367" t="s">
        <v>65</v>
      </c>
      <c r="C292" s="35">
        <v>1556022.02</v>
      </c>
      <c r="D292" s="35">
        <v>243790.39</v>
      </c>
      <c r="E292" s="397"/>
      <c r="F292" s="368"/>
      <c r="G292" s="368">
        <v>23841.75</v>
      </c>
      <c r="H292" s="370">
        <v>2166.3000000000002</v>
      </c>
      <c r="I292" s="368"/>
      <c r="J292" s="370">
        <v>18439.009999999998</v>
      </c>
      <c r="K292" s="368">
        <v>747.45</v>
      </c>
      <c r="L292" s="370">
        <v>150561</v>
      </c>
      <c r="M292" s="371">
        <f t="shared" si="13"/>
        <v>1995567.9200000002</v>
      </c>
      <c r="N292" s="35">
        <v>11017.75</v>
      </c>
      <c r="O292" s="35">
        <v>60298.1</v>
      </c>
      <c r="P292" s="35">
        <v>132481.75</v>
      </c>
      <c r="Q292" s="35"/>
      <c r="R292" s="35">
        <v>75092.149999999994</v>
      </c>
      <c r="S292" s="367"/>
      <c r="T292" s="35">
        <v>505</v>
      </c>
      <c r="U292" s="380">
        <v>960</v>
      </c>
      <c r="V292" s="35">
        <v>2000</v>
      </c>
      <c r="W292" s="393"/>
      <c r="X292" s="372">
        <f t="shared" si="14"/>
        <v>2277922.6700000004</v>
      </c>
      <c r="Y292" s="35">
        <v>25562.49</v>
      </c>
      <c r="Z292" s="380"/>
      <c r="AA292" s="35">
        <v>61373.19</v>
      </c>
      <c r="AB292" s="380"/>
      <c r="AC292" s="35">
        <v>39918.949999999997</v>
      </c>
      <c r="AD292" s="380">
        <v>12224.78</v>
      </c>
      <c r="AE292" s="35"/>
      <c r="AF292" s="380"/>
      <c r="AG292" s="35">
        <v>66440.14</v>
      </c>
      <c r="AH292" s="380"/>
      <c r="AI292" s="35"/>
      <c r="AJ292" s="380"/>
      <c r="AK292" s="35"/>
      <c r="AL292" s="403">
        <f t="shared" si="15"/>
        <v>205519.55</v>
      </c>
      <c r="AM292" s="18">
        <v>70</v>
      </c>
      <c r="AN292" s="33">
        <v>705</v>
      </c>
      <c r="AO292" s="393">
        <v>-174.35</v>
      </c>
      <c r="AP292" s="35">
        <v>-37138.800000000003</v>
      </c>
      <c r="AQ292" s="35">
        <v>-125.62</v>
      </c>
      <c r="AR292" s="35">
        <v>1</v>
      </c>
    </row>
    <row r="293" spans="1:44" x14ac:dyDescent="0.25">
      <c r="A293" s="383">
        <v>5910</v>
      </c>
      <c r="B293" s="367" t="s">
        <v>66</v>
      </c>
      <c r="C293" s="35">
        <v>678587.2</v>
      </c>
      <c r="D293" s="35">
        <v>60963.31</v>
      </c>
      <c r="E293" s="397"/>
      <c r="F293" s="368">
        <v>2210</v>
      </c>
      <c r="G293" s="368">
        <v>8919.9500000000007</v>
      </c>
      <c r="H293" s="370">
        <v>69.75</v>
      </c>
      <c r="I293" s="368"/>
      <c r="J293" s="370">
        <v>4762.8100000000004</v>
      </c>
      <c r="K293" s="368"/>
      <c r="L293" s="370">
        <v>49435.7</v>
      </c>
      <c r="M293" s="371">
        <f t="shared" si="13"/>
        <v>804948.72</v>
      </c>
      <c r="N293" s="35"/>
      <c r="O293" s="35">
        <v>2399.6999999999998</v>
      </c>
      <c r="P293" s="35">
        <v>5667.95</v>
      </c>
      <c r="Q293" s="35">
        <v>6153.75</v>
      </c>
      <c r="R293" s="35">
        <v>382.7</v>
      </c>
      <c r="S293" s="367"/>
      <c r="T293" s="35">
        <v>420</v>
      </c>
      <c r="U293" s="380">
        <v>3557</v>
      </c>
      <c r="V293" s="35"/>
      <c r="W293" s="393"/>
      <c r="X293" s="372">
        <f t="shared" si="14"/>
        <v>823529.81999999983</v>
      </c>
      <c r="Y293" s="35">
        <v>41460</v>
      </c>
      <c r="Z293" s="380"/>
      <c r="AA293" s="35">
        <v>19914</v>
      </c>
      <c r="AB293" s="380"/>
      <c r="AC293" s="35">
        <v>19467</v>
      </c>
      <c r="AD293" s="380"/>
      <c r="AE293" s="35"/>
      <c r="AF293" s="380"/>
      <c r="AG293" s="35"/>
      <c r="AH293" s="380"/>
      <c r="AI293" s="35"/>
      <c r="AJ293" s="380"/>
      <c r="AK293" s="35"/>
      <c r="AL293" s="403">
        <f t="shared" si="15"/>
        <v>80841</v>
      </c>
      <c r="AM293" s="18">
        <v>79</v>
      </c>
      <c r="AN293" s="33">
        <v>380</v>
      </c>
      <c r="AO293" s="393">
        <v>-10986.44</v>
      </c>
      <c r="AP293" s="35"/>
      <c r="AQ293" s="35">
        <v>-4.93</v>
      </c>
      <c r="AR293" s="35">
        <v>1</v>
      </c>
    </row>
    <row r="294" spans="1:44" x14ac:dyDescent="0.25">
      <c r="A294" s="383">
        <v>5911</v>
      </c>
      <c r="B294" s="367" t="s">
        <v>67</v>
      </c>
      <c r="C294" s="35">
        <v>488733.02</v>
      </c>
      <c r="D294" s="35">
        <v>39531.040000000001</v>
      </c>
      <c r="E294" s="397"/>
      <c r="F294" s="368">
        <v>1520</v>
      </c>
      <c r="G294" s="368">
        <v>-20.85</v>
      </c>
      <c r="H294" s="370">
        <v>139.9</v>
      </c>
      <c r="I294" s="368"/>
      <c r="J294" s="370">
        <v>1590.82</v>
      </c>
      <c r="K294" s="368">
        <v>827.05</v>
      </c>
      <c r="L294" s="370">
        <v>29255.95</v>
      </c>
      <c r="M294" s="371">
        <f t="shared" si="13"/>
        <v>561576.93000000005</v>
      </c>
      <c r="N294" s="35"/>
      <c r="O294" s="35">
        <v>683.5</v>
      </c>
      <c r="P294" s="35">
        <v>3004.05</v>
      </c>
      <c r="Q294" s="35"/>
      <c r="R294" s="35">
        <v>6901.1</v>
      </c>
      <c r="S294" s="367"/>
      <c r="T294" s="35"/>
      <c r="U294" s="380">
        <v>1025</v>
      </c>
      <c r="V294" s="35"/>
      <c r="W294" s="393"/>
      <c r="X294" s="372">
        <f t="shared" si="14"/>
        <v>573190.58000000007</v>
      </c>
      <c r="Y294" s="35"/>
      <c r="Z294" s="380"/>
      <c r="AA294" s="35">
        <v>35373.699999999997</v>
      </c>
      <c r="AB294" s="380"/>
      <c r="AC294" s="35">
        <v>16413.75</v>
      </c>
      <c r="AD294" s="380">
        <v>19166.400000000001</v>
      </c>
      <c r="AE294" s="35"/>
      <c r="AF294" s="380"/>
      <c r="AG294" s="35"/>
      <c r="AH294" s="380"/>
      <c r="AI294" s="35"/>
      <c r="AJ294" s="380"/>
      <c r="AK294" s="35"/>
      <c r="AL294" s="403">
        <f t="shared" si="15"/>
        <v>70953.850000000006</v>
      </c>
      <c r="AM294" s="18">
        <v>79</v>
      </c>
      <c r="AN294" s="33">
        <v>241</v>
      </c>
      <c r="AO294" s="393">
        <v>-2478.67</v>
      </c>
      <c r="AP294" s="35"/>
      <c r="AQ294" s="35">
        <v>-134.75</v>
      </c>
      <c r="AR294" s="35">
        <v>1</v>
      </c>
    </row>
    <row r="295" spans="1:44" x14ac:dyDescent="0.25">
      <c r="A295" s="383">
        <v>5912</v>
      </c>
      <c r="B295" s="367" t="s">
        <v>68</v>
      </c>
      <c r="C295" s="35">
        <v>214571.9</v>
      </c>
      <c r="D295" s="35">
        <v>25578.77</v>
      </c>
      <c r="E295" s="397"/>
      <c r="F295" s="368">
        <v>880</v>
      </c>
      <c r="G295" s="368">
        <v>984.1</v>
      </c>
      <c r="H295" s="370">
        <v>16.3</v>
      </c>
      <c r="I295" s="368"/>
      <c r="J295" s="370">
        <v>1364.52</v>
      </c>
      <c r="K295" s="368"/>
      <c r="L295" s="370">
        <v>18259.7</v>
      </c>
      <c r="M295" s="371">
        <f t="shared" si="13"/>
        <v>261655.28999999998</v>
      </c>
      <c r="N295" s="35"/>
      <c r="O295" s="35"/>
      <c r="P295" s="35">
        <v>6050</v>
      </c>
      <c r="Q295" s="35"/>
      <c r="R295" s="35">
        <v>8210.35</v>
      </c>
      <c r="S295" s="367"/>
      <c r="T295" s="35"/>
      <c r="U295" s="380">
        <v>1200</v>
      </c>
      <c r="V295" s="35"/>
      <c r="W295" s="393"/>
      <c r="X295" s="372">
        <f t="shared" si="14"/>
        <v>277115.63999999996</v>
      </c>
      <c r="Y295" s="35">
        <v>4500</v>
      </c>
      <c r="Z295" s="380"/>
      <c r="AA295" s="35">
        <v>17386</v>
      </c>
      <c r="AB295" s="380"/>
      <c r="AC295" s="35">
        <v>8050</v>
      </c>
      <c r="AD295" s="380">
        <v>5000</v>
      </c>
      <c r="AE295" s="35"/>
      <c r="AF295" s="380"/>
      <c r="AG295" s="35"/>
      <c r="AH295" s="380"/>
      <c r="AI295" s="35"/>
      <c r="AJ295" s="380"/>
      <c r="AK295" s="35"/>
      <c r="AL295" s="403">
        <f t="shared" si="15"/>
        <v>34936</v>
      </c>
      <c r="AM295" s="18">
        <v>81</v>
      </c>
      <c r="AN295" s="33">
        <v>146</v>
      </c>
      <c r="AO295" s="393">
        <v>-3258.73</v>
      </c>
      <c r="AP295" s="35"/>
      <c r="AQ295" s="35">
        <v>0</v>
      </c>
      <c r="AR295" s="35">
        <v>1</v>
      </c>
    </row>
    <row r="296" spans="1:44" x14ac:dyDescent="0.25">
      <c r="A296" s="383">
        <v>5913</v>
      </c>
      <c r="B296" s="367" t="s">
        <v>69</v>
      </c>
      <c r="C296" s="35">
        <v>1143592</v>
      </c>
      <c r="D296" s="35">
        <v>190165.17</v>
      </c>
      <c r="E296" s="397"/>
      <c r="F296" s="368"/>
      <c r="G296" s="368">
        <v>32625.65</v>
      </c>
      <c r="H296" s="370">
        <v>156.55000000000001</v>
      </c>
      <c r="I296" s="368"/>
      <c r="J296" s="370">
        <v>12589.86</v>
      </c>
      <c r="K296" s="368">
        <v>2569.65</v>
      </c>
      <c r="L296" s="370">
        <v>104015.3</v>
      </c>
      <c r="M296" s="371">
        <f t="shared" si="13"/>
        <v>1485714.18</v>
      </c>
      <c r="N296" s="35">
        <v>20008.099999999999</v>
      </c>
      <c r="O296" s="35">
        <v>19742.599999999999</v>
      </c>
      <c r="P296" s="35">
        <v>38560.35</v>
      </c>
      <c r="Q296" s="35">
        <v>48.89</v>
      </c>
      <c r="R296" s="35">
        <v>19462.25</v>
      </c>
      <c r="S296" s="367"/>
      <c r="T296" s="35">
        <v>297.25</v>
      </c>
      <c r="U296" s="380">
        <v>5868.5</v>
      </c>
      <c r="V296" s="35">
        <v>48</v>
      </c>
      <c r="W296" s="393"/>
      <c r="X296" s="372">
        <f t="shared" si="14"/>
        <v>1589750.12</v>
      </c>
      <c r="Y296" s="35"/>
      <c r="Z296" s="380"/>
      <c r="AA296" s="35">
        <v>68180.5</v>
      </c>
      <c r="AB296" s="380"/>
      <c r="AC296" s="35">
        <v>36471</v>
      </c>
      <c r="AD296" s="380">
        <v>31267.5</v>
      </c>
      <c r="AE296" s="35"/>
      <c r="AF296" s="380"/>
      <c r="AG296" s="35"/>
      <c r="AH296" s="380">
        <v>19403.599999999999</v>
      </c>
      <c r="AI296" s="35"/>
      <c r="AJ296" s="380"/>
      <c r="AK296" s="35"/>
      <c r="AL296" s="403">
        <f t="shared" si="15"/>
        <v>155322.6</v>
      </c>
      <c r="AM296" s="18">
        <v>73</v>
      </c>
      <c r="AN296" s="33">
        <v>813</v>
      </c>
      <c r="AO296" s="393">
        <v>-9610.66</v>
      </c>
      <c r="AP296" s="35"/>
      <c r="AQ296" s="35">
        <v>-273.58999999999997</v>
      </c>
      <c r="AR296" s="35">
        <v>1</v>
      </c>
    </row>
    <row r="297" spans="1:44" x14ac:dyDescent="0.25">
      <c r="A297" s="383">
        <v>5914</v>
      </c>
      <c r="B297" s="367" t="s">
        <v>70</v>
      </c>
      <c r="C297" s="35">
        <v>584898.43000000005</v>
      </c>
      <c r="D297" s="35">
        <v>95759.5</v>
      </c>
      <c r="E297" s="397"/>
      <c r="F297" s="368">
        <v>2100</v>
      </c>
      <c r="G297" s="368">
        <v>-3527.3</v>
      </c>
      <c r="H297" s="370">
        <v>8913.7999999999993</v>
      </c>
      <c r="I297" s="368"/>
      <c r="J297" s="370">
        <v>12582.57</v>
      </c>
      <c r="K297" s="368">
        <v>1258.0999999999999</v>
      </c>
      <c r="L297" s="370">
        <v>50334.15</v>
      </c>
      <c r="M297" s="371">
        <f t="shared" si="13"/>
        <v>752319.25</v>
      </c>
      <c r="N297" s="35"/>
      <c r="O297" s="35">
        <v>890.45</v>
      </c>
      <c r="P297" s="35">
        <v>24700</v>
      </c>
      <c r="Q297" s="35"/>
      <c r="R297" s="35">
        <v>12129.45</v>
      </c>
      <c r="S297" s="367">
        <v>194.5</v>
      </c>
      <c r="T297" s="35">
        <v>1072</v>
      </c>
      <c r="U297" s="380">
        <v>1260</v>
      </c>
      <c r="V297" s="35"/>
      <c r="W297" s="393"/>
      <c r="X297" s="372">
        <f t="shared" si="14"/>
        <v>792565.64999999991</v>
      </c>
      <c r="Y297" s="35">
        <v>9254</v>
      </c>
      <c r="Z297" s="380"/>
      <c r="AA297" s="35">
        <v>64971.7</v>
      </c>
      <c r="AB297" s="380"/>
      <c r="AC297" s="35">
        <v>24554.55</v>
      </c>
      <c r="AD297" s="380">
        <v>2170</v>
      </c>
      <c r="AE297" s="35"/>
      <c r="AF297" s="380"/>
      <c r="AG297" s="35"/>
      <c r="AH297" s="380"/>
      <c r="AI297" s="35"/>
      <c r="AJ297" s="380"/>
      <c r="AK297" s="35"/>
      <c r="AL297" s="403">
        <f t="shared" si="15"/>
        <v>100950.25</v>
      </c>
      <c r="AM297" s="18">
        <v>75</v>
      </c>
      <c r="AN297" s="33">
        <v>361</v>
      </c>
      <c r="AO297" s="393">
        <v>-2404.36</v>
      </c>
      <c r="AP297" s="35"/>
      <c r="AQ297" s="35">
        <v>0</v>
      </c>
      <c r="AR297" s="35">
        <v>1</v>
      </c>
    </row>
    <row r="298" spans="1:44" x14ac:dyDescent="0.25">
      <c r="A298" s="383">
        <v>5919</v>
      </c>
      <c r="B298" s="367" t="s">
        <v>400</v>
      </c>
      <c r="C298" s="35">
        <v>967849.76</v>
      </c>
      <c r="D298" s="35">
        <v>81214.820000000007</v>
      </c>
      <c r="E298" s="397"/>
      <c r="F298" s="368">
        <v>3630</v>
      </c>
      <c r="G298" s="368">
        <v>14952.65</v>
      </c>
      <c r="H298" s="370">
        <v>698.8</v>
      </c>
      <c r="I298" s="368"/>
      <c r="J298" s="370">
        <v>11999.1</v>
      </c>
      <c r="K298" s="368">
        <v>5527.7</v>
      </c>
      <c r="L298" s="370">
        <v>110610</v>
      </c>
      <c r="M298" s="371">
        <f t="shared" si="13"/>
        <v>1196482.83</v>
      </c>
      <c r="N298" s="35">
        <v>8491.2000000000007</v>
      </c>
      <c r="O298" s="35"/>
      <c r="P298" s="35">
        <v>19790.849999999999</v>
      </c>
      <c r="Q298" s="35">
        <v>11208.01</v>
      </c>
      <c r="R298" s="35"/>
      <c r="S298" s="367"/>
      <c r="T298" s="35"/>
      <c r="U298" s="380">
        <v>3800</v>
      </c>
      <c r="V298" s="35"/>
      <c r="W298" s="393"/>
      <c r="X298" s="372">
        <f t="shared" si="14"/>
        <v>1239772.8900000001</v>
      </c>
      <c r="Y298" s="35">
        <v>17205.55</v>
      </c>
      <c r="Z298" s="380">
        <v>83.2</v>
      </c>
      <c r="AA298" s="35">
        <v>164008.4</v>
      </c>
      <c r="AB298" s="380"/>
      <c r="AC298" s="35">
        <v>46538.1</v>
      </c>
      <c r="AD298" s="380">
        <v>18503.8</v>
      </c>
      <c r="AE298" s="35"/>
      <c r="AF298" s="380"/>
      <c r="AG298" s="35"/>
      <c r="AH298" s="380"/>
      <c r="AI298" s="35"/>
      <c r="AJ298" s="380"/>
      <c r="AK298" s="35"/>
      <c r="AL298" s="403">
        <f t="shared" si="15"/>
        <v>246339.05</v>
      </c>
      <c r="AM298" s="18">
        <v>72</v>
      </c>
      <c r="AN298" s="33">
        <v>617</v>
      </c>
      <c r="AO298" s="393">
        <v>-38968.370000000003</v>
      </c>
      <c r="AP298" s="35"/>
      <c r="AQ298" s="35">
        <v>-144.69999999999999</v>
      </c>
      <c r="AR298" s="35">
        <v>1.2</v>
      </c>
    </row>
    <row r="299" spans="1:44" x14ac:dyDescent="0.25">
      <c r="A299" s="383">
        <v>5921</v>
      </c>
      <c r="B299" s="367" t="s">
        <v>401</v>
      </c>
      <c r="C299" s="35">
        <v>322193.34000000003</v>
      </c>
      <c r="D299" s="35">
        <v>46106.41</v>
      </c>
      <c r="E299" s="397"/>
      <c r="F299" s="368"/>
      <c r="G299" s="368">
        <v>24125.4</v>
      </c>
      <c r="H299" s="370">
        <v>368.65</v>
      </c>
      <c r="I299" s="368"/>
      <c r="J299" s="370">
        <v>16675.400000000001</v>
      </c>
      <c r="K299" s="368"/>
      <c r="L299" s="370">
        <v>28681</v>
      </c>
      <c r="M299" s="371">
        <f t="shared" si="13"/>
        <v>438150.20000000007</v>
      </c>
      <c r="N299" s="35"/>
      <c r="O299" s="35">
        <v>3286.2</v>
      </c>
      <c r="P299" s="35">
        <v>17480.8</v>
      </c>
      <c r="Q299" s="35">
        <v>11622.85</v>
      </c>
      <c r="R299" s="35">
        <v>3177.3</v>
      </c>
      <c r="S299" s="367"/>
      <c r="T299" s="35">
        <v>350</v>
      </c>
      <c r="U299" s="380">
        <v>1372.5</v>
      </c>
      <c r="V299" s="35">
        <v>496</v>
      </c>
      <c r="W299" s="393"/>
      <c r="X299" s="372">
        <f t="shared" si="14"/>
        <v>475935.85000000003</v>
      </c>
      <c r="Y299" s="35">
        <v>34320</v>
      </c>
      <c r="Z299" s="380"/>
      <c r="AA299" s="35">
        <v>36015</v>
      </c>
      <c r="AB299" s="380"/>
      <c r="AC299" s="35">
        <v>8680</v>
      </c>
      <c r="AD299" s="380">
        <v>28080</v>
      </c>
      <c r="AE299" s="35"/>
      <c r="AF299" s="380"/>
      <c r="AG299" s="35"/>
      <c r="AH299" s="380"/>
      <c r="AI299" s="35"/>
      <c r="AJ299" s="380"/>
      <c r="AK299" s="35"/>
      <c r="AL299" s="403">
        <f t="shared" si="15"/>
        <v>107095</v>
      </c>
      <c r="AM299" s="18">
        <v>81</v>
      </c>
      <c r="AN299" s="33">
        <v>232</v>
      </c>
      <c r="AO299" s="393">
        <v>-10074.469999999999</v>
      </c>
      <c r="AP299" s="35"/>
      <c r="AQ299" s="35">
        <v>-0.06</v>
      </c>
      <c r="AR299" s="35">
        <v>1</v>
      </c>
    </row>
    <row r="300" spans="1:44" x14ac:dyDescent="0.25">
      <c r="A300" s="383">
        <v>5922</v>
      </c>
      <c r="B300" s="367" t="s">
        <v>278</v>
      </c>
      <c r="C300" s="35">
        <v>1470239.01</v>
      </c>
      <c r="D300" s="35">
        <v>216350.1</v>
      </c>
      <c r="E300" s="397"/>
      <c r="F300" s="368"/>
      <c r="G300" s="368">
        <v>882164.9</v>
      </c>
      <c r="H300" s="370">
        <v>4312.25</v>
      </c>
      <c r="I300" s="368"/>
      <c r="J300" s="370">
        <v>44718.02</v>
      </c>
      <c r="K300" s="368">
        <v>44958.05</v>
      </c>
      <c r="L300" s="370">
        <v>242617.65</v>
      </c>
      <c r="M300" s="371">
        <f t="shared" si="13"/>
        <v>2905359.98</v>
      </c>
      <c r="N300" s="35">
        <v>151849.95000000001</v>
      </c>
      <c r="O300" s="35"/>
      <c r="P300" s="35">
        <v>82569</v>
      </c>
      <c r="Q300" s="35">
        <v>26802.41</v>
      </c>
      <c r="R300" s="35">
        <v>78110.600000000006</v>
      </c>
      <c r="S300" s="367">
        <v>5490</v>
      </c>
      <c r="T300" s="35">
        <v>81665.100000000006</v>
      </c>
      <c r="U300" s="380">
        <v>1720</v>
      </c>
      <c r="V300" s="35">
        <v>204.5</v>
      </c>
      <c r="W300" s="393"/>
      <c r="X300" s="372">
        <f t="shared" si="14"/>
        <v>3333771.5400000005</v>
      </c>
      <c r="Y300" s="35">
        <v>20718.7</v>
      </c>
      <c r="Z300" s="380"/>
      <c r="AA300" s="35">
        <v>118423.85</v>
      </c>
      <c r="AB300" s="380"/>
      <c r="AC300" s="35">
        <v>124852.2</v>
      </c>
      <c r="AD300" s="380">
        <v>24565</v>
      </c>
      <c r="AE300" s="35"/>
      <c r="AF300" s="380"/>
      <c r="AG300" s="35">
        <v>3651.55</v>
      </c>
      <c r="AH300" s="380">
        <v>91824.6</v>
      </c>
      <c r="AI300" s="35"/>
      <c r="AJ300" s="380"/>
      <c r="AK300" s="35"/>
      <c r="AL300" s="403">
        <f t="shared" si="15"/>
        <v>384035.9</v>
      </c>
      <c r="AM300" s="18">
        <v>61</v>
      </c>
      <c r="AN300" s="33">
        <v>717</v>
      </c>
      <c r="AO300" s="393">
        <v>-59801.45</v>
      </c>
      <c r="AP300" s="35"/>
      <c r="AQ300" s="35">
        <v>-63.37</v>
      </c>
      <c r="AR300" s="35">
        <v>0.8</v>
      </c>
    </row>
    <row r="301" spans="1:44" x14ac:dyDescent="0.25">
      <c r="A301" s="383">
        <v>5923</v>
      </c>
      <c r="B301" s="367" t="s">
        <v>279</v>
      </c>
      <c r="C301" s="35">
        <v>288109.21000000002</v>
      </c>
      <c r="D301" s="35">
        <v>35582.800000000003</v>
      </c>
      <c r="E301" s="397"/>
      <c r="F301" s="368"/>
      <c r="G301" s="368">
        <v>6495.6</v>
      </c>
      <c r="H301" s="370">
        <v>289.85000000000002</v>
      </c>
      <c r="I301" s="368"/>
      <c r="J301" s="370">
        <v>25452.47</v>
      </c>
      <c r="K301" s="368"/>
      <c r="L301" s="373">
        <v>23806.400000000001</v>
      </c>
      <c r="M301" s="371">
        <f t="shared" si="13"/>
        <v>379736.32999999996</v>
      </c>
      <c r="N301" s="35">
        <v>10712</v>
      </c>
      <c r="O301" s="35">
        <v>1055.0999999999999</v>
      </c>
      <c r="P301" s="35">
        <v>7810</v>
      </c>
      <c r="Q301" s="35"/>
      <c r="R301" s="35">
        <v>4693.3999999999996</v>
      </c>
      <c r="S301" s="367"/>
      <c r="T301" s="35"/>
      <c r="U301" s="380">
        <v>2160</v>
      </c>
      <c r="V301" s="35"/>
      <c r="W301" s="393"/>
      <c r="X301" s="372">
        <f t="shared" si="14"/>
        <v>406166.82999999996</v>
      </c>
      <c r="Y301" s="35">
        <v>2800</v>
      </c>
      <c r="Z301" s="380"/>
      <c r="AA301" s="35">
        <v>47771.3</v>
      </c>
      <c r="AB301" s="380"/>
      <c r="AC301" s="35">
        <v>17299.95</v>
      </c>
      <c r="AD301" s="380"/>
      <c r="AE301" s="35"/>
      <c r="AF301" s="380"/>
      <c r="AG301" s="35"/>
      <c r="AH301" s="380"/>
      <c r="AI301" s="35"/>
      <c r="AJ301" s="380"/>
      <c r="AK301" s="35"/>
      <c r="AL301" s="403">
        <f t="shared" si="15"/>
        <v>67871.25</v>
      </c>
      <c r="AM301" s="18">
        <v>81</v>
      </c>
      <c r="AN301" s="33">
        <v>187</v>
      </c>
      <c r="AO301" s="393">
        <v>-2651.85</v>
      </c>
      <c r="AP301" s="35"/>
      <c r="AQ301" s="35">
        <v>0</v>
      </c>
      <c r="AR301" s="35">
        <v>1</v>
      </c>
    </row>
    <row r="302" spans="1:44" x14ac:dyDescent="0.25">
      <c r="A302" s="383">
        <v>5924</v>
      </c>
      <c r="B302" s="367" t="s">
        <v>280</v>
      </c>
      <c r="C302" s="35">
        <v>634944.38</v>
      </c>
      <c r="D302" s="35">
        <v>68901.8</v>
      </c>
      <c r="E302" s="397"/>
      <c r="F302" s="368"/>
      <c r="G302" s="368">
        <v>37510.550000000003</v>
      </c>
      <c r="H302" s="370">
        <v>613.35</v>
      </c>
      <c r="I302" s="368"/>
      <c r="J302" s="370">
        <v>5902.97</v>
      </c>
      <c r="K302" s="368"/>
      <c r="L302" s="373">
        <v>39610.050000000003</v>
      </c>
      <c r="M302" s="371">
        <f t="shared" si="13"/>
        <v>787483.10000000009</v>
      </c>
      <c r="N302" s="35">
        <v>29.65</v>
      </c>
      <c r="O302" s="35"/>
      <c r="P302" s="35">
        <v>10670</v>
      </c>
      <c r="Q302" s="35"/>
      <c r="R302" s="35">
        <v>10441.700000000001</v>
      </c>
      <c r="S302" s="367"/>
      <c r="T302" s="35">
        <v>1710</v>
      </c>
      <c r="U302" s="380">
        <v>2648.45</v>
      </c>
      <c r="V302" s="35"/>
      <c r="W302" s="393"/>
      <c r="X302" s="372">
        <f t="shared" si="14"/>
        <v>812982.9</v>
      </c>
      <c r="Y302" s="35"/>
      <c r="Z302" s="380"/>
      <c r="AA302" s="35">
        <v>22177.8</v>
      </c>
      <c r="AB302" s="380"/>
      <c r="AC302" s="35">
        <v>13408.75</v>
      </c>
      <c r="AD302" s="380">
        <v>32808.6</v>
      </c>
      <c r="AE302" s="35"/>
      <c r="AF302" s="380"/>
      <c r="AG302" s="35">
        <v>1707.6</v>
      </c>
      <c r="AH302" s="380"/>
      <c r="AI302" s="35"/>
      <c r="AJ302" s="380"/>
      <c r="AK302" s="35"/>
      <c r="AL302" s="403">
        <f t="shared" si="15"/>
        <v>70102.75</v>
      </c>
      <c r="AM302" s="18">
        <v>74</v>
      </c>
      <c r="AN302" s="33">
        <v>336</v>
      </c>
      <c r="AO302" s="393">
        <v>-4226.53</v>
      </c>
      <c r="AP302" s="35"/>
      <c r="AQ302" s="35">
        <v>0</v>
      </c>
      <c r="AR302" s="35">
        <v>1</v>
      </c>
    </row>
    <row r="303" spans="1:44" x14ac:dyDescent="0.25">
      <c r="A303" s="383">
        <v>5925</v>
      </c>
      <c r="B303" s="367" t="s">
        <v>405</v>
      </c>
      <c r="C303" s="35">
        <v>312834.52</v>
      </c>
      <c r="D303" s="35">
        <v>42444.89</v>
      </c>
      <c r="E303" s="397"/>
      <c r="F303" s="368">
        <v>1230</v>
      </c>
      <c r="G303" s="368">
        <v>5282.2</v>
      </c>
      <c r="H303" s="370">
        <v>87.6</v>
      </c>
      <c r="I303" s="368"/>
      <c r="J303" s="370">
        <v>3689.14</v>
      </c>
      <c r="K303" s="368"/>
      <c r="L303" s="370">
        <v>29690.2</v>
      </c>
      <c r="M303" s="371">
        <f t="shared" si="13"/>
        <v>395258.55000000005</v>
      </c>
      <c r="N303" s="35"/>
      <c r="O303" s="35"/>
      <c r="P303" s="35">
        <v>8140</v>
      </c>
      <c r="Q303" s="35">
        <v>2370.56</v>
      </c>
      <c r="R303" s="35"/>
      <c r="S303" s="367"/>
      <c r="T303" s="35">
        <v>310</v>
      </c>
      <c r="U303" s="380">
        <v>1880</v>
      </c>
      <c r="V303" s="35"/>
      <c r="W303" s="393"/>
      <c r="X303" s="372">
        <f t="shared" si="14"/>
        <v>407959.11000000004</v>
      </c>
      <c r="Y303" s="35">
        <v>13300</v>
      </c>
      <c r="Z303" s="380"/>
      <c r="AA303" s="35">
        <v>37142</v>
      </c>
      <c r="AB303" s="380"/>
      <c r="AC303" s="35">
        <v>13388</v>
      </c>
      <c r="AD303" s="380">
        <v>467.45</v>
      </c>
      <c r="AE303" s="35"/>
      <c r="AF303" s="380"/>
      <c r="AG303" s="35"/>
      <c r="AH303" s="380"/>
      <c r="AI303" s="35"/>
      <c r="AJ303" s="380"/>
      <c r="AK303" s="35"/>
      <c r="AL303" s="403">
        <f t="shared" si="15"/>
        <v>64297.45</v>
      </c>
      <c r="AM303" s="18">
        <v>79</v>
      </c>
      <c r="AN303" s="33">
        <v>195</v>
      </c>
      <c r="AO303" s="393">
        <v>-19908.71</v>
      </c>
      <c r="AP303" s="35"/>
      <c r="AQ303" s="35">
        <v>0</v>
      </c>
      <c r="AR303" s="35">
        <v>1</v>
      </c>
    </row>
    <row r="304" spans="1:44" x14ac:dyDescent="0.25">
      <c r="A304" s="383">
        <v>5926</v>
      </c>
      <c r="B304" s="367" t="s">
        <v>406</v>
      </c>
      <c r="C304" s="35">
        <v>1268703.6399999999</v>
      </c>
      <c r="D304" s="35">
        <v>245031.77</v>
      </c>
      <c r="E304" s="397"/>
      <c r="F304" s="368"/>
      <c r="G304" s="368">
        <v>29931.200000000001</v>
      </c>
      <c r="H304" s="370">
        <v>817.8</v>
      </c>
      <c r="I304" s="368"/>
      <c r="J304" s="370">
        <v>5382.81</v>
      </c>
      <c r="K304" s="368"/>
      <c r="L304" s="370">
        <v>116501.5</v>
      </c>
      <c r="M304" s="371">
        <f t="shared" si="13"/>
        <v>1666368.72</v>
      </c>
      <c r="N304" s="35">
        <v>1698.35</v>
      </c>
      <c r="O304" s="35">
        <v>21950</v>
      </c>
      <c r="P304" s="35">
        <v>63269.65</v>
      </c>
      <c r="Q304" s="35"/>
      <c r="R304" s="35">
        <v>3937.5</v>
      </c>
      <c r="S304" s="367"/>
      <c r="T304" s="35">
        <v>700</v>
      </c>
      <c r="U304" s="380">
        <v>3700</v>
      </c>
      <c r="V304" s="35"/>
      <c r="W304" s="393"/>
      <c r="X304" s="372">
        <f t="shared" si="14"/>
        <v>1761624.22</v>
      </c>
      <c r="Y304" s="35">
        <v>-331</v>
      </c>
      <c r="Z304" s="380"/>
      <c r="AA304" s="35">
        <v>49782.25</v>
      </c>
      <c r="AB304" s="380"/>
      <c r="AC304" s="35">
        <v>27420.55</v>
      </c>
      <c r="AD304" s="380">
        <v>4430</v>
      </c>
      <c r="AE304" s="35">
        <v>5625.9</v>
      </c>
      <c r="AF304" s="380"/>
      <c r="AG304" s="35"/>
      <c r="AH304" s="380"/>
      <c r="AI304" s="35"/>
      <c r="AJ304" s="380"/>
      <c r="AK304" s="35"/>
      <c r="AL304" s="403">
        <f t="shared" si="15"/>
        <v>86927.7</v>
      </c>
      <c r="AM304" s="18">
        <v>71</v>
      </c>
      <c r="AN304" s="33">
        <v>785</v>
      </c>
      <c r="AO304" s="393">
        <v>-8421.1299999999992</v>
      </c>
      <c r="AP304" s="35"/>
      <c r="AQ304" s="35">
        <v>-45.77</v>
      </c>
      <c r="AR304" s="35">
        <v>1</v>
      </c>
    </row>
    <row r="305" spans="1:44" x14ac:dyDescent="0.25">
      <c r="A305" s="383">
        <v>5928</v>
      </c>
      <c r="B305" s="367" t="s">
        <v>407</v>
      </c>
      <c r="C305" s="35">
        <v>255027.11</v>
      </c>
      <c r="D305" s="35">
        <v>39896.870000000003</v>
      </c>
      <c r="E305" s="397"/>
      <c r="F305" s="368"/>
      <c r="G305" s="368">
        <v>1861.95</v>
      </c>
      <c r="H305" s="370">
        <v>33.049999999999997</v>
      </c>
      <c r="I305" s="368"/>
      <c r="J305" s="370">
        <v>11889.26</v>
      </c>
      <c r="K305" s="368"/>
      <c r="L305" s="370">
        <v>20372.8</v>
      </c>
      <c r="M305" s="371">
        <f t="shared" si="13"/>
        <v>329081.03999999998</v>
      </c>
      <c r="N305" s="35">
        <v>3441.6</v>
      </c>
      <c r="O305" s="35"/>
      <c r="P305" s="35">
        <v>8307.75</v>
      </c>
      <c r="Q305" s="35"/>
      <c r="R305" s="35"/>
      <c r="S305" s="367"/>
      <c r="T305" s="35"/>
      <c r="U305" s="380">
        <v>1440</v>
      </c>
      <c r="V305" s="35"/>
      <c r="W305" s="393"/>
      <c r="X305" s="372">
        <f t="shared" si="14"/>
        <v>342270.38999999996</v>
      </c>
      <c r="Y305" s="35">
        <v>5000</v>
      </c>
      <c r="Z305" s="380"/>
      <c r="AA305" s="35">
        <v>31887.5</v>
      </c>
      <c r="AB305" s="380"/>
      <c r="AC305" s="35">
        <v>8332.25</v>
      </c>
      <c r="AD305" s="380">
        <v>1250</v>
      </c>
      <c r="AE305" s="35"/>
      <c r="AF305" s="380"/>
      <c r="AG305" s="35"/>
      <c r="AH305" s="380"/>
      <c r="AI305" s="35"/>
      <c r="AJ305" s="380"/>
      <c r="AK305" s="35"/>
      <c r="AL305" s="403">
        <f t="shared" si="15"/>
        <v>46469.75</v>
      </c>
      <c r="AM305" s="18">
        <v>73</v>
      </c>
      <c r="AN305" s="33">
        <v>187</v>
      </c>
      <c r="AO305" s="393">
        <v>-888.5</v>
      </c>
      <c r="AP305" s="35"/>
      <c r="AQ305" s="35">
        <v>-0.9</v>
      </c>
      <c r="AR305" s="35">
        <v>1</v>
      </c>
    </row>
    <row r="306" spans="1:44" x14ac:dyDescent="0.25">
      <c r="A306" s="383">
        <v>5929</v>
      </c>
      <c r="B306" s="367" t="s">
        <v>408</v>
      </c>
      <c r="C306" s="35">
        <v>946875.61</v>
      </c>
      <c r="D306" s="35">
        <v>101001.56</v>
      </c>
      <c r="E306" s="397"/>
      <c r="F306" s="368"/>
      <c r="G306" s="368">
        <v>20872.5</v>
      </c>
      <c r="H306" s="370">
        <v>493.4</v>
      </c>
      <c r="I306" s="368">
        <v>41100.15</v>
      </c>
      <c r="J306" s="370">
        <v>-4821.1899999999996</v>
      </c>
      <c r="K306" s="368"/>
      <c r="L306" s="370">
        <v>79689.45</v>
      </c>
      <c r="M306" s="371">
        <f t="shared" si="13"/>
        <v>1185211.4799999997</v>
      </c>
      <c r="N306" s="35">
        <v>5924.95</v>
      </c>
      <c r="O306" s="35"/>
      <c r="P306" s="35">
        <v>38314.400000000001</v>
      </c>
      <c r="Q306" s="35"/>
      <c r="R306" s="35">
        <v>46879.45</v>
      </c>
      <c r="S306" s="367"/>
      <c r="T306" s="35">
        <v>231.45</v>
      </c>
      <c r="U306" s="380">
        <v>1980</v>
      </c>
      <c r="V306" s="35">
        <v>700</v>
      </c>
      <c r="W306" s="393"/>
      <c r="X306" s="372">
        <f t="shared" si="14"/>
        <v>1279241.7299999995</v>
      </c>
      <c r="Y306" s="35">
        <v>7665.8</v>
      </c>
      <c r="Z306" s="380"/>
      <c r="AA306" s="35">
        <v>192155.6</v>
      </c>
      <c r="AB306" s="380"/>
      <c r="AC306" s="35">
        <v>44659.5</v>
      </c>
      <c r="AD306" s="380"/>
      <c r="AE306" s="35"/>
      <c r="AF306" s="380"/>
      <c r="AG306" s="35"/>
      <c r="AH306" s="380">
        <v>11683.3</v>
      </c>
      <c r="AI306" s="35"/>
      <c r="AJ306" s="380"/>
      <c r="AK306" s="35"/>
      <c r="AL306" s="403">
        <f t="shared" si="15"/>
        <v>256164.19999999998</v>
      </c>
      <c r="AM306" s="18">
        <v>70</v>
      </c>
      <c r="AN306" s="33">
        <v>605</v>
      </c>
      <c r="AO306" s="393">
        <v>-6843.44</v>
      </c>
      <c r="AP306" s="35"/>
      <c r="AQ306" s="35">
        <v>0</v>
      </c>
      <c r="AR306" s="35">
        <v>0.8</v>
      </c>
    </row>
    <row r="307" spans="1:44" x14ac:dyDescent="0.25">
      <c r="A307" s="383">
        <v>5930</v>
      </c>
      <c r="B307" s="367" t="s">
        <v>409</v>
      </c>
      <c r="C307" s="35">
        <v>317286.36</v>
      </c>
      <c r="D307" s="35">
        <v>35362.519999999997</v>
      </c>
      <c r="E307" s="397"/>
      <c r="F307" s="368"/>
      <c r="G307" s="368">
        <v>97.1</v>
      </c>
      <c r="H307" s="370">
        <v>45.7</v>
      </c>
      <c r="I307" s="368"/>
      <c r="J307" s="370">
        <v>6175.96</v>
      </c>
      <c r="K307" s="368">
        <v>228.6</v>
      </c>
      <c r="L307" s="370">
        <v>26957.8</v>
      </c>
      <c r="M307" s="371">
        <f t="shared" si="13"/>
        <v>386154.04</v>
      </c>
      <c r="N307" s="35"/>
      <c r="O307" s="35">
        <v>2348.6</v>
      </c>
      <c r="P307" s="35">
        <v>28111.45</v>
      </c>
      <c r="Q307" s="35"/>
      <c r="R307" s="35">
        <v>11061.6</v>
      </c>
      <c r="S307" s="367"/>
      <c r="T307" s="35">
        <v>50</v>
      </c>
      <c r="U307" s="380">
        <v>570</v>
      </c>
      <c r="V307" s="35"/>
      <c r="W307" s="393">
        <v>1080</v>
      </c>
      <c r="X307" s="372">
        <f t="shared" si="14"/>
        <v>429375.68999999994</v>
      </c>
      <c r="Y307" s="35">
        <v>4250</v>
      </c>
      <c r="Z307" s="380"/>
      <c r="AA307" s="35">
        <v>17570.849999999999</v>
      </c>
      <c r="AB307" s="380"/>
      <c r="AC307" s="35">
        <v>7750.05</v>
      </c>
      <c r="AD307" s="380">
        <v>2504.6</v>
      </c>
      <c r="AE307" s="35"/>
      <c r="AF307" s="380"/>
      <c r="AG307" s="35"/>
      <c r="AH307" s="380"/>
      <c r="AI307" s="35"/>
      <c r="AJ307" s="380"/>
      <c r="AK307" s="35"/>
      <c r="AL307" s="403">
        <f t="shared" si="15"/>
        <v>32075.499999999996</v>
      </c>
      <c r="AM307" s="18">
        <v>72</v>
      </c>
      <c r="AN307" s="33">
        <v>200</v>
      </c>
      <c r="AO307" s="393">
        <v>-38.82</v>
      </c>
      <c r="AP307" s="35"/>
      <c r="AQ307" s="35">
        <v>0</v>
      </c>
      <c r="AR307" s="35">
        <v>1</v>
      </c>
    </row>
    <row r="308" spans="1:44" x14ac:dyDescent="0.25">
      <c r="A308" s="383">
        <v>5931</v>
      </c>
      <c r="B308" s="367" t="s">
        <v>410</v>
      </c>
      <c r="C308" s="35">
        <v>858096.74</v>
      </c>
      <c r="D308" s="35">
        <v>81908.69</v>
      </c>
      <c r="E308" s="397"/>
      <c r="F308" s="368"/>
      <c r="G308" s="368">
        <v>-16116</v>
      </c>
      <c r="H308" s="370">
        <v>591.65</v>
      </c>
      <c r="I308" s="368"/>
      <c r="J308" s="370">
        <v>3430.86</v>
      </c>
      <c r="K308" s="368">
        <v>1039.8</v>
      </c>
      <c r="L308" s="370">
        <v>72198.399999999994</v>
      </c>
      <c r="M308" s="371">
        <f t="shared" si="13"/>
        <v>1001150.14</v>
      </c>
      <c r="N308" s="35">
        <v>4225.45</v>
      </c>
      <c r="O308" s="35"/>
      <c r="P308" s="35">
        <v>60753</v>
      </c>
      <c r="Q308" s="35">
        <v>4322.1099999999997</v>
      </c>
      <c r="R308" s="35">
        <v>48827.25</v>
      </c>
      <c r="S308" s="367"/>
      <c r="T308" s="35">
        <v>497.25</v>
      </c>
      <c r="U308" s="380">
        <v>3350</v>
      </c>
      <c r="V308" s="35"/>
      <c r="W308" s="393"/>
      <c r="X308" s="372">
        <f t="shared" si="14"/>
        <v>1123125.2</v>
      </c>
      <c r="Y308" s="35">
        <v>6000</v>
      </c>
      <c r="Z308" s="380"/>
      <c r="AA308" s="35">
        <v>43221.85</v>
      </c>
      <c r="AB308" s="380"/>
      <c r="AC308" s="35">
        <v>37189.599999999999</v>
      </c>
      <c r="AD308" s="380">
        <v>4617</v>
      </c>
      <c r="AE308" s="35"/>
      <c r="AF308" s="380"/>
      <c r="AG308" s="35"/>
      <c r="AH308" s="380">
        <v>12170.6</v>
      </c>
      <c r="AI308" s="35"/>
      <c r="AJ308" s="380"/>
      <c r="AK308" s="35"/>
      <c r="AL308" s="403">
        <f t="shared" si="15"/>
        <v>103199.05</v>
      </c>
      <c r="AM308" s="18">
        <v>75</v>
      </c>
      <c r="AN308" s="33">
        <v>456</v>
      </c>
      <c r="AO308" s="393">
        <v>-8822.74</v>
      </c>
      <c r="AP308" s="35"/>
      <c r="AQ308" s="35">
        <v>-0.28000000000000003</v>
      </c>
      <c r="AR308" s="35">
        <v>1</v>
      </c>
    </row>
    <row r="309" spans="1:44" x14ac:dyDescent="0.25">
      <c r="A309" s="383">
        <v>5932</v>
      </c>
      <c r="B309" s="367" t="s">
        <v>281</v>
      </c>
      <c r="C309" s="35">
        <v>426017.75</v>
      </c>
      <c r="D309" s="35">
        <v>48362.3</v>
      </c>
      <c r="E309" s="397"/>
      <c r="F309" s="368">
        <v>1260</v>
      </c>
      <c r="G309" s="368">
        <v>957.55</v>
      </c>
      <c r="H309" s="370">
        <v>47.65</v>
      </c>
      <c r="I309" s="368">
        <v>27678.7</v>
      </c>
      <c r="J309" s="370">
        <v>6457.67</v>
      </c>
      <c r="K309" s="368">
        <v>-20</v>
      </c>
      <c r="L309" s="370">
        <v>29290.7</v>
      </c>
      <c r="M309" s="371">
        <f t="shared" si="13"/>
        <v>540052.31999999995</v>
      </c>
      <c r="N309" s="35"/>
      <c r="O309" s="35"/>
      <c r="P309" s="35">
        <v>26400</v>
      </c>
      <c r="Q309" s="35"/>
      <c r="R309" s="35"/>
      <c r="S309" s="367"/>
      <c r="T309" s="35">
        <v>1200</v>
      </c>
      <c r="U309" s="380">
        <v>1800</v>
      </c>
      <c r="V309" s="35"/>
      <c r="W309" s="393"/>
      <c r="X309" s="372">
        <f t="shared" si="14"/>
        <v>569452.31999999995</v>
      </c>
      <c r="Y309" s="35">
        <v>20387.5</v>
      </c>
      <c r="Z309" s="380"/>
      <c r="AA309" s="35">
        <v>13700</v>
      </c>
      <c r="AB309" s="380"/>
      <c r="AC309" s="35">
        <v>8891.65</v>
      </c>
      <c r="AD309" s="380">
        <v>18474.849999999999</v>
      </c>
      <c r="AE309" s="35"/>
      <c r="AF309" s="380"/>
      <c r="AG309" s="35"/>
      <c r="AH309" s="380"/>
      <c r="AI309" s="35"/>
      <c r="AJ309" s="380"/>
      <c r="AK309" s="35"/>
      <c r="AL309" s="403">
        <f t="shared" si="15"/>
        <v>61454</v>
      </c>
      <c r="AM309" s="18">
        <v>78</v>
      </c>
      <c r="AN309" s="33">
        <v>218</v>
      </c>
      <c r="AO309" s="393">
        <v>-5065.78</v>
      </c>
      <c r="AP309" s="35"/>
      <c r="AQ309" s="35">
        <v>-9.44</v>
      </c>
      <c r="AR309" s="35">
        <v>1</v>
      </c>
    </row>
    <row r="310" spans="1:44" x14ac:dyDescent="0.25">
      <c r="A310" s="383">
        <v>5933</v>
      </c>
      <c r="B310" s="367" t="s">
        <v>403</v>
      </c>
      <c r="C310" s="35">
        <v>1218543.95</v>
      </c>
      <c r="D310" s="35">
        <v>168365.35</v>
      </c>
      <c r="E310" s="397"/>
      <c r="F310" s="368"/>
      <c r="G310" s="368">
        <v>25206.35</v>
      </c>
      <c r="H310" s="370">
        <v>135.65</v>
      </c>
      <c r="I310" s="368"/>
      <c r="J310" s="370">
        <v>18722.27</v>
      </c>
      <c r="K310" s="368">
        <v>2228.0500000000002</v>
      </c>
      <c r="L310" s="370">
        <v>103184.15</v>
      </c>
      <c r="M310" s="371">
        <f t="shared" si="13"/>
        <v>1536385.77</v>
      </c>
      <c r="N310" s="35">
        <v>9457.15</v>
      </c>
      <c r="O310" s="35">
        <v>27970</v>
      </c>
      <c r="P310" s="35">
        <v>67289.649999999994</v>
      </c>
      <c r="Q310" s="35">
        <v>3897.83</v>
      </c>
      <c r="R310" s="35">
        <v>32187.7</v>
      </c>
      <c r="S310" s="367">
        <v>125</v>
      </c>
      <c r="T310" s="35">
        <v>1774.85</v>
      </c>
      <c r="U310" s="380">
        <v>3720</v>
      </c>
      <c r="V310" s="35"/>
      <c r="W310" s="393"/>
      <c r="X310" s="372">
        <f t="shared" si="14"/>
        <v>1682807.95</v>
      </c>
      <c r="Y310" s="35">
        <v>17098</v>
      </c>
      <c r="Z310" s="380"/>
      <c r="AA310" s="35">
        <v>74352.7</v>
      </c>
      <c r="AB310" s="380"/>
      <c r="AC310" s="35">
        <v>32342.75</v>
      </c>
      <c r="AD310" s="380">
        <v>7198</v>
      </c>
      <c r="AE310" s="35"/>
      <c r="AF310" s="380"/>
      <c r="AG310" s="35"/>
      <c r="AH310" s="380"/>
      <c r="AI310" s="35"/>
      <c r="AJ310" s="380"/>
      <c r="AK310" s="35"/>
      <c r="AL310" s="403">
        <f t="shared" si="15"/>
        <v>130991.45</v>
      </c>
      <c r="AM310" s="18">
        <v>72</v>
      </c>
      <c r="AN310" s="33">
        <v>705</v>
      </c>
      <c r="AO310" s="393">
        <v>-28680.9</v>
      </c>
      <c r="AP310" s="35">
        <v>-16652.5</v>
      </c>
      <c r="AQ310" s="35">
        <v>-0.03</v>
      </c>
      <c r="AR310" s="35">
        <v>1</v>
      </c>
    </row>
    <row r="311" spans="1:44" x14ac:dyDescent="0.25">
      <c r="A311" s="383">
        <v>5934</v>
      </c>
      <c r="B311" s="367" t="s">
        <v>404</v>
      </c>
      <c r="C311" s="35">
        <v>474006.79</v>
      </c>
      <c r="D311" s="35">
        <v>41674.46</v>
      </c>
      <c r="E311" s="397"/>
      <c r="F311" s="368">
        <v>1350</v>
      </c>
      <c r="G311" s="368">
        <v>17360.95</v>
      </c>
      <c r="H311" s="370">
        <v>3.9</v>
      </c>
      <c r="I311" s="368"/>
      <c r="J311" s="370">
        <v>-1577</v>
      </c>
      <c r="K311" s="368"/>
      <c r="L311" s="370">
        <v>27512.3</v>
      </c>
      <c r="M311" s="371">
        <f t="shared" si="13"/>
        <v>560331.4</v>
      </c>
      <c r="N311" s="35"/>
      <c r="O311" s="35"/>
      <c r="P311" s="35"/>
      <c r="Q311" s="35"/>
      <c r="R311" s="35"/>
      <c r="S311" s="367"/>
      <c r="T311" s="35"/>
      <c r="U311" s="380">
        <v>840</v>
      </c>
      <c r="V311" s="35"/>
      <c r="W311" s="393"/>
      <c r="X311" s="372">
        <f t="shared" si="14"/>
        <v>561171.4</v>
      </c>
      <c r="Y311" s="35">
        <v>29200.15</v>
      </c>
      <c r="Z311" s="380"/>
      <c r="AA311" s="35">
        <v>11180</v>
      </c>
      <c r="AB311" s="380"/>
      <c r="AC311" s="35"/>
      <c r="AD311" s="380"/>
      <c r="AE311" s="35"/>
      <c r="AF311" s="380"/>
      <c r="AG311" s="35"/>
      <c r="AH311" s="380"/>
      <c r="AI311" s="35"/>
      <c r="AJ311" s="380"/>
      <c r="AK311" s="35"/>
      <c r="AL311" s="403">
        <f t="shared" si="15"/>
        <v>40380.15</v>
      </c>
      <c r="AM311" s="18">
        <v>79</v>
      </c>
      <c r="AN311" s="33">
        <v>238</v>
      </c>
      <c r="AO311" s="393">
        <v>-14077.18</v>
      </c>
      <c r="AP311" s="35">
        <v>-1500.95</v>
      </c>
      <c r="AQ311" s="35">
        <v>0</v>
      </c>
      <c r="AR311" s="35">
        <v>1</v>
      </c>
    </row>
    <row r="312" spans="1:44" x14ac:dyDescent="0.25">
      <c r="A312" s="383">
        <v>5935</v>
      </c>
      <c r="B312" s="367" t="s">
        <v>305</v>
      </c>
      <c r="C312" s="35">
        <v>286799.28000000003</v>
      </c>
      <c r="D312" s="35">
        <v>27574.17</v>
      </c>
      <c r="E312" s="397"/>
      <c r="F312" s="368"/>
      <c r="G312" s="368">
        <v>-1673.1</v>
      </c>
      <c r="H312" s="370">
        <v>23.4</v>
      </c>
      <c r="I312" s="368"/>
      <c r="J312" s="370">
        <v>342.79</v>
      </c>
      <c r="K312" s="368"/>
      <c r="L312" s="370">
        <v>17548.95</v>
      </c>
      <c r="M312" s="371">
        <f t="shared" si="13"/>
        <v>330615.49000000005</v>
      </c>
      <c r="N312" s="35"/>
      <c r="O312" s="35"/>
      <c r="P312" s="35">
        <v>9460</v>
      </c>
      <c r="Q312" s="35"/>
      <c r="R312" s="35"/>
      <c r="S312" s="367"/>
      <c r="T312" s="35"/>
      <c r="U312" s="380">
        <v>130</v>
      </c>
      <c r="V312" s="35"/>
      <c r="W312" s="393"/>
      <c r="X312" s="372">
        <f t="shared" si="14"/>
        <v>340205.49000000005</v>
      </c>
      <c r="Y312" s="35">
        <v>7412.15</v>
      </c>
      <c r="Z312" s="380"/>
      <c r="AA312" s="35">
        <v>5833</v>
      </c>
      <c r="AB312" s="380"/>
      <c r="AC312" s="35">
        <v>6437</v>
      </c>
      <c r="AD312" s="380">
        <v>7623</v>
      </c>
      <c r="AE312" s="35"/>
      <c r="AF312" s="380"/>
      <c r="AG312" s="35"/>
      <c r="AH312" s="380"/>
      <c r="AI312" s="35"/>
      <c r="AJ312" s="380"/>
      <c r="AK312" s="35"/>
      <c r="AL312" s="403">
        <f t="shared" si="15"/>
        <v>27305.15</v>
      </c>
      <c r="AM312" s="18">
        <v>60</v>
      </c>
      <c r="AN312" s="33">
        <v>106</v>
      </c>
      <c r="AO312" s="393">
        <v>-25.31</v>
      </c>
      <c r="AP312" s="35"/>
      <c r="AQ312" s="35">
        <v>-113.2</v>
      </c>
      <c r="AR312" s="35">
        <v>1</v>
      </c>
    </row>
    <row r="313" spans="1:44" x14ac:dyDescent="0.25">
      <c r="A313" s="383">
        <v>5937</v>
      </c>
      <c r="B313" s="367" t="s">
        <v>282</v>
      </c>
      <c r="C313" s="35">
        <v>166711.48000000001</v>
      </c>
      <c r="D313" s="35">
        <v>23846.74</v>
      </c>
      <c r="E313" s="397"/>
      <c r="F313" s="368"/>
      <c r="G313" s="368">
        <v>3875.95</v>
      </c>
      <c r="H313" s="370">
        <v>38.950000000000003</v>
      </c>
      <c r="I313" s="368"/>
      <c r="J313" s="370">
        <v>7962.12</v>
      </c>
      <c r="K313" s="368"/>
      <c r="L313" s="373">
        <v>10597.6</v>
      </c>
      <c r="M313" s="371">
        <f t="shared" si="13"/>
        <v>213032.84000000003</v>
      </c>
      <c r="N313" s="35"/>
      <c r="O313" s="35"/>
      <c r="P313" s="35">
        <v>8800</v>
      </c>
      <c r="Q313" s="35">
        <v>6370.53</v>
      </c>
      <c r="R313" s="35">
        <v>3179.15</v>
      </c>
      <c r="S313" s="367"/>
      <c r="T313" s="35"/>
      <c r="U313" s="380">
        <v>1125</v>
      </c>
      <c r="V313" s="35"/>
      <c r="W313" s="393"/>
      <c r="X313" s="372">
        <f t="shared" si="14"/>
        <v>232507.52000000002</v>
      </c>
      <c r="Y313" s="35">
        <v>9000</v>
      </c>
      <c r="Z313" s="380"/>
      <c r="AA313" s="35">
        <v>13050</v>
      </c>
      <c r="AB313" s="380"/>
      <c r="AC313" s="35">
        <v>4750</v>
      </c>
      <c r="AD313" s="380"/>
      <c r="AE313" s="35"/>
      <c r="AF313" s="380"/>
      <c r="AG313" s="35"/>
      <c r="AH313" s="380"/>
      <c r="AI313" s="35"/>
      <c r="AJ313" s="380"/>
      <c r="AK313" s="35"/>
      <c r="AL313" s="403">
        <f t="shared" si="15"/>
        <v>26800</v>
      </c>
      <c r="AM313" s="18">
        <v>70</v>
      </c>
      <c r="AN313" s="33">
        <v>122</v>
      </c>
      <c r="AO313" s="393">
        <v>-21573.83</v>
      </c>
      <c r="AP313" s="35"/>
      <c r="AQ313" s="35">
        <v>-6.5</v>
      </c>
      <c r="AR313" s="35">
        <v>0.7</v>
      </c>
    </row>
    <row r="314" spans="1:44" x14ac:dyDescent="0.25">
      <c r="A314" s="383">
        <v>5938</v>
      </c>
      <c r="B314" s="367" t="s">
        <v>155</v>
      </c>
      <c r="C314" s="35">
        <v>44759356.880000003</v>
      </c>
      <c r="D314" s="35">
        <v>4493047.78</v>
      </c>
      <c r="E314" s="397"/>
      <c r="F314" s="368"/>
      <c r="G314" s="368">
        <v>6639220</v>
      </c>
      <c r="H314" s="370">
        <v>383503.45</v>
      </c>
      <c r="I314" s="368">
        <v>54518.1</v>
      </c>
      <c r="J314" s="370">
        <v>1806437.57</v>
      </c>
      <c r="K314" s="368">
        <v>425568.5</v>
      </c>
      <c r="L314" s="370">
        <v>4012014.05</v>
      </c>
      <c r="M314" s="371">
        <f t="shared" si="13"/>
        <v>62573666.330000006</v>
      </c>
      <c r="N314" s="35">
        <v>3841277.35</v>
      </c>
      <c r="O314" s="35">
        <v>576234.1</v>
      </c>
      <c r="P314" s="35">
        <v>1588795.5</v>
      </c>
      <c r="Q314" s="35">
        <v>550038.11</v>
      </c>
      <c r="R314" s="35">
        <v>1224891.45</v>
      </c>
      <c r="S314" s="367"/>
      <c r="T314" s="35"/>
      <c r="U314" s="380">
        <v>60165</v>
      </c>
      <c r="V314" s="35"/>
      <c r="W314" s="393"/>
      <c r="X314" s="372">
        <f t="shared" si="14"/>
        <v>70415067.840000004</v>
      </c>
      <c r="Y314" s="35">
        <v>102096</v>
      </c>
      <c r="Z314" s="380"/>
      <c r="AA314" s="35">
        <v>4800069</v>
      </c>
      <c r="AB314" s="380">
        <v>883039</v>
      </c>
      <c r="AC314" s="35">
        <v>66980</v>
      </c>
      <c r="AD314" s="380">
        <v>204339</v>
      </c>
      <c r="AE314" s="35"/>
      <c r="AF314" s="380"/>
      <c r="AG314" s="35">
        <v>214734</v>
      </c>
      <c r="AH314" s="380">
        <v>849728</v>
      </c>
      <c r="AI314" s="35">
        <v>789164</v>
      </c>
      <c r="AJ314" s="380">
        <v>733449</v>
      </c>
      <c r="AK314" s="35"/>
      <c r="AL314" s="403">
        <f t="shared" si="15"/>
        <v>8643598</v>
      </c>
      <c r="AM314" s="18">
        <v>76.5</v>
      </c>
      <c r="AN314" s="33">
        <v>30208</v>
      </c>
      <c r="AO314" s="393">
        <v>-1775449.4</v>
      </c>
      <c r="AP314" s="35"/>
      <c r="AQ314" s="35">
        <v>-1785.47</v>
      </c>
      <c r="AR314" s="35">
        <v>1</v>
      </c>
    </row>
    <row r="315" spans="1:44" x14ac:dyDescent="0.25">
      <c r="A315" s="383">
        <v>5939</v>
      </c>
      <c r="B315" s="367" t="s">
        <v>154</v>
      </c>
      <c r="C315" s="94">
        <v>5362515.8899999997</v>
      </c>
      <c r="D315" s="94">
        <v>652892.23</v>
      </c>
      <c r="E315" s="397"/>
      <c r="F315" s="368"/>
      <c r="G315" s="378">
        <v>204826.5</v>
      </c>
      <c r="H315" s="370">
        <v>22651.45</v>
      </c>
      <c r="I315" s="378"/>
      <c r="J315" s="370">
        <v>144476.23000000001</v>
      </c>
      <c r="K315" s="378">
        <v>25823.5</v>
      </c>
      <c r="L315" s="370">
        <v>493472.7</v>
      </c>
      <c r="M315" s="371">
        <f t="shared" si="13"/>
        <v>6906658.5</v>
      </c>
      <c r="N315" s="35">
        <v>112071.65</v>
      </c>
      <c r="O315" s="35">
        <v>596048.19999999995</v>
      </c>
      <c r="P315" s="35">
        <v>368409.59999999998</v>
      </c>
      <c r="Q315" s="35">
        <v>11318.65</v>
      </c>
      <c r="R315" s="35">
        <v>229532.4</v>
      </c>
      <c r="S315" s="390">
        <v>11623.3</v>
      </c>
      <c r="T315" s="94"/>
      <c r="U315" s="391">
        <v>22525</v>
      </c>
      <c r="V315" s="94">
        <v>41</v>
      </c>
      <c r="W315" s="395">
        <v>10802.9</v>
      </c>
      <c r="X315" s="372">
        <f t="shared" si="14"/>
        <v>8269031.2000000011</v>
      </c>
      <c r="Y315" s="94">
        <v>27672</v>
      </c>
      <c r="Z315" s="380"/>
      <c r="AA315" s="94">
        <v>721985</v>
      </c>
      <c r="AB315" s="380"/>
      <c r="AC315" s="94">
        <v>232903.55</v>
      </c>
      <c r="AD315" s="380">
        <v>50157.5</v>
      </c>
      <c r="AE315" s="94"/>
      <c r="AF315" s="380"/>
      <c r="AG315" s="94">
        <v>9357.9</v>
      </c>
      <c r="AH315" s="380"/>
      <c r="AI315" s="94"/>
      <c r="AJ315" s="380"/>
      <c r="AK315" s="94"/>
      <c r="AL315" s="403">
        <f t="shared" si="15"/>
        <v>1042075.9500000001</v>
      </c>
      <c r="AM315" s="405">
        <v>73</v>
      </c>
      <c r="AN315" s="113">
        <v>3351</v>
      </c>
      <c r="AO315" s="393">
        <v>-98748.44</v>
      </c>
      <c r="AP315" s="35"/>
      <c r="AQ315" s="35">
        <v>-48.69</v>
      </c>
      <c r="AR315" s="35">
        <v>1</v>
      </c>
    </row>
    <row r="316" spans="1:44" x14ac:dyDescent="0.25">
      <c r="A316" s="385"/>
      <c r="B316" s="498">
        <f>COUNTA(B7:B315)</f>
        <v>309</v>
      </c>
      <c r="C316" s="94">
        <f t="shared" ref="C316:AK316" si="16">SUM(C7:C315)</f>
        <v>1614130811.4899993</v>
      </c>
      <c r="D316" s="395">
        <f t="shared" si="16"/>
        <v>283398749.93000019</v>
      </c>
      <c r="E316" s="21">
        <f t="shared" si="16"/>
        <v>0</v>
      </c>
      <c r="F316" s="21">
        <f t="shared" si="16"/>
        <v>111468.42</v>
      </c>
      <c r="G316" s="21">
        <f t="shared" si="16"/>
        <v>277985915.80000001</v>
      </c>
      <c r="H316" s="21">
        <f t="shared" si="16"/>
        <v>37303600.449999958</v>
      </c>
      <c r="I316" s="21">
        <f t="shared" si="16"/>
        <v>46189901.789999984</v>
      </c>
      <c r="J316" s="21">
        <f t="shared" si="16"/>
        <v>91136058.530000001</v>
      </c>
      <c r="K316" s="21">
        <f t="shared" si="16"/>
        <v>14479177.050000006</v>
      </c>
      <c r="L316" s="21">
        <f t="shared" si="16"/>
        <v>187023441.82000002</v>
      </c>
      <c r="M316" s="379">
        <f t="shared" si="16"/>
        <v>2551759125.2799969</v>
      </c>
      <c r="N316" s="21">
        <f t="shared" si="16"/>
        <v>66677797.950000003</v>
      </c>
      <c r="O316" s="21">
        <f t="shared" si="16"/>
        <v>79528631.349999979</v>
      </c>
      <c r="P316" s="21">
        <f t="shared" si="16"/>
        <v>86125485.75</v>
      </c>
      <c r="Q316" s="21">
        <f t="shared" si="16"/>
        <v>11164329.270000005</v>
      </c>
      <c r="R316" s="21">
        <f t="shared" si="16"/>
        <v>60234204.540000014</v>
      </c>
      <c r="S316" s="21">
        <f t="shared" si="16"/>
        <v>664582.19000000018</v>
      </c>
      <c r="T316" s="21">
        <f t="shared" si="16"/>
        <v>994547.94999999984</v>
      </c>
      <c r="U316" s="21">
        <f t="shared" si="16"/>
        <v>3393893.85</v>
      </c>
      <c r="V316" s="21">
        <f t="shared" si="16"/>
        <v>6987840.7600000007</v>
      </c>
      <c r="W316" s="21">
        <f t="shared" si="16"/>
        <v>768508.28</v>
      </c>
      <c r="X316" s="396">
        <f t="shared" si="16"/>
        <v>2868298947.1699982</v>
      </c>
      <c r="Y316" s="21">
        <f t="shared" si="16"/>
        <v>29438062.91</v>
      </c>
      <c r="Z316" s="21">
        <f t="shared" si="16"/>
        <v>6643652.6699999999</v>
      </c>
      <c r="AA316" s="21">
        <f t="shared" si="16"/>
        <v>104785556.55000004</v>
      </c>
      <c r="AB316" s="21">
        <f t="shared" si="16"/>
        <v>7156976.2800000003</v>
      </c>
      <c r="AC316" s="21">
        <f t="shared" si="16"/>
        <v>81442724.99999997</v>
      </c>
      <c r="AD316" s="21">
        <f t="shared" si="16"/>
        <v>21264907.440000005</v>
      </c>
      <c r="AE316" s="21">
        <f t="shared" si="16"/>
        <v>1020412.3500000002</v>
      </c>
      <c r="AF316" s="21">
        <f t="shared" si="16"/>
        <v>1357.25</v>
      </c>
      <c r="AG316" s="21">
        <f t="shared" si="16"/>
        <v>13232683.019999996</v>
      </c>
      <c r="AH316" s="21">
        <f t="shared" si="16"/>
        <v>22368793.560000014</v>
      </c>
      <c r="AI316" s="21">
        <f t="shared" si="16"/>
        <v>10798455.75</v>
      </c>
      <c r="AJ316" s="21">
        <f t="shared" si="16"/>
        <v>4233262.84</v>
      </c>
      <c r="AK316" s="21">
        <f t="shared" si="16"/>
        <v>3180519.7800000003</v>
      </c>
      <c r="AL316" s="396">
        <f>SUM(AL7:AL315)</f>
        <v>305567365.40000004</v>
      </c>
      <c r="AM316" s="94"/>
      <c r="AN316" s="20">
        <f>SUM(AN7:AN315)</f>
        <v>794384</v>
      </c>
      <c r="AO316" s="21">
        <f t="shared" ref="AO316:AQ316" si="17">SUM(AO7:AO315)</f>
        <v>-33716949.789999992</v>
      </c>
      <c r="AP316" s="21">
        <f t="shared" si="17"/>
        <v>-97674.45</v>
      </c>
      <c r="AQ316" s="21">
        <f t="shared" si="17"/>
        <v>-1672780.3299999998</v>
      </c>
      <c r="AR316" s="21"/>
    </row>
  </sheetData>
  <protectedRanges>
    <protectedRange sqref="A7:B315 C316 N7:R10 W7:W10 N11:W315 AL7:AQ315" name="Plage1"/>
    <protectedRange sqref="C7:L170 C172:L315" name="Plage1_1"/>
    <protectedRange sqref="C171:L171" name="Plage1_3"/>
    <protectedRange sqref="S7:U10" name="Plage1_4"/>
  </protectedRanges>
  <mergeCells count="44">
    <mergeCell ref="AE4:AE5"/>
    <mergeCell ref="AK4:AK6"/>
    <mergeCell ref="AR4:AR6"/>
    <mergeCell ref="AN4:AN5"/>
    <mergeCell ref="AO4:AO6"/>
    <mergeCell ref="AQ4:AQ6"/>
    <mergeCell ref="AP4:AP6"/>
    <mergeCell ref="AG4:AG5"/>
    <mergeCell ref="AH4:AH6"/>
    <mergeCell ref="AI4:AI6"/>
    <mergeCell ref="AJ4:AJ6"/>
    <mergeCell ref="AM4:AM5"/>
    <mergeCell ref="AF4:AF5"/>
    <mergeCell ref="AL4:AL5"/>
    <mergeCell ref="AC4:AC5"/>
    <mergeCell ref="AD4:AD5"/>
    <mergeCell ref="A4:A6"/>
    <mergeCell ref="B4:B6"/>
    <mergeCell ref="Q4:Q6"/>
    <mergeCell ref="L4:L5"/>
    <mergeCell ref="G4:G5"/>
    <mergeCell ref="H4:H5"/>
    <mergeCell ref="I4:I5"/>
    <mergeCell ref="J4:J5"/>
    <mergeCell ref="C4:C5"/>
    <mergeCell ref="D4:D5"/>
    <mergeCell ref="E4:E5"/>
    <mergeCell ref="N4:N5"/>
    <mergeCell ref="X4:X5"/>
    <mergeCell ref="O4:O5"/>
    <mergeCell ref="F4:F5"/>
    <mergeCell ref="K4:K5"/>
    <mergeCell ref="M4:M5"/>
    <mergeCell ref="AA4:AA5"/>
    <mergeCell ref="AB4:AB5"/>
    <mergeCell ref="P4:P5"/>
    <mergeCell ref="R4:R5"/>
    <mergeCell ref="S4:S6"/>
    <mergeCell ref="T4:T5"/>
    <mergeCell ref="U4:U5"/>
    <mergeCell ref="V4:V5"/>
    <mergeCell ref="W4:W5"/>
    <mergeCell ref="Y4:Y5"/>
    <mergeCell ref="Z4:Z5"/>
  </mergeCells>
  <phoneticPr fontId="8" type="noConversion"/>
  <pageMargins left="0.19685039370078741" right="0.3937007874015748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B050"/>
  </sheetPr>
  <dimension ref="A1:AR325"/>
  <sheetViews>
    <sheetView topLeftCell="AB1" zoomScaleNormal="100" workbookViewId="0">
      <pane ySplit="6" topLeftCell="A295" activePane="bottomLeft" state="frozen"/>
      <selection pane="bottomLeft" activeCell="R325" sqref="R325"/>
    </sheetView>
  </sheetViews>
  <sheetFormatPr baseColWidth="10" defaultColWidth="8.625" defaultRowHeight="15" x14ac:dyDescent="0.25"/>
  <cols>
    <col min="1" max="1" width="7.625" style="4" customWidth="1"/>
    <col min="2" max="2" width="20.375" style="14" bestFit="1" customWidth="1"/>
    <col min="3" max="3" width="15.875" style="14" hidden="1" customWidth="1"/>
    <col min="4" max="4" width="12.125" style="6" hidden="1" customWidth="1"/>
    <col min="5" max="5" width="9.125" style="14" hidden="1" customWidth="1"/>
    <col min="6" max="6" width="13.375" style="6" hidden="1" customWidth="1"/>
    <col min="7" max="7" width="18.375" style="14" hidden="1" customWidth="1"/>
    <col min="8" max="8" width="10" style="6" hidden="1" customWidth="1"/>
    <col min="9" max="9" width="10.125" style="14" hidden="1" customWidth="1"/>
    <col min="10" max="10" width="16" style="14" hidden="1" customWidth="1"/>
    <col min="11" max="12" width="12.25" style="14" hidden="1" customWidth="1"/>
    <col min="13" max="13" width="13.375" style="14" hidden="1" customWidth="1"/>
    <col min="14" max="14" width="15.875" style="14" hidden="1" customWidth="1"/>
    <col min="15" max="15" width="13" style="14" hidden="1" customWidth="1"/>
    <col min="16" max="16" width="13.125" style="14" hidden="1" customWidth="1"/>
    <col min="17" max="17" width="8.625" style="14" hidden="1" customWidth="1"/>
    <col min="18" max="18" width="14.375" style="14" bestFit="1" customWidth="1"/>
    <col min="19" max="19" width="12.125" style="16" bestFit="1" customWidth="1"/>
    <col min="20" max="20" width="14.375" style="16" bestFit="1" customWidth="1"/>
    <col min="21" max="21" width="12.125" style="14" customWidth="1"/>
    <col min="22" max="22" width="13.5" style="14" bestFit="1" customWidth="1"/>
    <col min="23" max="24" width="12.25" style="14" bestFit="1" customWidth="1"/>
    <col min="25" max="25" width="15.5" style="14" customWidth="1"/>
    <col min="26" max="26" width="12.5" style="14" bestFit="1" customWidth="1"/>
    <col min="27" max="43" width="12.125" style="14" customWidth="1"/>
    <col min="44" max="44" width="8.625" style="14" customWidth="1"/>
    <col min="45" max="16384" width="8.625" style="14"/>
  </cols>
  <sheetData>
    <row r="1" spans="1:44" ht="21" x14ac:dyDescent="0.35">
      <c r="A1" s="27" t="s">
        <v>463</v>
      </c>
      <c r="B1" s="28"/>
      <c r="C1" s="28"/>
      <c r="E1" s="30"/>
      <c r="G1" s="4"/>
      <c r="H1" s="5"/>
      <c r="I1" s="4"/>
      <c r="J1" s="4"/>
      <c r="K1" s="4"/>
      <c r="L1" s="4"/>
    </row>
    <row r="2" spans="1:44" ht="21" x14ac:dyDescent="0.35">
      <c r="A2" s="27">
        <f>Paramètres!B5</f>
        <v>2017</v>
      </c>
      <c r="C2" s="27"/>
      <c r="E2" s="30"/>
      <c r="G2" s="31"/>
      <c r="H2" s="5"/>
      <c r="I2" s="4"/>
      <c r="J2" s="4"/>
      <c r="K2" s="4"/>
      <c r="L2" s="4"/>
    </row>
    <row r="3" spans="1:44" x14ac:dyDescent="0.25">
      <c r="A3" s="3"/>
      <c r="B3" s="4"/>
      <c r="C3" s="4"/>
      <c r="E3" s="30"/>
      <c r="G3" s="4"/>
      <c r="H3" s="5"/>
      <c r="I3" s="4"/>
      <c r="J3" s="4"/>
      <c r="K3" s="4"/>
      <c r="L3" s="4"/>
      <c r="O3" s="29"/>
    </row>
    <row r="4" spans="1:44" s="17" customFormat="1" ht="38.1" customHeight="1" x14ac:dyDescent="0.2">
      <c r="A4" s="551" t="s">
        <v>50</v>
      </c>
      <c r="B4" s="554" t="s">
        <v>101</v>
      </c>
      <c r="C4" s="560" t="s">
        <v>256</v>
      </c>
      <c r="D4" s="557" t="s">
        <v>251</v>
      </c>
      <c r="E4" s="562" t="s">
        <v>252</v>
      </c>
      <c r="F4" s="557" t="s">
        <v>253</v>
      </c>
      <c r="G4" s="560" t="s">
        <v>254</v>
      </c>
      <c r="H4" s="557" t="s">
        <v>263</v>
      </c>
      <c r="I4" s="560" t="s">
        <v>264</v>
      </c>
      <c r="J4" s="560" t="s">
        <v>265</v>
      </c>
      <c r="K4" s="560" t="s">
        <v>388</v>
      </c>
      <c r="L4" s="560" t="s">
        <v>389</v>
      </c>
      <c r="M4" s="560" t="s">
        <v>390</v>
      </c>
      <c r="N4" s="557" t="s">
        <v>424</v>
      </c>
      <c r="O4" s="560" t="s">
        <v>52</v>
      </c>
      <c r="P4" s="560" t="s">
        <v>391</v>
      </c>
      <c r="Q4" s="562" t="s">
        <v>517</v>
      </c>
      <c r="R4" s="568" t="s">
        <v>485</v>
      </c>
      <c r="S4" s="529" t="s">
        <v>83</v>
      </c>
      <c r="T4" s="568" t="s">
        <v>347</v>
      </c>
      <c r="U4" s="568" t="s">
        <v>465</v>
      </c>
      <c r="V4" s="560" t="s">
        <v>200</v>
      </c>
      <c r="W4" s="560" t="s">
        <v>201</v>
      </c>
      <c r="X4" s="560" t="s">
        <v>202</v>
      </c>
      <c r="Y4" s="565" t="s">
        <v>435</v>
      </c>
      <c r="Z4" s="560" t="s">
        <v>199</v>
      </c>
      <c r="AA4" s="560" t="s">
        <v>590</v>
      </c>
      <c r="AB4" s="560" t="s">
        <v>559</v>
      </c>
      <c r="AC4" s="560" t="s">
        <v>560</v>
      </c>
      <c r="AD4" s="560" t="s">
        <v>561</v>
      </c>
      <c r="AE4" s="560" t="s">
        <v>591</v>
      </c>
      <c r="AF4" s="560" t="s">
        <v>592</v>
      </c>
      <c r="AG4" s="560" t="s">
        <v>593</v>
      </c>
      <c r="AH4" s="560" t="s">
        <v>594</v>
      </c>
      <c r="AI4" s="560" t="s">
        <v>570</v>
      </c>
      <c r="AJ4" s="560" t="s">
        <v>571</v>
      </c>
      <c r="AK4" s="560" t="s">
        <v>595</v>
      </c>
      <c r="AL4" s="560" t="s">
        <v>573</v>
      </c>
      <c r="AM4" s="560" t="s">
        <v>574</v>
      </c>
      <c r="AN4" s="560" t="s">
        <v>575</v>
      </c>
      <c r="AO4" s="560" t="s">
        <v>576</v>
      </c>
      <c r="AP4" s="560" t="s">
        <v>577</v>
      </c>
      <c r="AQ4" s="560" t="s">
        <v>578</v>
      </c>
      <c r="AR4" s="560" t="s">
        <v>310</v>
      </c>
    </row>
    <row r="5" spans="1:44" s="17" customFormat="1" ht="38.1" customHeight="1" x14ac:dyDescent="0.2">
      <c r="A5" s="552"/>
      <c r="B5" s="555"/>
      <c r="C5" s="561"/>
      <c r="D5" s="558"/>
      <c r="E5" s="563"/>
      <c r="F5" s="558"/>
      <c r="G5" s="561"/>
      <c r="H5" s="559"/>
      <c r="I5" s="561"/>
      <c r="J5" s="561"/>
      <c r="K5" s="561"/>
      <c r="L5" s="561"/>
      <c r="M5" s="561"/>
      <c r="N5" s="558"/>
      <c r="O5" s="571"/>
      <c r="P5" s="561"/>
      <c r="Q5" s="563"/>
      <c r="R5" s="569"/>
      <c r="S5" s="530"/>
      <c r="T5" s="569"/>
      <c r="U5" s="570"/>
      <c r="V5" s="561"/>
      <c r="W5" s="561"/>
      <c r="X5" s="561"/>
      <c r="Y5" s="566"/>
      <c r="Z5" s="561"/>
      <c r="AA5" s="561"/>
      <c r="AB5" s="561"/>
      <c r="AC5" s="561"/>
      <c r="AD5" s="561"/>
      <c r="AE5" s="561"/>
      <c r="AF5" s="561"/>
      <c r="AG5" s="561"/>
      <c r="AH5" s="561"/>
      <c r="AI5" s="561"/>
      <c r="AJ5" s="561"/>
      <c r="AK5" s="561"/>
      <c r="AL5" s="561"/>
      <c r="AM5" s="561"/>
      <c r="AN5" s="561"/>
      <c r="AO5" s="561"/>
      <c r="AP5" s="561"/>
      <c r="AQ5" s="561"/>
      <c r="AR5" s="561"/>
    </row>
    <row r="6" spans="1:44" ht="14.25" customHeight="1" x14ac:dyDescent="0.25">
      <c r="A6" s="553"/>
      <c r="B6" s="556"/>
      <c r="C6" s="41" t="s">
        <v>257</v>
      </c>
      <c r="D6" s="559"/>
      <c r="E6" s="564"/>
      <c r="F6" s="559"/>
      <c r="G6" s="41" t="s">
        <v>255</v>
      </c>
      <c r="H6" s="22" t="s">
        <v>84</v>
      </c>
      <c r="I6" s="23" t="s">
        <v>85</v>
      </c>
      <c r="J6" s="23" t="s">
        <v>86</v>
      </c>
      <c r="K6" s="41" t="s">
        <v>87</v>
      </c>
      <c r="L6" s="23" t="s">
        <v>88</v>
      </c>
      <c r="M6" s="23" t="s">
        <v>89</v>
      </c>
      <c r="N6" s="559"/>
      <c r="O6" s="561"/>
      <c r="P6" s="23" t="s">
        <v>90</v>
      </c>
      <c r="Q6" s="564"/>
      <c r="R6" s="570"/>
      <c r="S6" s="42">
        <f>Paramètres!B8</f>
        <v>2017</v>
      </c>
      <c r="T6" s="570"/>
      <c r="U6" s="211">
        <f>Paramètres!B5</f>
        <v>2017</v>
      </c>
      <c r="V6" s="23" t="s">
        <v>93</v>
      </c>
      <c r="W6" s="23" t="s">
        <v>94</v>
      </c>
      <c r="X6" s="23" t="s">
        <v>95</v>
      </c>
      <c r="Y6" s="567"/>
      <c r="Z6" s="41" t="s">
        <v>92</v>
      </c>
      <c r="AA6" s="41" t="s">
        <v>562</v>
      </c>
      <c r="AB6" s="41" t="s">
        <v>563</v>
      </c>
      <c r="AC6" s="41" t="s">
        <v>564</v>
      </c>
      <c r="AD6" s="41" t="s">
        <v>565</v>
      </c>
      <c r="AE6" s="41" t="s">
        <v>580</v>
      </c>
      <c r="AF6" s="41" t="s">
        <v>581</v>
      </c>
      <c r="AG6" s="41" t="s">
        <v>582</v>
      </c>
      <c r="AH6" s="41" t="s">
        <v>583</v>
      </c>
      <c r="AI6" s="41"/>
      <c r="AJ6" s="41"/>
      <c r="AK6" s="41"/>
      <c r="AL6" s="41"/>
      <c r="AM6" s="41" t="s">
        <v>588</v>
      </c>
      <c r="AN6" s="41"/>
      <c r="AO6" s="41"/>
      <c r="AP6" s="41"/>
      <c r="AQ6" s="41"/>
      <c r="AR6" s="25">
        <f>Paramètres!B7</f>
        <v>41638</v>
      </c>
    </row>
    <row r="7" spans="1:44" x14ac:dyDescent="0.25">
      <c r="A7" s="8">
        <f>'A) Base RI'!A7</f>
        <v>5401</v>
      </c>
      <c r="B7" s="34" t="str">
        <f>'A) Base RI'!B7</f>
        <v>Aigle</v>
      </c>
      <c r="C7" s="10">
        <f>'A) Base RI'!C7+'A) Base RI'!D7</f>
        <v>13556077.510000002</v>
      </c>
      <c r="D7" s="10">
        <f>'A) Base RI'!AO7</f>
        <v>-379884.16</v>
      </c>
      <c r="E7" s="33">
        <f>'A) Base RI'!AP7</f>
        <v>0</v>
      </c>
      <c r="F7" s="33">
        <f>'A) Base RI'!AQ7</f>
        <v>-938.52</v>
      </c>
      <c r="G7" s="2">
        <f>SUM(C7:F7)</f>
        <v>13175254.830000002</v>
      </c>
      <c r="H7" s="10">
        <f>+'A) Base RI'!E7</f>
        <v>0</v>
      </c>
      <c r="I7" s="10">
        <f>+'A) Base RI'!F7</f>
        <v>95.45</v>
      </c>
      <c r="J7" s="10">
        <f>+'A) Base RI'!G7+'A) Base RI'!H7</f>
        <v>3304677.2</v>
      </c>
      <c r="K7" s="10">
        <f>+'A) Base RI'!I7</f>
        <v>-5797.95</v>
      </c>
      <c r="L7" s="10">
        <f>+'A) Base RI'!J7</f>
        <v>663523.68000000005</v>
      </c>
      <c r="M7" s="10">
        <f>+'A) Base RI'!K7</f>
        <v>163866.4</v>
      </c>
      <c r="N7" s="10">
        <f>+'A) Base RI'!Q7</f>
        <v>113134.33</v>
      </c>
      <c r="O7" s="10">
        <f>(P7/Q7)*1</f>
        <v>1539754.6666666667</v>
      </c>
      <c r="P7" s="10">
        <f>+'A) Base RI'!L7</f>
        <v>1847705.6000000001</v>
      </c>
      <c r="Q7" s="36">
        <f>'A) Base RI'!AR7</f>
        <v>1.2</v>
      </c>
      <c r="R7" s="2">
        <f>SUM(G7:O7)</f>
        <v>18954508.606666666</v>
      </c>
      <c r="S7" s="35">
        <f>+'A) Base RI'!AM7</f>
        <v>67.5</v>
      </c>
      <c r="T7" s="2">
        <f>(G7+H7+J7+K7+L7+N7)</f>
        <v>17250792.09</v>
      </c>
      <c r="U7" s="2">
        <f>R7/S7</f>
        <v>280807.53491358022</v>
      </c>
      <c r="V7" s="10">
        <f>+'A) Base RI'!O7</f>
        <v>419888.6</v>
      </c>
      <c r="W7" s="10">
        <f>+'A) Base RI'!P7</f>
        <v>1008208.15</v>
      </c>
      <c r="X7" s="10">
        <f>+'A) Base RI'!R7</f>
        <v>589268.35</v>
      </c>
      <c r="Y7" s="2">
        <f>SUM(V7:X7)</f>
        <v>2017365.1</v>
      </c>
      <c r="Z7" s="10">
        <f>+'A) Base RI'!N7</f>
        <v>906929.85</v>
      </c>
      <c r="AA7" s="10">
        <f>+'A) Base RI'!S7+'A) Base RI'!T7</f>
        <v>78474.45</v>
      </c>
      <c r="AB7" s="10">
        <f>+'A) Base RI'!U7</f>
        <v>51300</v>
      </c>
      <c r="AC7" s="10">
        <f>+'A) Base RI'!V7</f>
        <v>0</v>
      </c>
      <c r="AD7" s="10">
        <f>+'A) Base RI'!W7</f>
        <v>0</v>
      </c>
      <c r="AE7" s="10">
        <f>+'A) Base RI'!Y7</f>
        <v>606923</v>
      </c>
      <c r="AF7" s="10">
        <f>+'A) Base RI'!Z7</f>
        <v>0</v>
      </c>
      <c r="AG7" s="10">
        <f>+'A) Base RI'!AA7</f>
        <v>795563.5</v>
      </c>
      <c r="AH7" s="10">
        <f>+'A) Base RI'!AB7</f>
        <v>0</v>
      </c>
      <c r="AI7" s="10">
        <f>+'A) Base RI'!AC7</f>
        <v>1352611.49</v>
      </c>
      <c r="AJ7" s="10">
        <f>+'A) Base RI'!AD7</f>
        <v>780529.4</v>
      </c>
      <c r="AK7" s="10">
        <f>+'A) Base RI'!AE7</f>
        <v>0</v>
      </c>
      <c r="AL7" s="10">
        <f>+'A) Base RI'!AF7</f>
        <v>949.5</v>
      </c>
      <c r="AM7" s="10">
        <f>+'A) Base RI'!AG7</f>
        <v>32847.949999999997</v>
      </c>
      <c r="AN7" s="10">
        <f>+'A) Base RI'!AH7</f>
        <v>357990.9</v>
      </c>
      <c r="AO7" s="10">
        <f>+'A) Base RI'!AI7</f>
        <v>0</v>
      </c>
      <c r="AP7" s="10">
        <f>+'A) Base RI'!AJ7</f>
        <v>0</v>
      </c>
      <c r="AQ7" s="10">
        <f>+'A) Base RI'!AK7</f>
        <v>229709.1</v>
      </c>
      <c r="AR7" s="10">
        <f>'A) Base RI'!AN7</f>
        <v>10153</v>
      </c>
    </row>
    <row r="8" spans="1:44" x14ac:dyDescent="0.25">
      <c r="A8" s="8">
        <f>'A) Base RI'!A8</f>
        <v>5402</v>
      </c>
      <c r="B8" s="34" t="str">
        <f>'A) Base RI'!B8</f>
        <v>Bex</v>
      </c>
      <c r="C8" s="10">
        <f>'A) Base RI'!C8+'A) Base RI'!D8</f>
        <v>9827648.5199999996</v>
      </c>
      <c r="D8" s="10">
        <f>'A) Base RI'!AO8</f>
        <v>-334358.31</v>
      </c>
      <c r="E8" s="33">
        <f>'A) Base RI'!AP8</f>
        <v>0</v>
      </c>
      <c r="F8" s="33">
        <f>'A) Base RI'!AQ8</f>
        <v>-721.12</v>
      </c>
      <c r="G8" s="2">
        <f t="shared" ref="G8:G71" si="0">SUM(C8:F8)</f>
        <v>9492569.0899999999</v>
      </c>
      <c r="H8" s="10">
        <f>+'A) Base RI'!E8</f>
        <v>0</v>
      </c>
      <c r="I8" s="10">
        <f>+'A) Base RI'!F8</f>
        <v>0</v>
      </c>
      <c r="J8" s="10">
        <f>+'A) Base RI'!G8+'A) Base RI'!H8</f>
        <v>1257588.95</v>
      </c>
      <c r="K8" s="10">
        <f>+'A) Base RI'!I8</f>
        <v>154621.79999999999</v>
      </c>
      <c r="L8" s="10">
        <f>+'A) Base RI'!J8</f>
        <v>428504.5</v>
      </c>
      <c r="M8" s="10">
        <f>+'A) Base RI'!K8</f>
        <v>87064.65</v>
      </c>
      <c r="N8" s="10">
        <f>+'A) Base RI'!Q8</f>
        <v>81151.05</v>
      </c>
      <c r="O8" s="10">
        <f t="shared" ref="O8:O71" si="1">(P8/Q8)*1</f>
        <v>1199592.3999999999</v>
      </c>
      <c r="P8" s="10">
        <f>+'A) Base RI'!L8</f>
        <v>1499490.5</v>
      </c>
      <c r="Q8" s="36">
        <f>'A) Base RI'!AR8</f>
        <v>1.25</v>
      </c>
      <c r="R8" s="2">
        <f t="shared" ref="R8:R71" si="2">SUM(G8:O8)</f>
        <v>12701092.440000001</v>
      </c>
      <c r="S8" s="35">
        <f>+'A) Base RI'!AM8</f>
        <v>71</v>
      </c>
      <c r="T8" s="2">
        <f t="shared" ref="T8:T71" si="3">(G8+H8+J8+K8+L8+N8)</f>
        <v>11414435.390000001</v>
      </c>
      <c r="U8" s="2">
        <f t="shared" ref="U8:U71" si="4">R8/S8</f>
        <v>178888.62591549297</v>
      </c>
      <c r="V8" s="10">
        <f>+'A) Base RI'!O8</f>
        <v>253796.1</v>
      </c>
      <c r="W8" s="10">
        <f>+'A) Base RI'!P8</f>
        <v>825137.25</v>
      </c>
      <c r="X8" s="10">
        <f>+'A) Base RI'!R8</f>
        <v>594534.44999999995</v>
      </c>
      <c r="Y8" s="2">
        <f t="shared" ref="Y8:Y71" si="5">SUM(V8:X8)</f>
        <v>1673467.8</v>
      </c>
      <c r="Z8" s="10">
        <f>+'A) Base RI'!N8</f>
        <v>170020.55</v>
      </c>
      <c r="AA8" s="10">
        <f>+'A) Base RI'!S8+'A) Base RI'!T8</f>
        <v>31426</v>
      </c>
      <c r="AB8" s="10">
        <f>+'A) Base RI'!U8</f>
        <v>44850</v>
      </c>
      <c r="AC8" s="10">
        <f>+'A) Base RI'!V8</f>
        <v>38560.15</v>
      </c>
      <c r="AD8" s="10">
        <f>+'A) Base RI'!W8</f>
        <v>4050</v>
      </c>
      <c r="AE8" s="10">
        <f>+'A) Base RI'!Y8</f>
        <v>233580.5</v>
      </c>
      <c r="AF8" s="10">
        <f>+'A) Base RI'!Z8</f>
        <v>997321.75</v>
      </c>
      <c r="AG8" s="10">
        <f>+'A) Base RI'!AA8</f>
        <v>1878191.2</v>
      </c>
      <c r="AH8" s="10">
        <f>+'A) Base RI'!AB8</f>
        <v>0</v>
      </c>
      <c r="AI8" s="10">
        <f>+'A) Base RI'!AC8</f>
        <v>882863.66</v>
      </c>
      <c r="AJ8" s="10">
        <f>+'A) Base RI'!AD8</f>
        <v>1025969.7</v>
      </c>
      <c r="AK8" s="10">
        <f>+'A) Base RI'!AE8</f>
        <v>0</v>
      </c>
      <c r="AL8" s="10">
        <f>+'A) Base RI'!AF8</f>
        <v>0</v>
      </c>
      <c r="AM8" s="10">
        <f>+'A) Base RI'!AG8</f>
        <v>101203.95</v>
      </c>
      <c r="AN8" s="10">
        <f>+'A) Base RI'!AH8</f>
        <v>241180.85</v>
      </c>
      <c r="AO8" s="10">
        <f>+'A) Base RI'!AI8</f>
        <v>0</v>
      </c>
      <c r="AP8" s="10">
        <f>+'A) Base RI'!AJ8</f>
        <v>0</v>
      </c>
      <c r="AQ8" s="10">
        <f>+'A) Base RI'!AK8</f>
        <v>0</v>
      </c>
      <c r="AR8" s="10">
        <f>'A) Base RI'!AN8</f>
        <v>7719</v>
      </c>
    </row>
    <row r="9" spans="1:44" x14ac:dyDescent="0.25">
      <c r="A9" s="8">
        <f>'A) Base RI'!A9</f>
        <v>5403</v>
      </c>
      <c r="B9" s="34" t="str">
        <f>'A) Base RI'!B9</f>
        <v>Chessel</v>
      </c>
      <c r="C9" s="10">
        <f>'A) Base RI'!C9+'A) Base RI'!D9</f>
        <v>664973.53999999992</v>
      </c>
      <c r="D9" s="10">
        <f>'A) Base RI'!AO9</f>
        <v>-27848.2</v>
      </c>
      <c r="E9" s="33">
        <f>'A) Base RI'!AP9</f>
        <v>0</v>
      </c>
      <c r="F9" s="33">
        <f>'A) Base RI'!AQ9</f>
        <v>-0.08</v>
      </c>
      <c r="G9" s="2">
        <f t="shared" si="0"/>
        <v>637125.26</v>
      </c>
      <c r="H9" s="10">
        <f>+'A) Base RI'!E9</f>
        <v>0</v>
      </c>
      <c r="I9" s="10">
        <f>+'A) Base RI'!F9</f>
        <v>0</v>
      </c>
      <c r="J9" s="10">
        <f>+'A) Base RI'!G9+'A) Base RI'!H9</f>
        <v>12019.75</v>
      </c>
      <c r="K9" s="10">
        <f>+'A) Base RI'!I9</f>
        <v>0</v>
      </c>
      <c r="L9" s="10">
        <f>+'A) Base RI'!J9</f>
        <v>18133.919999999998</v>
      </c>
      <c r="M9" s="10">
        <f>+'A) Base RI'!K9</f>
        <v>994</v>
      </c>
      <c r="N9" s="10">
        <f>+'A) Base RI'!Q9</f>
        <v>464.85</v>
      </c>
      <c r="O9" s="10">
        <f t="shared" si="1"/>
        <v>56269.25</v>
      </c>
      <c r="P9" s="10">
        <f>+'A) Base RI'!L9</f>
        <v>56269.25</v>
      </c>
      <c r="Q9" s="36">
        <f>'A) Base RI'!AR9</f>
        <v>1</v>
      </c>
      <c r="R9" s="2">
        <f t="shared" si="2"/>
        <v>725007.03</v>
      </c>
      <c r="S9" s="35">
        <f>+'A) Base RI'!AM9</f>
        <v>74</v>
      </c>
      <c r="T9" s="2">
        <f t="shared" si="3"/>
        <v>667743.78</v>
      </c>
      <c r="U9" s="2">
        <f t="shared" si="4"/>
        <v>9797.3922972972978</v>
      </c>
      <c r="V9" s="10">
        <f>+'A) Base RI'!O9</f>
        <v>594</v>
      </c>
      <c r="W9" s="10">
        <f>+'A) Base RI'!P9</f>
        <v>60544</v>
      </c>
      <c r="X9" s="10">
        <f>+'A) Base RI'!R9</f>
        <v>6502.7</v>
      </c>
      <c r="Y9" s="2">
        <f t="shared" si="5"/>
        <v>67640.7</v>
      </c>
      <c r="Z9" s="10">
        <f>+'A) Base RI'!N9</f>
        <v>6003.45</v>
      </c>
      <c r="AA9" s="10">
        <f>+'A) Base RI'!S9+'A) Base RI'!T9</f>
        <v>0</v>
      </c>
      <c r="AB9" s="10">
        <f>+'A) Base RI'!U9</f>
        <v>5300</v>
      </c>
      <c r="AC9" s="10">
        <f>+'A) Base RI'!V9</f>
        <v>0</v>
      </c>
      <c r="AD9" s="10">
        <f>+'A) Base RI'!W9</f>
        <v>0</v>
      </c>
      <c r="AE9" s="10">
        <f>+'A) Base RI'!Y9</f>
        <v>127.5</v>
      </c>
      <c r="AF9" s="10">
        <f>+'A) Base RI'!Z9</f>
        <v>0</v>
      </c>
      <c r="AG9" s="10">
        <f>+'A) Base RI'!AA9</f>
        <v>65532.800000000003</v>
      </c>
      <c r="AH9" s="10">
        <f>+'A) Base RI'!AB9</f>
        <v>0</v>
      </c>
      <c r="AI9" s="10">
        <f>+'A) Base RI'!AC9</f>
        <v>38964.5</v>
      </c>
      <c r="AJ9" s="10">
        <f>+'A) Base RI'!AD9</f>
        <v>135</v>
      </c>
      <c r="AK9" s="10">
        <f>+'A) Base RI'!AE9</f>
        <v>0</v>
      </c>
      <c r="AL9" s="10">
        <f>+'A) Base RI'!AF9</f>
        <v>0</v>
      </c>
      <c r="AM9" s="10">
        <f>+'A) Base RI'!AG9</f>
        <v>0</v>
      </c>
      <c r="AN9" s="10">
        <f>+'A) Base RI'!AH9</f>
        <v>0</v>
      </c>
      <c r="AO9" s="10">
        <f>+'A) Base RI'!AI9</f>
        <v>0</v>
      </c>
      <c r="AP9" s="10">
        <f>+'A) Base RI'!AJ9</f>
        <v>0</v>
      </c>
      <c r="AQ9" s="10">
        <f>+'A) Base RI'!AK9</f>
        <v>0</v>
      </c>
      <c r="AR9" s="10">
        <f>'A) Base RI'!AN9</f>
        <v>403</v>
      </c>
    </row>
    <row r="10" spans="1:44" x14ac:dyDescent="0.25">
      <c r="A10" s="8">
        <f>'A) Base RI'!A10</f>
        <v>5404</v>
      </c>
      <c r="B10" s="34" t="str">
        <f>'A) Base RI'!B10</f>
        <v>Corbeyrier</v>
      </c>
      <c r="C10" s="10">
        <f>'A) Base RI'!C10+'A) Base RI'!D10</f>
        <v>687061.95000000007</v>
      </c>
      <c r="D10" s="10">
        <f>'A) Base RI'!AO10</f>
        <v>-14194.93</v>
      </c>
      <c r="E10" s="33">
        <f>'A) Base RI'!AP10</f>
        <v>0</v>
      </c>
      <c r="F10" s="33">
        <f>'A) Base RI'!AQ10</f>
        <v>-0.85</v>
      </c>
      <c r="G10" s="2">
        <f t="shared" si="0"/>
        <v>672866.17</v>
      </c>
      <c r="H10" s="10">
        <f>+'A) Base RI'!E10</f>
        <v>0</v>
      </c>
      <c r="I10" s="10">
        <f>+'A) Base RI'!F10</f>
        <v>0</v>
      </c>
      <c r="J10" s="10">
        <f>+'A) Base RI'!G10+'A) Base RI'!H10</f>
        <v>14892.15</v>
      </c>
      <c r="K10" s="10">
        <f>+'A) Base RI'!I10</f>
        <v>0</v>
      </c>
      <c r="L10" s="10">
        <f>+'A) Base RI'!J10</f>
        <v>3363.46</v>
      </c>
      <c r="M10" s="10">
        <f>+'A) Base RI'!K10</f>
        <v>569.75</v>
      </c>
      <c r="N10" s="10">
        <f>+'A) Base RI'!Q10</f>
        <v>466.75</v>
      </c>
      <c r="O10" s="10">
        <f t="shared" si="1"/>
        <v>75416.566666666666</v>
      </c>
      <c r="P10" s="10">
        <f>+'A) Base RI'!L10</f>
        <v>113124.85</v>
      </c>
      <c r="Q10" s="36">
        <f>'A) Base RI'!AR10</f>
        <v>1.5</v>
      </c>
      <c r="R10" s="2">
        <f t="shared" si="2"/>
        <v>767574.84666666668</v>
      </c>
      <c r="S10" s="35">
        <f>+'A) Base RI'!AM10</f>
        <v>70</v>
      </c>
      <c r="T10" s="2">
        <f t="shared" si="3"/>
        <v>691588.53</v>
      </c>
      <c r="U10" s="2">
        <f t="shared" si="4"/>
        <v>10965.354952380952</v>
      </c>
      <c r="V10" s="10">
        <f>+'A) Base RI'!O10</f>
        <v>300761.7</v>
      </c>
      <c r="W10" s="10">
        <f>+'A) Base RI'!P10</f>
        <v>66190.55</v>
      </c>
      <c r="X10" s="10">
        <f>+'A) Base RI'!R10</f>
        <v>23877.25</v>
      </c>
      <c r="Y10" s="2">
        <f t="shared" si="5"/>
        <v>390829.5</v>
      </c>
      <c r="Z10" s="10">
        <f>+'A) Base RI'!N10</f>
        <v>6541.75</v>
      </c>
      <c r="AA10" s="10">
        <f>+'A) Base RI'!S10+'A) Base RI'!T10</f>
        <v>226.65</v>
      </c>
      <c r="AB10" s="10">
        <f>+'A) Base RI'!U10</f>
        <v>5750</v>
      </c>
      <c r="AC10" s="10">
        <f>+'A) Base RI'!V10</f>
        <v>0</v>
      </c>
      <c r="AD10" s="10">
        <f>+'A) Base RI'!W10</f>
        <v>0</v>
      </c>
      <c r="AE10" s="10">
        <f>+'A) Base RI'!Y10</f>
        <v>14072.2</v>
      </c>
      <c r="AF10" s="10">
        <f>+'A) Base RI'!Z10</f>
        <v>4300</v>
      </c>
      <c r="AG10" s="10">
        <f>+'A) Base RI'!AA10</f>
        <v>127887.65</v>
      </c>
      <c r="AH10" s="10">
        <f>+'A) Base RI'!AB10</f>
        <v>0</v>
      </c>
      <c r="AI10" s="10">
        <f>+'A) Base RI'!AC10</f>
        <v>37186.9</v>
      </c>
      <c r="AJ10" s="10">
        <f>+'A) Base RI'!AD10</f>
        <v>9381.7999999999993</v>
      </c>
      <c r="AK10" s="10">
        <f>+'A) Base RI'!AE10</f>
        <v>3010</v>
      </c>
      <c r="AL10" s="10">
        <f>+'A) Base RI'!AF10</f>
        <v>0</v>
      </c>
      <c r="AM10" s="10">
        <f>+'A) Base RI'!AG10</f>
        <v>5336.65</v>
      </c>
      <c r="AN10" s="10">
        <f>+'A) Base RI'!AH10</f>
        <v>0</v>
      </c>
      <c r="AO10" s="10">
        <f>+'A) Base RI'!AI10</f>
        <v>0</v>
      </c>
      <c r="AP10" s="10">
        <f>+'A) Base RI'!AJ10</f>
        <v>0</v>
      </c>
      <c r="AQ10" s="10">
        <f>+'A) Base RI'!AK10</f>
        <v>0</v>
      </c>
      <c r="AR10" s="10">
        <f>'A) Base RI'!AN10</f>
        <v>437</v>
      </c>
    </row>
    <row r="11" spans="1:44" x14ac:dyDescent="0.25">
      <c r="A11" s="8">
        <f>'A) Base RI'!A11</f>
        <v>5405</v>
      </c>
      <c r="B11" s="34" t="str">
        <f>'A) Base RI'!B11</f>
        <v>Gryon</v>
      </c>
      <c r="C11" s="10">
        <f>'A) Base RI'!C11+'A) Base RI'!D11</f>
        <v>4100729.2699999996</v>
      </c>
      <c r="D11" s="10">
        <f>'A) Base RI'!AO11</f>
        <v>-49224.26</v>
      </c>
      <c r="E11" s="33">
        <f>'A) Base RI'!AP11</f>
        <v>0</v>
      </c>
      <c r="F11" s="33">
        <f>'A) Base RI'!AQ11</f>
        <v>-648.4</v>
      </c>
      <c r="G11" s="2">
        <f t="shared" si="0"/>
        <v>4050856.61</v>
      </c>
      <c r="H11" s="10">
        <f>+'A) Base RI'!E11</f>
        <v>0</v>
      </c>
      <c r="I11" s="10">
        <f>+'A) Base RI'!F11</f>
        <v>0</v>
      </c>
      <c r="J11" s="10">
        <f>+'A) Base RI'!G11+'A) Base RI'!H11</f>
        <v>55260.5</v>
      </c>
      <c r="K11" s="10">
        <f>+'A) Base RI'!I11</f>
        <v>255090.25</v>
      </c>
      <c r="L11" s="10">
        <f>+'A) Base RI'!J11</f>
        <v>88169.29</v>
      </c>
      <c r="M11" s="10">
        <f>+'A) Base RI'!K11</f>
        <v>13487.7</v>
      </c>
      <c r="N11" s="10">
        <f>+'A) Base RI'!Q11</f>
        <v>22889.98</v>
      </c>
      <c r="O11" s="10">
        <f t="shared" si="1"/>
        <v>760483.6333333333</v>
      </c>
      <c r="P11" s="10">
        <f>+'A) Base RI'!L11</f>
        <v>1140725.45</v>
      </c>
      <c r="Q11" s="36">
        <f>'A) Base RI'!AR11</f>
        <v>1.5</v>
      </c>
      <c r="R11" s="2">
        <f t="shared" si="2"/>
        <v>5246237.9633333329</v>
      </c>
      <c r="S11" s="35">
        <f>+'A) Base RI'!AM11</f>
        <v>75</v>
      </c>
      <c r="T11" s="2">
        <f t="shared" si="3"/>
        <v>4472266.63</v>
      </c>
      <c r="U11" s="2">
        <f t="shared" si="4"/>
        <v>69949.839511111102</v>
      </c>
      <c r="V11" s="10">
        <f>+'A) Base RI'!O11</f>
        <v>85662.5</v>
      </c>
      <c r="W11" s="10">
        <f>+'A) Base RI'!P11</f>
        <v>291566.75</v>
      </c>
      <c r="X11" s="10">
        <f>+'A) Base RI'!R11</f>
        <v>270969.5</v>
      </c>
      <c r="Y11" s="2">
        <f t="shared" si="5"/>
        <v>648198.75</v>
      </c>
      <c r="Z11" s="10">
        <f>+'A) Base RI'!N11</f>
        <v>0</v>
      </c>
      <c r="AA11" s="10">
        <f>+'A) Base RI'!S11+'A) Base RI'!T11</f>
        <v>5875</v>
      </c>
      <c r="AB11" s="10">
        <f>+'A) Base RI'!U11</f>
        <v>9350</v>
      </c>
      <c r="AC11" s="10">
        <f>+'A) Base RI'!V11</f>
        <v>550</v>
      </c>
      <c r="AD11" s="10">
        <f>+'A) Base RI'!W11</f>
        <v>0</v>
      </c>
      <c r="AE11" s="10">
        <f>+'A) Base RI'!Y11</f>
        <v>86594.6</v>
      </c>
      <c r="AF11" s="10">
        <f>+'A) Base RI'!Z11</f>
        <v>0</v>
      </c>
      <c r="AG11" s="10">
        <f>+'A) Base RI'!AA11</f>
        <v>177719.2</v>
      </c>
      <c r="AH11" s="10">
        <f>+'A) Base RI'!AB11</f>
        <v>0</v>
      </c>
      <c r="AI11" s="10">
        <f>+'A) Base RI'!AC11</f>
        <v>403530.15</v>
      </c>
      <c r="AJ11" s="10">
        <f>+'A) Base RI'!AD11</f>
        <v>215871</v>
      </c>
      <c r="AK11" s="10">
        <f>+'A) Base RI'!AE11</f>
        <v>0</v>
      </c>
      <c r="AL11" s="10">
        <f>+'A) Base RI'!AF11</f>
        <v>0</v>
      </c>
      <c r="AM11" s="10">
        <f>+'A) Base RI'!AG11</f>
        <v>0</v>
      </c>
      <c r="AN11" s="10">
        <f>+'A) Base RI'!AH11</f>
        <v>0</v>
      </c>
      <c r="AO11" s="10">
        <f>+'A) Base RI'!AI11</f>
        <v>0</v>
      </c>
      <c r="AP11" s="10">
        <f>+'A) Base RI'!AJ11</f>
        <v>0</v>
      </c>
      <c r="AQ11" s="10">
        <f>+'A) Base RI'!AK11</f>
        <v>0</v>
      </c>
      <c r="AR11" s="10">
        <f>'A) Base RI'!AN11</f>
        <v>1364</v>
      </c>
    </row>
    <row r="12" spans="1:44" x14ac:dyDescent="0.25">
      <c r="A12" s="8">
        <f>'A) Base RI'!A12</f>
        <v>5406</v>
      </c>
      <c r="B12" s="34" t="str">
        <f>'A) Base RI'!B12</f>
        <v>Lavey-Morcles</v>
      </c>
      <c r="C12" s="10">
        <f>'A) Base RI'!C12+'A) Base RI'!D12</f>
        <v>1233416.04</v>
      </c>
      <c r="D12" s="10">
        <f>'A) Base RI'!AO12</f>
        <v>-29537.95</v>
      </c>
      <c r="E12" s="33">
        <f>'A) Base RI'!AP12</f>
        <v>0</v>
      </c>
      <c r="F12" s="33">
        <f>'A) Base RI'!AQ12</f>
        <v>0</v>
      </c>
      <c r="G12" s="2">
        <f t="shared" si="0"/>
        <v>1203878.0900000001</v>
      </c>
      <c r="H12" s="10">
        <f>+'A) Base RI'!E12</f>
        <v>0</v>
      </c>
      <c r="I12" s="10">
        <f>+'A) Base RI'!F12</f>
        <v>0</v>
      </c>
      <c r="J12" s="10">
        <f>+'A) Base RI'!G12+'A) Base RI'!H12</f>
        <v>135624.45000000001</v>
      </c>
      <c r="K12" s="10">
        <f>+'A) Base RI'!I12</f>
        <v>0</v>
      </c>
      <c r="L12" s="10">
        <f>+'A) Base RI'!J12</f>
        <v>77672.08</v>
      </c>
      <c r="M12" s="10">
        <f>+'A) Base RI'!K12</f>
        <v>8860.6</v>
      </c>
      <c r="N12" s="10">
        <f>+'A) Base RI'!Q12</f>
        <v>6240.28</v>
      </c>
      <c r="O12" s="10">
        <f t="shared" si="1"/>
        <v>144280.19230769231</v>
      </c>
      <c r="P12" s="10">
        <f>+'A) Base RI'!L12</f>
        <v>187564.25</v>
      </c>
      <c r="Q12" s="36">
        <f>'A) Base RI'!AR12</f>
        <v>1.3</v>
      </c>
      <c r="R12" s="2">
        <f t="shared" si="2"/>
        <v>1576555.6923076925</v>
      </c>
      <c r="S12" s="35">
        <f>+'A) Base RI'!AM12</f>
        <v>71</v>
      </c>
      <c r="T12" s="2">
        <f t="shared" si="3"/>
        <v>1423414.9000000001</v>
      </c>
      <c r="U12" s="2">
        <f t="shared" si="4"/>
        <v>22205.009750812569</v>
      </c>
      <c r="V12" s="10">
        <f>+'A) Base RI'!O12</f>
        <v>2904</v>
      </c>
      <c r="W12" s="10">
        <f>+'A) Base RI'!P12</f>
        <v>61769.4</v>
      </c>
      <c r="X12" s="10">
        <f>+'A) Base RI'!R12</f>
        <v>88368.1</v>
      </c>
      <c r="Y12" s="2">
        <f t="shared" si="5"/>
        <v>153041.5</v>
      </c>
      <c r="Z12" s="10">
        <f>+'A) Base RI'!N12</f>
        <v>4100.5</v>
      </c>
      <c r="AA12" s="10">
        <f>+'A) Base RI'!S12+'A) Base RI'!T12</f>
        <v>0</v>
      </c>
      <c r="AB12" s="10">
        <f>+'A) Base RI'!U12</f>
        <v>6200</v>
      </c>
      <c r="AC12" s="10">
        <f>+'A) Base RI'!V12</f>
        <v>204826</v>
      </c>
      <c r="AD12" s="10">
        <f>+'A) Base RI'!W12</f>
        <v>0</v>
      </c>
      <c r="AE12" s="10">
        <f>+'A) Base RI'!Y12</f>
        <v>58624.6</v>
      </c>
      <c r="AF12" s="10">
        <f>+'A) Base RI'!Z12</f>
        <v>0</v>
      </c>
      <c r="AG12" s="10">
        <f>+'A) Base RI'!AA12</f>
        <v>295037.95</v>
      </c>
      <c r="AH12" s="10">
        <f>+'A) Base RI'!AB12</f>
        <v>0</v>
      </c>
      <c r="AI12" s="10">
        <f>+'A) Base RI'!AC12</f>
        <v>147551.95000000001</v>
      </c>
      <c r="AJ12" s="10">
        <f>+'A) Base RI'!AD12</f>
        <v>29418.65</v>
      </c>
      <c r="AK12" s="10">
        <f>+'A) Base RI'!AE12</f>
        <v>531.95000000000005</v>
      </c>
      <c r="AL12" s="10">
        <f>+'A) Base RI'!AF12</f>
        <v>0</v>
      </c>
      <c r="AM12" s="10">
        <f>+'A) Base RI'!AG12</f>
        <v>49517</v>
      </c>
      <c r="AN12" s="10">
        <f>+'A) Base RI'!AH12</f>
        <v>62577.84</v>
      </c>
      <c r="AO12" s="10">
        <f>+'A) Base RI'!AI12</f>
        <v>0</v>
      </c>
      <c r="AP12" s="10">
        <f>+'A) Base RI'!AJ12</f>
        <v>0</v>
      </c>
      <c r="AQ12" s="10">
        <f>+'A) Base RI'!AK12</f>
        <v>0</v>
      </c>
      <c r="AR12" s="10">
        <f>'A) Base RI'!AN12</f>
        <v>926</v>
      </c>
    </row>
    <row r="13" spans="1:44" x14ac:dyDescent="0.25">
      <c r="A13" s="8">
        <f>'A) Base RI'!A13</f>
        <v>5407</v>
      </c>
      <c r="B13" s="34" t="str">
        <f>'A) Base RI'!B13</f>
        <v>Leysin</v>
      </c>
      <c r="C13" s="10">
        <f>'A) Base RI'!C13+'A) Base RI'!D13</f>
        <v>5236441.49</v>
      </c>
      <c r="D13" s="10">
        <f>'A) Base RI'!AO13</f>
        <v>-69786.34</v>
      </c>
      <c r="E13" s="33">
        <f>'A) Base RI'!AP13</f>
        <v>0</v>
      </c>
      <c r="F13" s="33">
        <f>'A) Base RI'!AQ13</f>
        <v>-2136.56</v>
      </c>
      <c r="G13" s="2">
        <f t="shared" si="0"/>
        <v>5164518.5900000008</v>
      </c>
      <c r="H13" s="10">
        <f>+'A) Base RI'!E13</f>
        <v>0</v>
      </c>
      <c r="I13" s="10">
        <f>+'A) Base RI'!F13</f>
        <v>0</v>
      </c>
      <c r="J13" s="10">
        <f>+'A) Base RI'!G13+'A) Base RI'!H13</f>
        <v>349533.25</v>
      </c>
      <c r="K13" s="10">
        <f>+'A) Base RI'!I13</f>
        <v>139743.37</v>
      </c>
      <c r="L13" s="10">
        <f>+'A) Base RI'!J13</f>
        <v>430438.01</v>
      </c>
      <c r="M13" s="10">
        <f>+'A) Base RI'!K13</f>
        <v>49521.1</v>
      </c>
      <c r="N13" s="10">
        <f>+'A) Base RI'!Q13</f>
        <v>34809.1</v>
      </c>
      <c r="O13" s="10">
        <f t="shared" si="1"/>
        <v>794475.1</v>
      </c>
      <c r="P13" s="10">
        <f>+'A) Base RI'!L13</f>
        <v>1191712.6499999999</v>
      </c>
      <c r="Q13" s="36">
        <f>'A) Base RI'!AR13</f>
        <v>1.5</v>
      </c>
      <c r="R13" s="2">
        <f t="shared" si="2"/>
        <v>6963038.5199999996</v>
      </c>
      <c r="S13" s="35">
        <f>+'A) Base RI'!AM13</f>
        <v>78</v>
      </c>
      <c r="T13" s="2">
        <f t="shared" si="3"/>
        <v>6119042.3200000003</v>
      </c>
      <c r="U13" s="2">
        <f t="shared" si="4"/>
        <v>89269.724615384606</v>
      </c>
      <c r="V13" s="10">
        <f>+'A) Base RI'!O13</f>
        <v>100744.2</v>
      </c>
      <c r="W13" s="10">
        <f>+'A) Base RI'!P13</f>
        <v>303301.45</v>
      </c>
      <c r="X13" s="10">
        <f>+'A) Base RI'!R13</f>
        <v>285716</v>
      </c>
      <c r="Y13" s="2">
        <f t="shared" si="5"/>
        <v>689761.65</v>
      </c>
      <c r="Z13" s="10">
        <f>+'A) Base RI'!N13</f>
        <v>20208.75</v>
      </c>
      <c r="AA13" s="10">
        <f>+'A) Base RI'!S13+'A) Base RI'!T13</f>
        <v>35873.449999999997</v>
      </c>
      <c r="AB13" s="10">
        <f>+'A) Base RI'!U13</f>
        <v>18000</v>
      </c>
      <c r="AC13" s="10">
        <f>+'A) Base RI'!V13</f>
        <v>10383.1</v>
      </c>
      <c r="AD13" s="10">
        <f>+'A) Base RI'!W13</f>
        <v>1520</v>
      </c>
      <c r="AE13" s="10">
        <f>+'A) Base RI'!Y13</f>
        <v>-296573.84999999998</v>
      </c>
      <c r="AF13" s="10">
        <f>+'A) Base RI'!Z13</f>
        <v>0</v>
      </c>
      <c r="AG13" s="10">
        <f>+'A) Base RI'!AA13</f>
        <v>592705.9</v>
      </c>
      <c r="AH13" s="10">
        <f>+'A) Base RI'!AB13</f>
        <v>0</v>
      </c>
      <c r="AI13" s="10">
        <f>+'A) Base RI'!AC13</f>
        <v>498812.72</v>
      </c>
      <c r="AJ13" s="10">
        <f>+'A) Base RI'!AD13</f>
        <v>-296573.84999999998</v>
      </c>
      <c r="AK13" s="10">
        <f>+'A) Base RI'!AE13</f>
        <v>0</v>
      </c>
      <c r="AL13" s="10">
        <f>+'A) Base RI'!AF13</f>
        <v>0</v>
      </c>
      <c r="AM13" s="10">
        <f>+'A) Base RI'!AG13</f>
        <v>0</v>
      </c>
      <c r="AN13" s="10">
        <f>+'A) Base RI'!AH13</f>
        <v>133925.75</v>
      </c>
      <c r="AO13" s="10">
        <f>+'A) Base RI'!AI13</f>
        <v>0</v>
      </c>
      <c r="AP13" s="10">
        <f>+'A) Base RI'!AJ13</f>
        <v>0</v>
      </c>
      <c r="AQ13" s="10">
        <f>+'A) Base RI'!AK13</f>
        <v>0</v>
      </c>
      <c r="AR13" s="10">
        <f>'A) Base RI'!AN13</f>
        <v>4023</v>
      </c>
    </row>
    <row r="14" spans="1:44" x14ac:dyDescent="0.25">
      <c r="A14" s="8">
        <f>'A) Base RI'!A14</f>
        <v>5408</v>
      </c>
      <c r="B14" s="34" t="str">
        <f>'A) Base RI'!B14</f>
        <v>Noville</v>
      </c>
      <c r="C14" s="10">
        <f>'A) Base RI'!C14+'A) Base RI'!D14</f>
        <v>1995106.8</v>
      </c>
      <c r="D14" s="10">
        <f>'A) Base RI'!AO14</f>
        <v>-45550.18</v>
      </c>
      <c r="E14" s="33">
        <f>'A) Base RI'!AP14</f>
        <v>0</v>
      </c>
      <c r="F14" s="33">
        <f>'A) Base RI'!AQ14</f>
        <v>-54.98</v>
      </c>
      <c r="G14" s="2">
        <f t="shared" si="0"/>
        <v>1949501.6400000001</v>
      </c>
      <c r="H14" s="10">
        <f>+'A) Base RI'!E14</f>
        <v>0</v>
      </c>
      <c r="I14" s="10">
        <f>+'A) Base RI'!F14</f>
        <v>0</v>
      </c>
      <c r="J14" s="10">
        <f>+'A) Base RI'!G14+'A) Base RI'!H14</f>
        <v>449657.8</v>
      </c>
      <c r="K14" s="10">
        <f>+'A) Base RI'!I14</f>
        <v>0</v>
      </c>
      <c r="L14" s="10">
        <f>+'A) Base RI'!J14</f>
        <v>90896.23</v>
      </c>
      <c r="M14" s="10">
        <f>+'A) Base RI'!K14</f>
        <v>20389.05</v>
      </c>
      <c r="N14" s="10">
        <f>+'A) Base RI'!Q14</f>
        <v>16604.919999999998</v>
      </c>
      <c r="O14" s="10">
        <f t="shared" si="1"/>
        <v>171112.06666666668</v>
      </c>
      <c r="P14" s="10">
        <f>+'A) Base RI'!L14</f>
        <v>256668.1</v>
      </c>
      <c r="Q14" s="36">
        <f>'A) Base RI'!AR14</f>
        <v>1.5</v>
      </c>
      <c r="R14" s="2">
        <f t="shared" si="2"/>
        <v>2698161.7066666665</v>
      </c>
      <c r="S14" s="35">
        <f>+'A) Base RI'!AM14</f>
        <v>78.5</v>
      </c>
      <c r="T14" s="2">
        <f t="shared" si="3"/>
        <v>2506660.59</v>
      </c>
      <c r="U14" s="2">
        <f t="shared" si="4"/>
        <v>34371.486709129509</v>
      </c>
      <c r="V14" s="10">
        <f>+'A) Base RI'!O14</f>
        <v>113978.7</v>
      </c>
      <c r="W14" s="10">
        <f>+'A) Base RI'!P14</f>
        <v>109789.7</v>
      </c>
      <c r="X14" s="10">
        <f>+'A) Base RI'!R14</f>
        <v>25509.200000000001</v>
      </c>
      <c r="Y14" s="2">
        <f t="shared" si="5"/>
        <v>249277.6</v>
      </c>
      <c r="Z14" s="10">
        <f>+'A) Base RI'!N14</f>
        <v>58557.25</v>
      </c>
      <c r="AA14" s="10">
        <f>+'A) Base RI'!S14+'A) Base RI'!T14</f>
        <v>14124.05</v>
      </c>
      <c r="AB14" s="10">
        <f>+'A) Base RI'!U14</f>
        <v>7750</v>
      </c>
      <c r="AC14" s="10">
        <f>+'A) Base RI'!V14</f>
        <v>0</v>
      </c>
      <c r="AD14" s="10">
        <f>+'A) Base RI'!W14</f>
        <v>0</v>
      </c>
      <c r="AE14" s="10">
        <f>+'A) Base RI'!Y14</f>
        <v>34513.1</v>
      </c>
      <c r="AF14" s="10">
        <f>+'A) Base RI'!Z14</f>
        <v>0</v>
      </c>
      <c r="AG14" s="10">
        <f>+'A) Base RI'!AA14</f>
        <v>98127.85</v>
      </c>
      <c r="AH14" s="10">
        <f>+'A) Base RI'!AB14</f>
        <v>45199.7</v>
      </c>
      <c r="AI14" s="10">
        <f>+'A) Base RI'!AC14</f>
        <v>115323.2</v>
      </c>
      <c r="AJ14" s="10">
        <f>+'A) Base RI'!AD14</f>
        <v>24951.45</v>
      </c>
      <c r="AK14" s="10">
        <f>+'A) Base RI'!AE14</f>
        <v>0</v>
      </c>
      <c r="AL14" s="10">
        <f>+'A) Base RI'!AF14</f>
        <v>0</v>
      </c>
      <c r="AM14" s="10">
        <f>+'A) Base RI'!AG14</f>
        <v>59129</v>
      </c>
      <c r="AN14" s="10">
        <f>+'A) Base RI'!AH14</f>
        <v>46444.9</v>
      </c>
      <c r="AO14" s="10">
        <f>+'A) Base RI'!AI14</f>
        <v>0</v>
      </c>
      <c r="AP14" s="10">
        <f>+'A) Base RI'!AJ14</f>
        <v>0</v>
      </c>
      <c r="AQ14" s="10">
        <f>+'A) Base RI'!AK14</f>
        <v>0</v>
      </c>
      <c r="AR14" s="10">
        <f>'A) Base RI'!AN14</f>
        <v>1055</v>
      </c>
    </row>
    <row r="15" spans="1:44" x14ac:dyDescent="0.25">
      <c r="A15" s="8">
        <f>'A) Base RI'!A15</f>
        <v>5409</v>
      </c>
      <c r="B15" s="34" t="str">
        <f>'A) Base RI'!B15</f>
        <v>Ollon</v>
      </c>
      <c r="C15" s="10">
        <f>'A) Base RI'!C15+'A) Base RI'!D15</f>
        <v>17419046.359999999</v>
      </c>
      <c r="D15" s="10">
        <f>'A) Base RI'!AO15</f>
        <v>-192708.49</v>
      </c>
      <c r="E15" s="33">
        <f>'A) Base RI'!AP15</f>
        <v>0</v>
      </c>
      <c r="F15" s="33">
        <f>'A) Base RI'!AQ15</f>
        <v>-7247.39</v>
      </c>
      <c r="G15" s="2">
        <f t="shared" si="0"/>
        <v>17219090.48</v>
      </c>
      <c r="H15" s="10">
        <f>+'A) Base RI'!E15</f>
        <v>0</v>
      </c>
      <c r="I15" s="10">
        <f>+'A) Base RI'!F15</f>
        <v>0</v>
      </c>
      <c r="J15" s="10">
        <f>+'A) Base RI'!G15+'A) Base RI'!H15</f>
        <v>1348366.5</v>
      </c>
      <c r="K15" s="10">
        <f>+'A) Base RI'!I15</f>
        <v>2828271.23</v>
      </c>
      <c r="L15" s="10">
        <f>+'A) Base RI'!J15</f>
        <v>835288.22</v>
      </c>
      <c r="M15" s="10">
        <f>+'A) Base RI'!K15</f>
        <v>111487.85</v>
      </c>
      <c r="N15" s="10">
        <f>+'A) Base RI'!Q15</f>
        <v>70557.919999999998</v>
      </c>
      <c r="O15" s="10">
        <f t="shared" si="1"/>
        <v>2883728.846153846</v>
      </c>
      <c r="P15" s="10">
        <f>+'A) Base RI'!L15</f>
        <v>3748847.5</v>
      </c>
      <c r="Q15" s="36">
        <f>'A) Base RI'!AR15</f>
        <v>1.3</v>
      </c>
      <c r="R15" s="2">
        <f t="shared" si="2"/>
        <v>25296791.046153851</v>
      </c>
      <c r="S15" s="35">
        <f>+'A) Base RI'!AM15</f>
        <v>68</v>
      </c>
      <c r="T15" s="2">
        <f t="shared" si="3"/>
        <v>22301574.350000001</v>
      </c>
      <c r="U15" s="2">
        <f t="shared" si="4"/>
        <v>372011.63303167425</v>
      </c>
      <c r="V15" s="10">
        <f>+'A) Base RI'!O15</f>
        <v>362681.95</v>
      </c>
      <c r="W15" s="10">
        <f>+'A) Base RI'!P15</f>
        <v>1581032.65</v>
      </c>
      <c r="X15" s="10">
        <f>+'A) Base RI'!R15</f>
        <v>958024.5</v>
      </c>
      <c r="Y15" s="2">
        <f t="shared" si="5"/>
        <v>2901739.0999999996</v>
      </c>
      <c r="Z15" s="10">
        <f>+'A) Base RI'!N15</f>
        <v>55680.2</v>
      </c>
      <c r="AA15" s="10">
        <f>+'A) Base RI'!S15+'A) Base RI'!T15</f>
        <v>29455.4</v>
      </c>
      <c r="AB15" s="10">
        <f>+'A) Base RI'!U15</f>
        <v>67050</v>
      </c>
      <c r="AC15" s="10">
        <f>+'A) Base RI'!V15</f>
        <v>0</v>
      </c>
      <c r="AD15" s="10">
        <f>+'A) Base RI'!W15</f>
        <v>0</v>
      </c>
      <c r="AE15" s="10">
        <f>+'A) Base RI'!Y15</f>
        <v>286066.5</v>
      </c>
      <c r="AF15" s="10">
        <f>+'A) Base RI'!Z15</f>
        <v>-201890.9</v>
      </c>
      <c r="AG15" s="10">
        <f>+'A) Base RI'!AA15</f>
        <v>2362432.15</v>
      </c>
      <c r="AH15" s="10">
        <f>+'A) Base RI'!AB15</f>
        <v>0</v>
      </c>
      <c r="AI15" s="10">
        <f>+'A) Base RI'!AC15</f>
        <v>1470351.7</v>
      </c>
      <c r="AJ15" s="10">
        <f>+'A) Base RI'!AD15</f>
        <v>3178.2</v>
      </c>
      <c r="AK15" s="10">
        <f>+'A) Base RI'!AE15</f>
        <v>157050.15</v>
      </c>
      <c r="AL15" s="10">
        <f>+'A) Base RI'!AF15</f>
        <v>0</v>
      </c>
      <c r="AM15" s="10">
        <f>+'A) Base RI'!AG15</f>
        <v>2873223.94</v>
      </c>
      <c r="AN15" s="10">
        <f>+'A) Base RI'!AH15</f>
        <v>0</v>
      </c>
      <c r="AO15" s="10">
        <f>+'A) Base RI'!AI15</f>
        <v>0</v>
      </c>
      <c r="AP15" s="10">
        <f>+'A) Base RI'!AJ15</f>
        <v>0</v>
      </c>
      <c r="AQ15" s="10">
        <f>+'A) Base RI'!AK15</f>
        <v>0</v>
      </c>
      <c r="AR15" s="10">
        <f>'A) Base RI'!AN15</f>
        <v>7494</v>
      </c>
    </row>
    <row r="16" spans="1:44" x14ac:dyDescent="0.25">
      <c r="A16" s="8">
        <f>'A) Base RI'!A16</f>
        <v>5410</v>
      </c>
      <c r="B16" s="34" t="str">
        <f>'A) Base RI'!B16</f>
        <v>Ormont-Dessous</v>
      </c>
      <c r="C16" s="10">
        <f>'A) Base RI'!C16+'A) Base RI'!D16</f>
        <v>2408400.66</v>
      </c>
      <c r="D16" s="10">
        <f>'A) Base RI'!AO16</f>
        <v>-23211.67</v>
      </c>
      <c r="E16" s="33">
        <f>'A) Base RI'!AP16</f>
        <v>0</v>
      </c>
      <c r="F16" s="33">
        <f>'A) Base RI'!AQ16</f>
        <v>-124.32</v>
      </c>
      <c r="G16" s="2">
        <f t="shared" si="0"/>
        <v>2385064.6700000004</v>
      </c>
      <c r="H16" s="10">
        <f>+'A) Base RI'!E16</f>
        <v>0</v>
      </c>
      <c r="I16" s="10">
        <f>+'A) Base RI'!F16</f>
        <v>0</v>
      </c>
      <c r="J16" s="10">
        <f>+'A) Base RI'!G16+'A) Base RI'!H16</f>
        <v>142773.75</v>
      </c>
      <c r="K16" s="10">
        <f>+'A) Base RI'!I16</f>
        <v>0</v>
      </c>
      <c r="L16" s="10">
        <f>+'A) Base RI'!J16</f>
        <v>92989.28</v>
      </c>
      <c r="M16" s="10">
        <f>+'A) Base RI'!K16</f>
        <v>5243.5</v>
      </c>
      <c r="N16" s="10">
        <f>+'A) Base RI'!Q16</f>
        <v>15556.04</v>
      </c>
      <c r="O16" s="10">
        <f t="shared" si="1"/>
        <v>366169.83333333331</v>
      </c>
      <c r="P16" s="10">
        <f>+'A) Base RI'!L16</f>
        <v>549254.75</v>
      </c>
      <c r="Q16" s="36">
        <f>'A) Base RI'!AR16</f>
        <v>1.5</v>
      </c>
      <c r="R16" s="2">
        <f t="shared" si="2"/>
        <v>3007797.0733333337</v>
      </c>
      <c r="S16" s="35">
        <f>+'A) Base RI'!AM16</f>
        <v>78.5</v>
      </c>
      <c r="T16" s="2">
        <f t="shared" si="3"/>
        <v>2636383.7400000002</v>
      </c>
      <c r="U16" s="2">
        <f t="shared" si="4"/>
        <v>38315.886284501066</v>
      </c>
      <c r="V16" s="10">
        <f>+'A) Base RI'!O16</f>
        <v>75600.5</v>
      </c>
      <c r="W16" s="10">
        <f>+'A) Base RI'!P16</f>
        <v>153112.95000000001</v>
      </c>
      <c r="X16" s="10">
        <f>+'A) Base RI'!R16</f>
        <v>175332.8</v>
      </c>
      <c r="Y16" s="2">
        <f t="shared" si="5"/>
        <v>404046.25</v>
      </c>
      <c r="Z16" s="10">
        <f>+'A) Base RI'!N16</f>
        <v>0</v>
      </c>
      <c r="AA16" s="10">
        <f>+'A) Base RI'!S16+'A) Base RI'!T16</f>
        <v>8560.2000000000007</v>
      </c>
      <c r="AB16" s="10">
        <f>+'A) Base RI'!U16</f>
        <v>17450</v>
      </c>
      <c r="AC16" s="10">
        <f>+'A) Base RI'!V16</f>
        <v>3152.25</v>
      </c>
      <c r="AD16" s="10">
        <f>+'A) Base RI'!W16</f>
        <v>0</v>
      </c>
      <c r="AE16" s="10">
        <f>+'A) Base RI'!Y16</f>
        <v>63915.1</v>
      </c>
      <c r="AF16" s="10">
        <f>+'A) Base RI'!Z16</f>
        <v>0</v>
      </c>
      <c r="AG16" s="10">
        <f>+'A) Base RI'!AA16</f>
        <v>459328.15</v>
      </c>
      <c r="AH16" s="10">
        <f>+'A) Base RI'!AB16</f>
        <v>0</v>
      </c>
      <c r="AI16" s="10">
        <f>+'A) Base RI'!AC16</f>
        <v>276103.34999999998</v>
      </c>
      <c r="AJ16" s="10">
        <f>+'A) Base RI'!AD16</f>
        <v>58026.35</v>
      </c>
      <c r="AK16" s="10">
        <f>+'A) Base RI'!AE16</f>
        <v>0</v>
      </c>
      <c r="AL16" s="10">
        <f>+'A) Base RI'!AF16</f>
        <v>0</v>
      </c>
      <c r="AM16" s="10">
        <f>+'A) Base RI'!AG16</f>
        <v>321188.05</v>
      </c>
      <c r="AN16" s="10">
        <f>+'A) Base RI'!AH16</f>
        <v>57809.599999999999</v>
      </c>
      <c r="AO16" s="10">
        <f>+'A) Base RI'!AI16</f>
        <v>0</v>
      </c>
      <c r="AP16" s="10">
        <f>+'A) Base RI'!AJ16</f>
        <v>33034.050000000003</v>
      </c>
      <c r="AQ16" s="10">
        <f>+'A) Base RI'!AK16</f>
        <v>0</v>
      </c>
      <c r="AR16" s="10">
        <f>'A) Base RI'!AN16</f>
        <v>1117</v>
      </c>
    </row>
    <row r="17" spans="1:44" x14ac:dyDescent="0.25">
      <c r="A17" s="8">
        <f>'A) Base RI'!A17</f>
        <v>5411</v>
      </c>
      <c r="B17" s="34" t="str">
        <f>'A) Base RI'!B17</f>
        <v>Ormont-Dessus</v>
      </c>
      <c r="C17" s="10">
        <f>'A) Base RI'!C17+'A) Base RI'!D17</f>
        <v>4837611.76</v>
      </c>
      <c r="D17" s="10">
        <f>'A) Base RI'!AO17</f>
        <v>-47883.96</v>
      </c>
      <c r="E17" s="33">
        <f>'A) Base RI'!AP17</f>
        <v>0</v>
      </c>
      <c r="F17" s="33">
        <f>'A) Base RI'!AQ17</f>
        <v>-1896.74</v>
      </c>
      <c r="G17" s="2">
        <f t="shared" si="0"/>
        <v>4787831.0599999996</v>
      </c>
      <c r="H17" s="10">
        <f>+'A) Base RI'!E17</f>
        <v>0</v>
      </c>
      <c r="I17" s="10">
        <f>+'A) Base RI'!F17</f>
        <v>0</v>
      </c>
      <c r="J17" s="10">
        <f>+'A) Base RI'!G17+'A) Base RI'!H17</f>
        <v>250015.69999999998</v>
      </c>
      <c r="K17" s="10">
        <f>+'A) Base RI'!I17</f>
        <v>99494.21</v>
      </c>
      <c r="L17" s="10">
        <f>+'A) Base RI'!J17</f>
        <v>135976.32000000001</v>
      </c>
      <c r="M17" s="10">
        <f>+'A) Base RI'!K17</f>
        <v>21865.95</v>
      </c>
      <c r="N17" s="10">
        <f>+'A) Base RI'!Q17</f>
        <v>3438.17</v>
      </c>
      <c r="O17" s="10">
        <f t="shared" si="1"/>
        <v>775557.2666666666</v>
      </c>
      <c r="P17" s="10">
        <f>+'A) Base RI'!L17</f>
        <v>1163335.8999999999</v>
      </c>
      <c r="Q17" s="36">
        <f>'A) Base RI'!AR17</f>
        <v>1.5</v>
      </c>
      <c r="R17" s="2">
        <f t="shared" si="2"/>
        <v>6074178.6766666668</v>
      </c>
      <c r="S17" s="35">
        <f>+'A) Base RI'!AM17</f>
        <v>76</v>
      </c>
      <c r="T17" s="2">
        <f t="shared" si="3"/>
        <v>5276755.46</v>
      </c>
      <c r="U17" s="2">
        <f t="shared" si="4"/>
        <v>79923.40364035088</v>
      </c>
      <c r="V17" s="10">
        <f>+'A) Base RI'!O17</f>
        <v>12809.7</v>
      </c>
      <c r="W17" s="10">
        <f>+'A) Base RI'!P17</f>
        <v>244544</v>
      </c>
      <c r="X17" s="10">
        <f>+'A) Base RI'!R17</f>
        <v>268175.09999999998</v>
      </c>
      <c r="Y17" s="2">
        <f t="shared" si="5"/>
        <v>525528.80000000005</v>
      </c>
      <c r="Z17" s="10">
        <f>+'A) Base RI'!N17</f>
        <v>0</v>
      </c>
      <c r="AA17" s="10">
        <f>+'A) Base RI'!S17+'A) Base RI'!T17</f>
        <v>56622.45</v>
      </c>
      <c r="AB17" s="10">
        <f>+'A) Base RI'!U17</f>
        <v>10700</v>
      </c>
      <c r="AC17" s="10">
        <f>+'A) Base RI'!V17</f>
        <v>0</v>
      </c>
      <c r="AD17" s="10">
        <f>+'A) Base RI'!W17</f>
        <v>0</v>
      </c>
      <c r="AE17" s="10">
        <f>+'A) Base RI'!Y17</f>
        <v>33222</v>
      </c>
      <c r="AF17" s="10">
        <f>+'A) Base RI'!Z17</f>
        <v>0</v>
      </c>
      <c r="AG17" s="10">
        <f>+'A) Base RI'!AA17</f>
        <v>370272</v>
      </c>
      <c r="AH17" s="10">
        <f>+'A) Base RI'!AB17</f>
        <v>0</v>
      </c>
      <c r="AI17" s="10">
        <f>+'A) Base RI'!AC17</f>
        <v>502837.6</v>
      </c>
      <c r="AJ17" s="10">
        <f>+'A) Base RI'!AD17</f>
        <v>114824</v>
      </c>
      <c r="AK17" s="10">
        <f>+'A) Base RI'!AE17</f>
        <v>0</v>
      </c>
      <c r="AL17" s="10">
        <f>+'A) Base RI'!AF17</f>
        <v>0</v>
      </c>
      <c r="AM17" s="10">
        <f>+'A) Base RI'!AG17</f>
        <v>937502.34</v>
      </c>
      <c r="AN17" s="10">
        <f>+'A) Base RI'!AH17</f>
        <v>0</v>
      </c>
      <c r="AO17" s="10">
        <f>+'A) Base RI'!AI17</f>
        <v>0</v>
      </c>
      <c r="AP17" s="10">
        <f>+'A) Base RI'!AJ17</f>
        <v>0</v>
      </c>
      <c r="AQ17" s="10">
        <f>+'A) Base RI'!AK17</f>
        <v>28141.65</v>
      </c>
      <c r="AR17" s="10">
        <f>'A) Base RI'!AN17</f>
        <v>1467</v>
      </c>
    </row>
    <row r="18" spans="1:44" x14ac:dyDescent="0.25">
      <c r="A18" s="8">
        <f>'A) Base RI'!A18</f>
        <v>5412</v>
      </c>
      <c r="B18" s="34" t="str">
        <f>'A) Base RI'!B18</f>
        <v>Rennaz</v>
      </c>
      <c r="C18" s="10">
        <f>'A) Base RI'!C18+'A) Base RI'!D18</f>
        <v>1600251.64</v>
      </c>
      <c r="D18" s="10">
        <f>'A) Base RI'!AO18</f>
        <v>-24548.02</v>
      </c>
      <c r="E18" s="33">
        <f>'A) Base RI'!AP18</f>
        <v>0</v>
      </c>
      <c r="F18" s="33">
        <f>'A) Base RI'!AQ18</f>
        <v>-17.829999999999998</v>
      </c>
      <c r="G18" s="2">
        <f t="shared" si="0"/>
        <v>1575685.7899999998</v>
      </c>
      <c r="H18" s="10">
        <f>+'A) Base RI'!E18</f>
        <v>0</v>
      </c>
      <c r="I18" s="10">
        <f>+'A) Base RI'!F18</f>
        <v>0</v>
      </c>
      <c r="J18" s="10">
        <f>+'A) Base RI'!G18+'A) Base RI'!H18</f>
        <v>211564.3</v>
      </c>
      <c r="K18" s="10">
        <f>+'A) Base RI'!I18</f>
        <v>24920.9</v>
      </c>
      <c r="L18" s="10">
        <f>+'A) Base RI'!J18</f>
        <v>90383.23</v>
      </c>
      <c r="M18" s="10">
        <f>+'A) Base RI'!K18</f>
        <v>20313.349999999999</v>
      </c>
      <c r="N18" s="10">
        <f>+'A) Base RI'!Q18</f>
        <v>3885.64</v>
      </c>
      <c r="O18" s="10">
        <f t="shared" si="1"/>
        <v>199401.1</v>
      </c>
      <c r="P18" s="10">
        <f>+'A) Base RI'!L18</f>
        <v>199401.1</v>
      </c>
      <c r="Q18" s="36">
        <f>'A) Base RI'!AR18</f>
        <v>1</v>
      </c>
      <c r="R18" s="2">
        <f t="shared" si="2"/>
        <v>2126154.3099999996</v>
      </c>
      <c r="S18" s="35">
        <f>+'A) Base RI'!AM18</f>
        <v>67.5</v>
      </c>
      <c r="T18" s="2">
        <f t="shared" si="3"/>
        <v>1906439.8599999996</v>
      </c>
      <c r="U18" s="2">
        <f t="shared" si="4"/>
        <v>31498.582370370365</v>
      </c>
      <c r="V18" s="10">
        <f>+'A) Base RI'!O18</f>
        <v>0</v>
      </c>
      <c r="W18" s="10">
        <f>+'A) Base RI'!P18</f>
        <v>67044</v>
      </c>
      <c r="X18" s="10">
        <f>+'A) Base RI'!R18</f>
        <v>33549.9</v>
      </c>
      <c r="Y18" s="2">
        <f t="shared" si="5"/>
        <v>100593.9</v>
      </c>
      <c r="Z18" s="10">
        <f>+'A) Base RI'!N18</f>
        <v>86972.800000000003</v>
      </c>
      <c r="AA18" s="10">
        <f>+'A) Base RI'!S18+'A) Base RI'!T18</f>
        <v>200</v>
      </c>
      <c r="AB18" s="10">
        <f>+'A) Base RI'!U18</f>
        <v>4200</v>
      </c>
      <c r="AC18" s="10">
        <f>+'A) Base RI'!V18</f>
        <v>0</v>
      </c>
      <c r="AD18" s="10">
        <f>+'A) Base RI'!W18</f>
        <v>0</v>
      </c>
      <c r="AE18" s="10">
        <f>+'A) Base RI'!Y18</f>
        <v>146318.19</v>
      </c>
      <c r="AF18" s="10">
        <f>+'A) Base RI'!Z18</f>
        <v>0</v>
      </c>
      <c r="AG18" s="10">
        <f>+'A) Base RI'!AA18</f>
        <v>163366.42000000001</v>
      </c>
      <c r="AH18" s="10">
        <f>+'A) Base RI'!AB18</f>
        <v>0</v>
      </c>
      <c r="AI18" s="10">
        <f>+'A) Base RI'!AC18</f>
        <v>101894.8</v>
      </c>
      <c r="AJ18" s="10">
        <f>+'A) Base RI'!AD18</f>
        <v>175581.8</v>
      </c>
      <c r="AK18" s="10">
        <f>+'A) Base RI'!AE18</f>
        <v>0</v>
      </c>
      <c r="AL18" s="10">
        <f>+'A) Base RI'!AF18</f>
        <v>0</v>
      </c>
      <c r="AM18" s="10">
        <f>+'A) Base RI'!AG18</f>
        <v>1302</v>
      </c>
      <c r="AN18" s="10">
        <f>+'A) Base RI'!AH18</f>
        <v>70504.149999999994</v>
      </c>
      <c r="AO18" s="10">
        <f>+'A) Base RI'!AI18</f>
        <v>0</v>
      </c>
      <c r="AP18" s="10">
        <f>+'A) Base RI'!AJ18</f>
        <v>0</v>
      </c>
      <c r="AQ18" s="10">
        <f>+'A) Base RI'!AK18</f>
        <v>0</v>
      </c>
      <c r="AR18" s="10">
        <f>'A) Base RI'!AN18</f>
        <v>839</v>
      </c>
    </row>
    <row r="19" spans="1:44" x14ac:dyDescent="0.25">
      <c r="A19" s="8">
        <f>'A) Base RI'!A19</f>
        <v>5413</v>
      </c>
      <c r="B19" s="34" t="str">
        <f>'A) Base RI'!B19</f>
        <v>Roche</v>
      </c>
      <c r="C19" s="10">
        <f>'A) Base RI'!C19+'A) Base RI'!D19</f>
        <v>2081130.61</v>
      </c>
      <c r="D19" s="10">
        <f>'A) Base RI'!AO19</f>
        <v>-119295.3</v>
      </c>
      <c r="E19" s="33">
        <f>'A) Base RI'!AP19</f>
        <v>0</v>
      </c>
      <c r="F19" s="33">
        <f>'A) Base RI'!AQ19</f>
        <v>-64.52</v>
      </c>
      <c r="G19" s="2">
        <f t="shared" si="0"/>
        <v>1961770.79</v>
      </c>
      <c r="H19" s="10">
        <f>+'A) Base RI'!E19</f>
        <v>0</v>
      </c>
      <c r="I19" s="10">
        <f>+'A) Base RI'!F19</f>
        <v>0</v>
      </c>
      <c r="J19" s="10">
        <f>+'A) Base RI'!G19+'A) Base RI'!H19</f>
        <v>222771.20000000001</v>
      </c>
      <c r="K19" s="10">
        <f>+'A) Base RI'!I19</f>
        <v>0</v>
      </c>
      <c r="L19" s="10">
        <f>+'A) Base RI'!J19</f>
        <v>85929.22</v>
      </c>
      <c r="M19" s="10">
        <f>+'A) Base RI'!K19</f>
        <v>16972.349999999999</v>
      </c>
      <c r="N19" s="10">
        <f>+'A) Base RI'!Q19</f>
        <v>40765.64</v>
      </c>
      <c r="O19" s="10">
        <f t="shared" si="1"/>
        <v>236203.4</v>
      </c>
      <c r="P19" s="10">
        <f>+'A) Base RI'!L19</f>
        <v>236203.4</v>
      </c>
      <c r="Q19" s="36">
        <f>'A) Base RI'!AR19</f>
        <v>1</v>
      </c>
      <c r="R19" s="2">
        <f t="shared" si="2"/>
        <v>2564412.6000000006</v>
      </c>
      <c r="S19" s="35">
        <f>+'A) Base RI'!AM19</f>
        <v>68</v>
      </c>
      <c r="T19" s="2">
        <f t="shared" si="3"/>
        <v>2311236.8500000006</v>
      </c>
      <c r="U19" s="2">
        <f t="shared" si="4"/>
        <v>37711.950000000012</v>
      </c>
      <c r="V19" s="10">
        <f>+'A) Base RI'!O19</f>
        <v>3960</v>
      </c>
      <c r="W19" s="10">
        <f>+'A) Base RI'!P19</f>
        <v>128784.45</v>
      </c>
      <c r="X19" s="10">
        <f>+'A) Base RI'!R19</f>
        <v>82385.45</v>
      </c>
      <c r="Y19" s="2">
        <f t="shared" si="5"/>
        <v>215129.90000000002</v>
      </c>
      <c r="Z19" s="10">
        <f>+'A) Base RI'!N19</f>
        <v>185237.95</v>
      </c>
      <c r="AA19" s="10">
        <f>+'A) Base RI'!S19+'A) Base RI'!T19</f>
        <v>0</v>
      </c>
      <c r="AB19" s="10">
        <f>+'A) Base RI'!U19</f>
        <v>12206.3</v>
      </c>
      <c r="AC19" s="10">
        <f>+'A) Base RI'!V19</f>
        <v>0</v>
      </c>
      <c r="AD19" s="10">
        <f>+'A) Base RI'!W19</f>
        <v>0</v>
      </c>
      <c r="AE19" s="10">
        <f>+'A) Base RI'!Y19</f>
        <v>19575.5</v>
      </c>
      <c r="AF19" s="10">
        <f>+'A) Base RI'!Z19</f>
        <v>19575.5</v>
      </c>
      <c r="AG19" s="10">
        <f>+'A) Base RI'!AA19</f>
        <v>106570.2</v>
      </c>
      <c r="AH19" s="10">
        <f>+'A) Base RI'!AB19</f>
        <v>0</v>
      </c>
      <c r="AI19" s="10">
        <f>+'A) Base RI'!AC19</f>
        <v>197174.56</v>
      </c>
      <c r="AJ19" s="10">
        <f>+'A) Base RI'!AD19</f>
        <v>30089.3</v>
      </c>
      <c r="AK19" s="10">
        <f>+'A) Base RI'!AE19</f>
        <v>14852.5</v>
      </c>
      <c r="AL19" s="10">
        <f>+'A) Base RI'!AF19</f>
        <v>0</v>
      </c>
      <c r="AM19" s="10">
        <f>+'A) Base RI'!AG19</f>
        <v>0</v>
      </c>
      <c r="AN19" s="10">
        <f>+'A) Base RI'!AH19</f>
        <v>70478.45</v>
      </c>
      <c r="AO19" s="10">
        <f>+'A) Base RI'!AI19</f>
        <v>0</v>
      </c>
      <c r="AP19" s="10">
        <f>+'A) Base RI'!AJ19</f>
        <v>20136.7</v>
      </c>
      <c r="AQ19" s="10">
        <f>+'A) Base RI'!AK19</f>
        <v>0</v>
      </c>
      <c r="AR19" s="10">
        <f>'A) Base RI'!AN19</f>
        <v>1650</v>
      </c>
    </row>
    <row r="20" spans="1:44" x14ac:dyDescent="0.25">
      <c r="A20" s="8">
        <f>'A) Base RI'!A20</f>
        <v>5414</v>
      </c>
      <c r="B20" s="34" t="str">
        <f>'A) Base RI'!B20</f>
        <v>Villeneuve</v>
      </c>
      <c r="C20" s="10">
        <f>'A) Base RI'!C20+'A) Base RI'!D20</f>
        <v>8743609.0099999998</v>
      </c>
      <c r="D20" s="10">
        <f>'A) Base RI'!AO20</f>
        <v>-160281.88</v>
      </c>
      <c r="E20" s="33">
        <f>'A) Base RI'!AP20</f>
        <v>0</v>
      </c>
      <c r="F20" s="33">
        <f>'A) Base RI'!AQ20</f>
        <v>-1886.78</v>
      </c>
      <c r="G20" s="2">
        <f t="shared" si="0"/>
        <v>8581440.3499999996</v>
      </c>
      <c r="H20" s="10">
        <f>+'A) Base RI'!E20</f>
        <v>0</v>
      </c>
      <c r="I20" s="10">
        <f>+'A) Base RI'!F20</f>
        <v>0</v>
      </c>
      <c r="J20" s="10">
        <f>+'A) Base RI'!G20+'A) Base RI'!H20</f>
        <v>1413237.15</v>
      </c>
      <c r="K20" s="10">
        <f>+'A) Base RI'!I20</f>
        <v>71077.3</v>
      </c>
      <c r="L20" s="10">
        <f>+'A) Base RI'!J20</f>
        <v>363958.32</v>
      </c>
      <c r="M20" s="10">
        <f>+'A) Base RI'!K20</f>
        <v>125496.15</v>
      </c>
      <c r="N20" s="10">
        <f>+'A) Base RI'!Q20</f>
        <v>40907.5</v>
      </c>
      <c r="O20" s="10">
        <f t="shared" si="1"/>
        <v>1044601.1</v>
      </c>
      <c r="P20" s="10">
        <f>+'A) Base RI'!L20</f>
        <v>1044601.1</v>
      </c>
      <c r="Q20" s="36">
        <f>'A) Base RI'!AR20</f>
        <v>1</v>
      </c>
      <c r="R20" s="2">
        <f t="shared" si="2"/>
        <v>11640717.870000001</v>
      </c>
      <c r="S20" s="35">
        <f>+'A) Base RI'!AM20</f>
        <v>69</v>
      </c>
      <c r="T20" s="2">
        <f t="shared" si="3"/>
        <v>10470620.620000001</v>
      </c>
      <c r="U20" s="2">
        <f t="shared" si="4"/>
        <v>168706.05608695652</v>
      </c>
      <c r="V20" s="10">
        <f>+'A) Base RI'!O20</f>
        <v>134241.20000000001</v>
      </c>
      <c r="W20" s="10">
        <f>+'A) Base RI'!P20</f>
        <v>838515.15</v>
      </c>
      <c r="X20" s="10">
        <f>+'A) Base RI'!R20</f>
        <v>358018.45</v>
      </c>
      <c r="Y20" s="2">
        <f t="shared" si="5"/>
        <v>1330774.8</v>
      </c>
      <c r="Z20" s="10">
        <f>+'A) Base RI'!N20</f>
        <v>992574.25</v>
      </c>
      <c r="AA20" s="10">
        <f>+'A) Base RI'!S20+'A) Base RI'!T20</f>
        <v>0</v>
      </c>
      <c r="AB20" s="10">
        <f>+'A) Base RI'!U20</f>
        <v>27830</v>
      </c>
      <c r="AC20" s="10">
        <f>+'A) Base RI'!V20</f>
        <v>0</v>
      </c>
      <c r="AD20" s="10">
        <f>+'A) Base RI'!W20</f>
        <v>0</v>
      </c>
      <c r="AE20" s="10">
        <f>+'A) Base RI'!Y20</f>
        <v>50239.35</v>
      </c>
      <c r="AF20" s="10">
        <f>+'A) Base RI'!Z20</f>
        <v>0</v>
      </c>
      <c r="AG20" s="10">
        <f>+'A) Base RI'!AA20</f>
        <v>1089632.6000000001</v>
      </c>
      <c r="AH20" s="10">
        <f>+'A) Base RI'!AB20</f>
        <v>0</v>
      </c>
      <c r="AI20" s="10">
        <f>+'A) Base RI'!AC20</f>
        <v>902237.3</v>
      </c>
      <c r="AJ20" s="10">
        <f>+'A) Base RI'!AD20</f>
        <v>63653.599999999999</v>
      </c>
      <c r="AK20" s="10">
        <f>+'A) Base RI'!AE20</f>
        <v>0</v>
      </c>
      <c r="AL20" s="10">
        <f>+'A) Base RI'!AF20</f>
        <v>0</v>
      </c>
      <c r="AM20" s="10">
        <f>+'A) Base RI'!AG20</f>
        <v>67128.600000000006</v>
      </c>
      <c r="AN20" s="10">
        <f>+'A) Base RI'!AH20</f>
        <v>223355.5</v>
      </c>
      <c r="AO20" s="10">
        <f>+'A) Base RI'!AI20</f>
        <v>0</v>
      </c>
      <c r="AP20" s="10">
        <f>+'A) Base RI'!AJ20</f>
        <v>127615.15</v>
      </c>
      <c r="AQ20" s="10">
        <f>+'A) Base RI'!AK20</f>
        <v>0</v>
      </c>
      <c r="AR20" s="10">
        <f>'A) Base RI'!AN20</f>
        <v>5672</v>
      </c>
    </row>
    <row r="21" spans="1:44" x14ac:dyDescent="0.25">
      <c r="A21" s="8">
        <f>'A) Base RI'!A21</f>
        <v>5415</v>
      </c>
      <c r="B21" s="34" t="str">
        <f>'A) Base RI'!B21</f>
        <v>Yvorne</v>
      </c>
      <c r="C21" s="10">
        <f>'A) Base RI'!C21+'A) Base RI'!D21</f>
        <v>2133661.16</v>
      </c>
      <c r="D21" s="10">
        <f>'A) Base RI'!AO21</f>
        <v>-38377.18</v>
      </c>
      <c r="E21" s="33">
        <f>'A) Base RI'!AP21</f>
        <v>0</v>
      </c>
      <c r="F21" s="33">
        <f>'A) Base RI'!AQ21</f>
        <v>-804.04</v>
      </c>
      <c r="G21" s="2">
        <f t="shared" si="0"/>
        <v>2094479.9400000002</v>
      </c>
      <c r="H21" s="10">
        <f>+'A) Base RI'!E21</f>
        <v>0</v>
      </c>
      <c r="I21" s="10">
        <f>+'A) Base RI'!F21</f>
        <v>0</v>
      </c>
      <c r="J21" s="10">
        <f>+'A) Base RI'!G21+'A) Base RI'!H21</f>
        <v>122103.15000000001</v>
      </c>
      <c r="K21" s="10">
        <f>+'A) Base RI'!I21</f>
        <v>1352.45</v>
      </c>
      <c r="L21" s="10">
        <f>+'A) Base RI'!J21</f>
        <v>60687.05</v>
      </c>
      <c r="M21" s="10">
        <f>+'A) Base RI'!K21</f>
        <v>10262.65</v>
      </c>
      <c r="N21" s="10">
        <f>+'A) Base RI'!Q21</f>
        <v>1130.45</v>
      </c>
      <c r="O21" s="10">
        <f t="shared" si="1"/>
        <v>213447.23333333331</v>
      </c>
      <c r="P21" s="10">
        <f>+'A) Base RI'!L21</f>
        <v>320170.84999999998</v>
      </c>
      <c r="Q21" s="36">
        <f>'A) Base RI'!AR21</f>
        <v>1.5</v>
      </c>
      <c r="R21" s="2">
        <f t="shared" si="2"/>
        <v>2503462.9233333338</v>
      </c>
      <c r="S21" s="35">
        <f>+'A) Base RI'!AM21</f>
        <v>71.5</v>
      </c>
      <c r="T21" s="2">
        <f t="shared" si="3"/>
        <v>2279753.0400000005</v>
      </c>
      <c r="U21" s="2">
        <f t="shared" si="4"/>
        <v>35013.467459207466</v>
      </c>
      <c r="V21" s="10">
        <f>+'A) Base RI'!O21</f>
        <v>30506.6</v>
      </c>
      <c r="W21" s="10">
        <f>+'A) Base RI'!P21</f>
        <v>142133.4</v>
      </c>
      <c r="X21" s="10">
        <f>+'A) Base RI'!R21</f>
        <v>62472.25</v>
      </c>
      <c r="Y21" s="2">
        <f t="shared" si="5"/>
        <v>235112.25</v>
      </c>
      <c r="Z21" s="10">
        <f>+'A) Base RI'!N21</f>
        <v>27533.95</v>
      </c>
      <c r="AA21" s="10">
        <f>+'A) Base RI'!S21+'A) Base RI'!T21</f>
        <v>0</v>
      </c>
      <c r="AB21" s="10">
        <f>+'A) Base RI'!U21</f>
        <v>8150</v>
      </c>
      <c r="AC21" s="10">
        <f>+'A) Base RI'!V21</f>
        <v>0</v>
      </c>
      <c r="AD21" s="10">
        <f>+'A) Base RI'!W21</f>
        <v>0</v>
      </c>
      <c r="AE21" s="10">
        <f>+'A) Base RI'!Y21</f>
        <v>110013.55</v>
      </c>
      <c r="AF21" s="10">
        <f>+'A) Base RI'!Z21</f>
        <v>0</v>
      </c>
      <c r="AG21" s="10">
        <f>+'A) Base RI'!AA21</f>
        <v>206379.19</v>
      </c>
      <c r="AH21" s="10">
        <f>+'A) Base RI'!AB21</f>
        <v>0</v>
      </c>
      <c r="AI21" s="10">
        <f>+'A) Base RI'!AC21</f>
        <v>40596.76</v>
      </c>
      <c r="AJ21" s="10">
        <f>+'A) Base RI'!AD21</f>
        <v>174178.3</v>
      </c>
      <c r="AK21" s="10">
        <f>+'A) Base RI'!AE21</f>
        <v>0</v>
      </c>
      <c r="AL21" s="10">
        <f>+'A) Base RI'!AF21</f>
        <v>0</v>
      </c>
      <c r="AM21" s="10">
        <f>+'A) Base RI'!AG21</f>
        <v>28951</v>
      </c>
      <c r="AN21" s="10">
        <f>+'A) Base RI'!AH21</f>
        <v>38622</v>
      </c>
      <c r="AO21" s="10">
        <f>+'A) Base RI'!AI21</f>
        <v>38200</v>
      </c>
      <c r="AP21" s="10">
        <f>+'A) Base RI'!AJ21</f>
        <v>0</v>
      </c>
      <c r="AQ21" s="10">
        <f>+'A) Base RI'!AK21</f>
        <v>0</v>
      </c>
      <c r="AR21" s="10">
        <f>'A) Base RI'!AN21</f>
        <v>1057</v>
      </c>
    </row>
    <row r="22" spans="1:44" x14ac:dyDescent="0.25">
      <c r="A22" s="8">
        <f>'A) Base RI'!A22</f>
        <v>5421</v>
      </c>
      <c r="B22" s="34" t="str">
        <f>'A) Base RI'!B22</f>
        <v>Apples</v>
      </c>
      <c r="C22" s="10">
        <f>'A) Base RI'!C22+'A) Base RI'!D22</f>
        <v>3770296.95</v>
      </c>
      <c r="D22" s="10">
        <f>'A) Base RI'!AO22</f>
        <v>-75701.13</v>
      </c>
      <c r="E22" s="33">
        <f>'A) Base RI'!AP22</f>
        <v>0</v>
      </c>
      <c r="F22" s="33">
        <f>'A) Base RI'!AQ22</f>
        <v>-1907.12</v>
      </c>
      <c r="G22" s="2">
        <f t="shared" si="0"/>
        <v>3692688.7</v>
      </c>
      <c r="H22" s="10">
        <f>+'A) Base RI'!E22</f>
        <v>0</v>
      </c>
      <c r="I22" s="10">
        <f>+'A) Base RI'!F22</f>
        <v>0</v>
      </c>
      <c r="J22" s="10">
        <f>+'A) Base RI'!G22+'A) Base RI'!H22</f>
        <v>287147.40000000002</v>
      </c>
      <c r="K22" s="10">
        <f>+'A) Base RI'!I22</f>
        <v>41201.5</v>
      </c>
      <c r="L22" s="10">
        <f>+'A) Base RI'!J22</f>
        <v>198869.76000000001</v>
      </c>
      <c r="M22" s="10">
        <f>+'A) Base RI'!K22</f>
        <v>11072.9</v>
      </c>
      <c r="N22" s="10">
        <f>+'A) Base RI'!Q22</f>
        <v>0</v>
      </c>
      <c r="O22" s="10">
        <f t="shared" si="1"/>
        <v>277987.65000000002</v>
      </c>
      <c r="P22" s="10">
        <f>+'A) Base RI'!L22</f>
        <v>277987.65000000002</v>
      </c>
      <c r="Q22" s="36">
        <f>'A) Base RI'!AR22</f>
        <v>1</v>
      </c>
      <c r="R22" s="2">
        <f t="shared" si="2"/>
        <v>4508967.9100000011</v>
      </c>
      <c r="S22" s="35">
        <f>+'A) Base RI'!AM22</f>
        <v>76</v>
      </c>
      <c r="T22" s="2">
        <f t="shared" si="3"/>
        <v>4219907.3600000003</v>
      </c>
      <c r="U22" s="2">
        <f t="shared" si="4"/>
        <v>59328.525131578965</v>
      </c>
      <c r="V22" s="10">
        <f>+'A) Base RI'!O22</f>
        <v>3959.6</v>
      </c>
      <c r="W22" s="10">
        <f>+'A) Base RI'!P22</f>
        <v>119382.85</v>
      </c>
      <c r="X22" s="10">
        <f>+'A) Base RI'!R22</f>
        <v>122395.2</v>
      </c>
      <c r="Y22" s="2">
        <f t="shared" si="5"/>
        <v>245737.65000000002</v>
      </c>
      <c r="Z22" s="10">
        <f>+'A) Base RI'!N22</f>
        <v>23304.400000000001</v>
      </c>
      <c r="AA22" s="10">
        <f>+'A) Base RI'!S22+'A) Base RI'!T22</f>
        <v>1231.55</v>
      </c>
      <c r="AB22" s="10">
        <f>+'A) Base RI'!U22</f>
        <v>12300</v>
      </c>
      <c r="AC22" s="10">
        <f>+'A) Base RI'!V22</f>
        <v>0</v>
      </c>
      <c r="AD22" s="10">
        <f>+'A) Base RI'!W22</f>
        <v>0</v>
      </c>
      <c r="AE22" s="10">
        <f>+'A) Base RI'!Y22</f>
        <v>48307.5</v>
      </c>
      <c r="AF22" s="10">
        <f>+'A) Base RI'!Z22</f>
        <v>0</v>
      </c>
      <c r="AG22" s="10">
        <f>+'A) Base RI'!AA22</f>
        <v>361223.15</v>
      </c>
      <c r="AH22" s="10">
        <f>+'A) Base RI'!AB22</f>
        <v>0</v>
      </c>
      <c r="AI22" s="10">
        <f>+'A) Base RI'!AC22</f>
        <v>209079.64</v>
      </c>
      <c r="AJ22" s="10">
        <f>+'A) Base RI'!AD22</f>
        <v>67742.5</v>
      </c>
      <c r="AK22" s="10">
        <f>+'A) Base RI'!AE22</f>
        <v>0</v>
      </c>
      <c r="AL22" s="10">
        <f>+'A) Base RI'!AF22</f>
        <v>0</v>
      </c>
      <c r="AM22" s="10">
        <f>+'A) Base RI'!AG22</f>
        <v>0</v>
      </c>
      <c r="AN22" s="10">
        <f>+'A) Base RI'!AH22</f>
        <v>0</v>
      </c>
      <c r="AO22" s="10">
        <f>+'A) Base RI'!AI22</f>
        <v>0</v>
      </c>
      <c r="AP22" s="10">
        <f>+'A) Base RI'!AJ22</f>
        <v>0</v>
      </c>
      <c r="AQ22" s="10">
        <f>+'A) Base RI'!AK22</f>
        <v>0</v>
      </c>
      <c r="AR22" s="10">
        <f>'A) Base RI'!AN22</f>
        <v>1437</v>
      </c>
    </row>
    <row r="23" spans="1:44" x14ac:dyDescent="0.25">
      <c r="A23" s="8">
        <f>'A) Base RI'!A23</f>
        <v>5422</v>
      </c>
      <c r="B23" s="34" t="str">
        <f>'A) Base RI'!B23</f>
        <v>Aubonne</v>
      </c>
      <c r="C23" s="10">
        <f>'A) Base RI'!C23+'A) Base RI'!D23</f>
        <v>11659970.01</v>
      </c>
      <c r="D23" s="10">
        <f>'A) Base RI'!AO23</f>
        <v>-85873.98</v>
      </c>
      <c r="E23" s="33">
        <f>'A) Base RI'!AP23</f>
        <v>0</v>
      </c>
      <c r="F23" s="33">
        <f>'A) Base RI'!AQ23</f>
        <v>-2041.2</v>
      </c>
      <c r="G23" s="2">
        <f t="shared" si="0"/>
        <v>11572054.83</v>
      </c>
      <c r="H23" s="10">
        <f>+'A) Base RI'!E23</f>
        <v>0</v>
      </c>
      <c r="I23" s="10">
        <f>+'A) Base RI'!F23</f>
        <v>0</v>
      </c>
      <c r="J23" s="10">
        <f>+'A) Base RI'!G23+'A) Base RI'!H23</f>
        <v>4342084.3500000006</v>
      </c>
      <c r="K23" s="10">
        <f>+'A) Base RI'!I23</f>
        <v>283152.2</v>
      </c>
      <c r="L23" s="10">
        <f>+'A) Base RI'!J23</f>
        <v>760810.8</v>
      </c>
      <c r="M23" s="10">
        <f>+'A) Base RI'!K23</f>
        <v>112652.45</v>
      </c>
      <c r="N23" s="10">
        <f>+'A) Base RI'!Q23</f>
        <v>29029.33</v>
      </c>
      <c r="O23" s="10">
        <f t="shared" si="1"/>
        <v>926943.79</v>
      </c>
      <c r="P23" s="10">
        <f>+'A) Base RI'!L23</f>
        <v>926943.79</v>
      </c>
      <c r="Q23" s="36">
        <f>'A) Base RI'!AR23</f>
        <v>1</v>
      </c>
      <c r="R23" s="2">
        <f t="shared" si="2"/>
        <v>18026727.749999996</v>
      </c>
      <c r="S23" s="35">
        <f>+'A) Base RI'!AM23</f>
        <v>68</v>
      </c>
      <c r="T23" s="2">
        <f t="shared" si="3"/>
        <v>16987131.509999998</v>
      </c>
      <c r="U23" s="2">
        <f t="shared" si="4"/>
        <v>265098.93749999994</v>
      </c>
      <c r="V23" s="10">
        <f>+'A) Base RI'!O23</f>
        <v>327874.40000000002</v>
      </c>
      <c r="W23" s="10">
        <f>+'A) Base RI'!P23</f>
        <v>334602.75</v>
      </c>
      <c r="X23" s="10">
        <f>+'A) Base RI'!R23</f>
        <v>276044.05</v>
      </c>
      <c r="Y23" s="2">
        <f t="shared" si="5"/>
        <v>938521.2</v>
      </c>
      <c r="Z23" s="10">
        <f>+'A) Base RI'!N23</f>
        <v>773580.6</v>
      </c>
      <c r="AA23" s="10">
        <f>+'A) Base RI'!S23+'A) Base RI'!T23</f>
        <v>14656.2</v>
      </c>
      <c r="AB23" s="10">
        <f>+'A) Base RI'!U23</f>
        <v>22716.65</v>
      </c>
      <c r="AC23" s="10">
        <f>+'A) Base RI'!V23</f>
        <v>0</v>
      </c>
      <c r="AD23" s="10">
        <f>+'A) Base RI'!W23</f>
        <v>0</v>
      </c>
      <c r="AE23" s="10">
        <f>+'A) Base RI'!Y23</f>
        <v>69711.23</v>
      </c>
      <c r="AF23" s="10">
        <f>+'A) Base RI'!Z23</f>
        <v>0</v>
      </c>
      <c r="AG23" s="10">
        <f>+'A) Base RI'!AA23</f>
        <v>834579.34</v>
      </c>
      <c r="AH23" s="10">
        <f>+'A) Base RI'!AB23</f>
        <v>0</v>
      </c>
      <c r="AI23" s="10">
        <f>+'A) Base RI'!AC23</f>
        <v>278854.88</v>
      </c>
      <c r="AJ23" s="10">
        <f>+'A) Base RI'!AD23</f>
        <v>59195.53</v>
      </c>
      <c r="AK23" s="10">
        <f>+'A) Base RI'!AE23</f>
        <v>0</v>
      </c>
      <c r="AL23" s="10">
        <f>+'A) Base RI'!AF23</f>
        <v>0</v>
      </c>
      <c r="AM23" s="10">
        <f>+'A) Base RI'!AG23</f>
        <v>0</v>
      </c>
      <c r="AN23" s="10">
        <f>+'A) Base RI'!AH23</f>
        <v>214239.3</v>
      </c>
      <c r="AO23" s="10">
        <f>+'A) Base RI'!AI23</f>
        <v>0</v>
      </c>
      <c r="AP23" s="10">
        <f>+'A) Base RI'!AJ23</f>
        <v>0</v>
      </c>
      <c r="AQ23" s="10">
        <f>+'A) Base RI'!AK23</f>
        <v>0</v>
      </c>
      <c r="AR23" s="10">
        <f>'A) Base RI'!AN23</f>
        <v>3269</v>
      </c>
    </row>
    <row r="24" spans="1:44" x14ac:dyDescent="0.25">
      <c r="A24" s="8">
        <f>'A) Base RI'!A24</f>
        <v>5423</v>
      </c>
      <c r="B24" s="34" t="str">
        <f>'A) Base RI'!B24</f>
        <v>Ballens</v>
      </c>
      <c r="C24" s="10">
        <f>'A) Base RI'!C24+'A) Base RI'!D24</f>
        <v>1020027.25</v>
      </c>
      <c r="D24" s="10">
        <f>'A) Base RI'!AO24</f>
        <v>-1484.62</v>
      </c>
      <c r="E24" s="33">
        <f>'A) Base RI'!AP24</f>
        <v>0</v>
      </c>
      <c r="F24" s="33">
        <f>'A) Base RI'!AQ24</f>
        <v>-5.25</v>
      </c>
      <c r="G24" s="2">
        <f t="shared" si="0"/>
        <v>1018537.38</v>
      </c>
      <c r="H24" s="10">
        <f>+'A) Base RI'!E24</f>
        <v>0</v>
      </c>
      <c r="I24" s="10">
        <f>+'A) Base RI'!F24</f>
        <v>2620</v>
      </c>
      <c r="J24" s="10">
        <f>+'A) Base RI'!G24+'A) Base RI'!H24</f>
        <v>-10599.5</v>
      </c>
      <c r="K24" s="10">
        <f>+'A) Base RI'!I24</f>
        <v>0</v>
      </c>
      <c r="L24" s="10">
        <f>+'A) Base RI'!J24</f>
        <v>52834.98</v>
      </c>
      <c r="M24" s="10">
        <f>+'A) Base RI'!K24</f>
        <v>1591.55</v>
      </c>
      <c r="N24" s="10">
        <f>+'A) Base RI'!Q24</f>
        <v>13390.08</v>
      </c>
      <c r="O24" s="10">
        <f t="shared" si="1"/>
        <v>74164.7</v>
      </c>
      <c r="P24" s="10">
        <f>+'A) Base RI'!L24</f>
        <v>37082.35</v>
      </c>
      <c r="Q24" s="36">
        <f>'A) Base RI'!AR24</f>
        <v>0.5</v>
      </c>
      <c r="R24" s="2">
        <f t="shared" si="2"/>
        <v>1152539.1900000002</v>
      </c>
      <c r="S24" s="35">
        <f>+'A) Base RI'!AM24</f>
        <v>69</v>
      </c>
      <c r="T24" s="2">
        <f t="shared" si="3"/>
        <v>1074162.9400000002</v>
      </c>
      <c r="U24" s="2">
        <f t="shared" si="4"/>
        <v>16703.466521739134</v>
      </c>
      <c r="V24" s="10">
        <f>+'A) Base RI'!O24</f>
        <v>0</v>
      </c>
      <c r="W24" s="10">
        <f>+'A) Base RI'!P24</f>
        <v>64207.35</v>
      </c>
      <c r="X24" s="10">
        <f>+'A) Base RI'!R24</f>
        <v>64617.45</v>
      </c>
      <c r="Y24" s="2">
        <f t="shared" si="5"/>
        <v>128824.79999999999</v>
      </c>
      <c r="Z24" s="10">
        <f>+'A) Base RI'!N24</f>
        <v>19697.25</v>
      </c>
      <c r="AA24" s="10">
        <f>+'A) Base RI'!S24+'A) Base RI'!T24</f>
        <v>1180.95</v>
      </c>
      <c r="AB24" s="10">
        <f>+'A) Base RI'!U24</f>
        <v>1450</v>
      </c>
      <c r="AC24" s="10">
        <f>+'A) Base RI'!V24</f>
        <v>0</v>
      </c>
      <c r="AD24" s="10">
        <f>+'A) Base RI'!W24</f>
        <v>0</v>
      </c>
      <c r="AE24" s="10">
        <f>+'A) Base RI'!Y24</f>
        <v>35640</v>
      </c>
      <c r="AF24" s="10">
        <f>+'A) Base RI'!Z24</f>
        <v>0</v>
      </c>
      <c r="AG24" s="10">
        <f>+'A) Base RI'!AA24</f>
        <v>127434.9</v>
      </c>
      <c r="AH24" s="10">
        <f>+'A) Base RI'!AB24</f>
        <v>0</v>
      </c>
      <c r="AI24" s="10">
        <f>+'A) Base RI'!AC24</f>
        <v>27152.9</v>
      </c>
      <c r="AJ24" s="10">
        <f>+'A) Base RI'!AD24</f>
        <v>42410</v>
      </c>
      <c r="AK24" s="10">
        <f>+'A) Base RI'!AE24</f>
        <v>0</v>
      </c>
      <c r="AL24" s="10">
        <f>+'A) Base RI'!AF24</f>
        <v>0</v>
      </c>
      <c r="AM24" s="10">
        <f>+'A) Base RI'!AG24</f>
        <v>0</v>
      </c>
      <c r="AN24" s="10">
        <f>+'A) Base RI'!AH24</f>
        <v>12402.95</v>
      </c>
      <c r="AO24" s="10">
        <f>+'A) Base RI'!AI24</f>
        <v>0</v>
      </c>
      <c r="AP24" s="10">
        <f>+'A) Base RI'!AJ24</f>
        <v>0</v>
      </c>
      <c r="AQ24" s="10">
        <f>+'A) Base RI'!AK24</f>
        <v>0</v>
      </c>
      <c r="AR24" s="10">
        <f>'A) Base RI'!AN24</f>
        <v>527</v>
      </c>
    </row>
    <row r="25" spans="1:44" x14ac:dyDescent="0.25">
      <c r="A25" s="8">
        <f>'A) Base RI'!A25</f>
        <v>5424</v>
      </c>
      <c r="B25" s="34" t="str">
        <f>'A) Base RI'!B25</f>
        <v>Berolle</v>
      </c>
      <c r="C25" s="10">
        <f>'A) Base RI'!C25+'A) Base RI'!D25</f>
        <v>749848.41</v>
      </c>
      <c r="D25" s="10">
        <f>'A) Base RI'!AO25</f>
        <v>-10774.12</v>
      </c>
      <c r="E25" s="33">
        <f>'A) Base RI'!AP25</f>
        <v>0</v>
      </c>
      <c r="F25" s="33">
        <f>'A) Base RI'!AQ25</f>
        <v>0</v>
      </c>
      <c r="G25" s="2">
        <f t="shared" si="0"/>
        <v>739074.29</v>
      </c>
      <c r="H25" s="10">
        <f>+'A) Base RI'!E25</f>
        <v>0</v>
      </c>
      <c r="I25" s="10">
        <f>+'A) Base RI'!F25</f>
        <v>0</v>
      </c>
      <c r="J25" s="10">
        <f>+'A) Base RI'!G25+'A) Base RI'!H25</f>
        <v>1833.3000000000002</v>
      </c>
      <c r="K25" s="10">
        <f>+'A) Base RI'!I25</f>
        <v>30741.05</v>
      </c>
      <c r="L25" s="10">
        <f>+'A) Base RI'!J25</f>
        <v>46159.78</v>
      </c>
      <c r="M25" s="10">
        <f>+'A) Base RI'!K25</f>
        <v>764.9</v>
      </c>
      <c r="N25" s="10">
        <f>+'A) Base RI'!Q25</f>
        <v>5814.15</v>
      </c>
      <c r="O25" s="10">
        <f t="shared" si="1"/>
        <v>49019</v>
      </c>
      <c r="P25" s="10">
        <f>+'A) Base RI'!L25</f>
        <v>49019</v>
      </c>
      <c r="Q25" s="36">
        <f>'A) Base RI'!AR25</f>
        <v>1</v>
      </c>
      <c r="R25" s="2">
        <f t="shared" si="2"/>
        <v>873406.4700000002</v>
      </c>
      <c r="S25" s="35">
        <f>+'A) Base RI'!AM25</f>
        <v>77</v>
      </c>
      <c r="T25" s="2">
        <f t="shared" si="3"/>
        <v>823622.57000000018</v>
      </c>
      <c r="U25" s="2">
        <f t="shared" si="4"/>
        <v>11342.941168831172</v>
      </c>
      <c r="V25" s="10">
        <f>+'A) Base RI'!O25</f>
        <v>0</v>
      </c>
      <c r="W25" s="10">
        <f>+'A) Base RI'!P25</f>
        <v>1500.95</v>
      </c>
      <c r="X25" s="10">
        <f>+'A) Base RI'!R25</f>
        <v>38918.699999999997</v>
      </c>
      <c r="Y25" s="2">
        <f t="shared" si="5"/>
        <v>40419.649999999994</v>
      </c>
      <c r="Z25" s="10">
        <f>+'A) Base RI'!N25</f>
        <v>0</v>
      </c>
      <c r="AA25" s="10">
        <f>+'A) Base RI'!S25+'A) Base RI'!T25</f>
        <v>0</v>
      </c>
      <c r="AB25" s="10">
        <f>+'A) Base RI'!U25</f>
        <v>1975</v>
      </c>
      <c r="AC25" s="10">
        <f>+'A) Base RI'!V25</f>
        <v>0</v>
      </c>
      <c r="AD25" s="10">
        <f>+'A) Base RI'!W25</f>
        <v>0</v>
      </c>
      <c r="AE25" s="10">
        <f>+'A) Base RI'!Y25</f>
        <v>0</v>
      </c>
      <c r="AF25" s="10">
        <f>+'A) Base RI'!Z25</f>
        <v>2000</v>
      </c>
      <c r="AG25" s="10">
        <f>+'A) Base RI'!AA25</f>
        <v>39724.85</v>
      </c>
      <c r="AH25" s="10">
        <f>+'A) Base RI'!AB25</f>
        <v>10721.3</v>
      </c>
      <c r="AI25" s="10">
        <f>+'A) Base RI'!AC25</f>
        <v>12764.6</v>
      </c>
      <c r="AJ25" s="10">
        <f>+'A) Base RI'!AD25</f>
        <v>0</v>
      </c>
      <c r="AK25" s="10">
        <f>+'A) Base RI'!AE25</f>
        <v>426.85</v>
      </c>
      <c r="AL25" s="10">
        <f>+'A) Base RI'!AF25</f>
        <v>0</v>
      </c>
      <c r="AM25" s="10">
        <f>+'A) Base RI'!AG25</f>
        <v>0</v>
      </c>
      <c r="AN25" s="10">
        <f>+'A) Base RI'!AH25</f>
        <v>7333.95</v>
      </c>
      <c r="AO25" s="10">
        <f>+'A) Base RI'!AI25</f>
        <v>0</v>
      </c>
      <c r="AP25" s="10">
        <f>+'A) Base RI'!AJ25</f>
        <v>0</v>
      </c>
      <c r="AQ25" s="10">
        <f>+'A) Base RI'!AK25</f>
        <v>0</v>
      </c>
      <c r="AR25" s="10">
        <f>'A) Base RI'!AN25</f>
        <v>301</v>
      </c>
    </row>
    <row r="26" spans="1:44" x14ac:dyDescent="0.25">
      <c r="A26" s="8">
        <f>'A) Base RI'!A26</f>
        <v>5425</v>
      </c>
      <c r="B26" s="34" t="str">
        <f>'A) Base RI'!B26</f>
        <v>Bière</v>
      </c>
      <c r="C26" s="10">
        <f>'A) Base RI'!C26+'A) Base RI'!D26</f>
        <v>2323837.77</v>
      </c>
      <c r="D26" s="10">
        <f>'A) Base RI'!AO26</f>
        <v>-45980.23</v>
      </c>
      <c r="E26" s="33">
        <f>'A) Base RI'!AP26</f>
        <v>0</v>
      </c>
      <c r="F26" s="33">
        <f>'A) Base RI'!AQ26</f>
        <v>-31.71</v>
      </c>
      <c r="G26" s="2">
        <f t="shared" si="0"/>
        <v>2277825.83</v>
      </c>
      <c r="H26" s="10">
        <f>+'A) Base RI'!E26</f>
        <v>0</v>
      </c>
      <c r="I26" s="10">
        <f>+'A) Base RI'!F26</f>
        <v>0</v>
      </c>
      <c r="J26" s="10">
        <f>+'A) Base RI'!G26+'A) Base RI'!H26</f>
        <v>155116.54999999999</v>
      </c>
      <c r="K26" s="10">
        <f>+'A) Base RI'!I26</f>
        <v>0</v>
      </c>
      <c r="L26" s="10">
        <f>+'A) Base RI'!J26</f>
        <v>159714.74</v>
      </c>
      <c r="M26" s="10">
        <f>+'A) Base RI'!K26</f>
        <v>11227.3</v>
      </c>
      <c r="N26" s="10">
        <f>+'A) Base RI'!Q26</f>
        <v>19967.150000000001</v>
      </c>
      <c r="O26" s="10">
        <f t="shared" si="1"/>
        <v>194842.41379310348</v>
      </c>
      <c r="P26" s="10">
        <f>+'A) Base RI'!L26</f>
        <v>113008.6</v>
      </c>
      <c r="Q26" s="36">
        <f>'A) Base RI'!AR26</f>
        <v>0.57999999999999996</v>
      </c>
      <c r="R26" s="2">
        <f t="shared" si="2"/>
        <v>2818693.9837931031</v>
      </c>
      <c r="S26" s="35">
        <f>+'A) Base RI'!AM26</f>
        <v>68</v>
      </c>
      <c r="T26" s="2">
        <f t="shared" si="3"/>
        <v>2612624.27</v>
      </c>
      <c r="U26" s="2">
        <f t="shared" si="4"/>
        <v>41451.382114604457</v>
      </c>
      <c r="V26" s="10">
        <f>+'A) Base RI'!O26</f>
        <v>59714.8</v>
      </c>
      <c r="W26" s="10">
        <f>+'A) Base RI'!P26</f>
        <v>62248.35</v>
      </c>
      <c r="X26" s="10">
        <f>+'A) Base RI'!R26</f>
        <v>20096.75</v>
      </c>
      <c r="Y26" s="2">
        <f t="shared" si="5"/>
        <v>142059.9</v>
      </c>
      <c r="Z26" s="10">
        <f>+'A) Base RI'!N26</f>
        <v>22240.45</v>
      </c>
      <c r="AA26" s="10">
        <f>+'A) Base RI'!S26+'A) Base RI'!T26</f>
        <v>4896.8500000000004</v>
      </c>
      <c r="AB26" s="10">
        <f>+'A) Base RI'!U26</f>
        <v>13900</v>
      </c>
      <c r="AC26" s="10">
        <f>+'A) Base RI'!V26</f>
        <v>9751.65</v>
      </c>
      <c r="AD26" s="10">
        <f>+'A) Base RI'!W26</f>
        <v>0</v>
      </c>
      <c r="AE26" s="10">
        <f>+'A) Base RI'!Y26</f>
        <v>16425</v>
      </c>
      <c r="AF26" s="10">
        <f>+'A) Base RI'!Z26</f>
        <v>0</v>
      </c>
      <c r="AG26" s="10">
        <f>+'A) Base RI'!AA26</f>
        <v>179679.65</v>
      </c>
      <c r="AH26" s="10">
        <f>+'A) Base RI'!AB26</f>
        <v>0</v>
      </c>
      <c r="AI26" s="10">
        <f>+'A) Base RI'!AC26</f>
        <v>168819.86</v>
      </c>
      <c r="AJ26" s="10">
        <f>+'A) Base RI'!AD26</f>
        <v>10210</v>
      </c>
      <c r="AK26" s="10">
        <f>+'A) Base RI'!AE26</f>
        <v>0</v>
      </c>
      <c r="AL26" s="10">
        <f>+'A) Base RI'!AF26</f>
        <v>0</v>
      </c>
      <c r="AM26" s="10">
        <f>+'A) Base RI'!AG26</f>
        <v>0</v>
      </c>
      <c r="AN26" s="10">
        <f>+'A) Base RI'!AH26</f>
        <v>57764.4</v>
      </c>
      <c r="AO26" s="10">
        <f>+'A) Base RI'!AI26</f>
        <v>0</v>
      </c>
      <c r="AP26" s="10">
        <f>+'A) Base RI'!AJ26</f>
        <v>0</v>
      </c>
      <c r="AQ26" s="10">
        <f>+'A) Base RI'!AK26</f>
        <v>0</v>
      </c>
      <c r="AR26" s="10">
        <f>'A) Base RI'!AN26</f>
        <v>1577</v>
      </c>
    </row>
    <row r="27" spans="1:44" x14ac:dyDescent="0.25">
      <c r="A27" s="8">
        <f>'A) Base RI'!A27</f>
        <v>5426</v>
      </c>
      <c r="B27" s="34" t="str">
        <f>'A) Base RI'!B27</f>
        <v>Bougy-Villars</v>
      </c>
      <c r="C27" s="10">
        <f>'A) Base RI'!C27+'A) Base RI'!D27</f>
        <v>2247502.6100000003</v>
      </c>
      <c r="D27" s="10">
        <f>'A) Base RI'!AO27</f>
        <v>-17717.45</v>
      </c>
      <c r="E27" s="33">
        <f>'A) Base RI'!AP27</f>
        <v>0</v>
      </c>
      <c r="F27" s="33">
        <f>'A) Base RI'!AQ27</f>
        <v>-1505.5</v>
      </c>
      <c r="G27" s="2">
        <f t="shared" si="0"/>
        <v>2228279.66</v>
      </c>
      <c r="H27" s="10">
        <f>+'A) Base RI'!E27</f>
        <v>0</v>
      </c>
      <c r="I27" s="10">
        <f>+'A) Base RI'!F27</f>
        <v>0</v>
      </c>
      <c r="J27" s="10">
        <f>+'A) Base RI'!G27+'A) Base RI'!H27</f>
        <v>27305.599999999999</v>
      </c>
      <c r="K27" s="10">
        <f>+'A) Base RI'!I27</f>
        <v>660903</v>
      </c>
      <c r="L27" s="10">
        <f>+'A) Base RI'!J27</f>
        <v>7700.55</v>
      </c>
      <c r="M27" s="10">
        <f>+'A) Base RI'!K27</f>
        <v>6577.3</v>
      </c>
      <c r="N27" s="10">
        <f>+'A) Base RI'!Q27</f>
        <v>0</v>
      </c>
      <c r="O27" s="10">
        <f t="shared" si="1"/>
        <v>232865.16666666669</v>
      </c>
      <c r="P27" s="10">
        <f>+'A) Base RI'!L27</f>
        <v>279438.2</v>
      </c>
      <c r="Q27" s="36">
        <f>'A) Base RI'!AR27</f>
        <v>1.2</v>
      </c>
      <c r="R27" s="2">
        <f t="shared" si="2"/>
        <v>3163631.2766666664</v>
      </c>
      <c r="S27" s="35">
        <f>+'A) Base RI'!AM27</f>
        <v>66</v>
      </c>
      <c r="T27" s="2">
        <f t="shared" si="3"/>
        <v>2924188.81</v>
      </c>
      <c r="U27" s="2">
        <f t="shared" si="4"/>
        <v>47933.807222222218</v>
      </c>
      <c r="V27" s="10">
        <f>+'A) Base RI'!O27</f>
        <v>337043.7</v>
      </c>
      <c r="W27" s="10">
        <f>+'A) Base RI'!P27</f>
        <v>325800.65000000002</v>
      </c>
      <c r="X27" s="10">
        <f>+'A) Base RI'!R27</f>
        <v>164649.95000000001</v>
      </c>
      <c r="Y27" s="2">
        <f t="shared" si="5"/>
        <v>827494.3</v>
      </c>
      <c r="Z27" s="10">
        <f>+'A) Base RI'!N27</f>
        <v>15905.95</v>
      </c>
      <c r="AA27" s="10">
        <f>+'A) Base RI'!S27+'A) Base RI'!T27</f>
        <v>700</v>
      </c>
      <c r="AB27" s="10">
        <f>+'A) Base RI'!U27</f>
        <v>5120</v>
      </c>
      <c r="AC27" s="10">
        <f>+'A) Base RI'!V27</f>
        <v>39774.050000000003</v>
      </c>
      <c r="AD27" s="10">
        <f>+'A) Base RI'!W27</f>
        <v>0</v>
      </c>
      <c r="AE27" s="10">
        <f>+'A) Base RI'!Y27</f>
        <v>30180.75</v>
      </c>
      <c r="AF27" s="10">
        <f>+'A) Base RI'!Z27</f>
        <v>0</v>
      </c>
      <c r="AG27" s="10">
        <f>+'A) Base RI'!AA27</f>
        <v>78524</v>
      </c>
      <c r="AH27" s="10">
        <f>+'A) Base RI'!AB27</f>
        <v>0</v>
      </c>
      <c r="AI27" s="10">
        <f>+'A) Base RI'!AC27</f>
        <v>43450</v>
      </c>
      <c r="AJ27" s="10">
        <f>+'A) Base RI'!AD27</f>
        <v>19232.400000000001</v>
      </c>
      <c r="AK27" s="10">
        <f>+'A) Base RI'!AE27</f>
        <v>0</v>
      </c>
      <c r="AL27" s="10">
        <f>+'A) Base RI'!AF27</f>
        <v>0</v>
      </c>
      <c r="AM27" s="10">
        <f>+'A) Base RI'!AG27</f>
        <v>0</v>
      </c>
      <c r="AN27" s="10">
        <f>+'A) Base RI'!AH27</f>
        <v>0</v>
      </c>
      <c r="AO27" s="10">
        <f>+'A) Base RI'!AI27</f>
        <v>0</v>
      </c>
      <c r="AP27" s="10">
        <f>+'A) Base RI'!AJ27</f>
        <v>0</v>
      </c>
      <c r="AQ27" s="10">
        <f>+'A) Base RI'!AK27</f>
        <v>0</v>
      </c>
      <c r="AR27" s="10">
        <f>'A) Base RI'!AN27</f>
        <v>483</v>
      </c>
    </row>
    <row r="28" spans="1:44" x14ac:dyDescent="0.25">
      <c r="A28" s="8">
        <f>'A) Base RI'!A28</f>
        <v>5427</v>
      </c>
      <c r="B28" s="34" t="str">
        <f>'A) Base RI'!B28</f>
        <v>Féchy</v>
      </c>
      <c r="C28" s="10">
        <f>'A) Base RI'!C28+'A) Base RI'!D28</f>
        <v>4247717.84</v>
      </c>
      <c r="D28" s="10">
        <f>'A) Base RI'!AO28</f>
        <v>-1283.01</v>
      </c>
      <c r="E28" s="33">
        <f>'A) Base RI'!AP28</f>
        <v>0</v>
      </c>
      <c r="F28" s="33">
        <f>'A) Base RI'!AQ28</f>
        <v>0</v>
      </c>
      <c r="G28" s="2">
        <f t="shared" si="0"/>
        <v>4246434.83</v>
      </c>
      <c r="H28" s="10">
        <f>+'A) Base RI'!E28</f>
        <v>0</v>
      </c>
      <c r="I28" s="10">
        <f>+'A) Base RI'!F28</f>
        <v>0</v>
      </c>
      <c r="J28" s="10">
        <f>+'A) Base RI'!G28+'A) Base RI'!H28</f>
        <v>72998.55</v>
      </c>
      <c r="K28" s="10">
        <f>+'A) Base RI'!I28</f>
        <v>358463.1</v>
      </c>
      <c r="L28" s="10">
        <f>+'A) Base RI'!J28</f>
        <v>88309.94</v>
      </c>
      <c r="M28" s="10">
        <f>+'A) Base RI'!K28</f>
        <v>2764.7</v>
      </c>
      <c r="N28" s="10">
        <f>+'A) Base RI'!Q28</f>
        <v>0</v>
      </c>
      <c r="O28" s="10">
        <f t="shared" si="1"/>
        <v>335693.69230769231</v>
      </c>
      <c r="P28" s="10">
        <f>+'A) Base RI'!L28</f>
        <v>436401.8</v>
      </c>
      <c r="Q28" s="36">
        <f>'A) Base RI'!AR28</f>
        <v>1.3</v>
      </c>
      <c r="R28" s="2">
        <f t="shared" si="2"/>
        <v>5104664.8123076921</v>
      </c>
      <c r="S28" s="35">
        <f>+'A) Base RI'!AM28</f>
        <v>64</v>
      </c>
      <c r="T28" s="2">
        <f t="shared" si="3"/>
        <v>4766206.42</v>
      </c>
      <c r="U28" s="2">
        <f t="shared" si="4"/>
        <v>79760.38769230769</v>
      </c>
      <c r="V28" s="10">
        <f>+'A) Base RI'!O28</f>
        <v>16532.8</v>
      </c>
      <c r="W28" s="10">
        <f>+'A) Base RI'!P28</f>
        <v>245218.45</v>
      </c>
      <c r="X28" s="10">
        <f>+'A) Base RI'!R28</f>
        <v>220813.8</v>
      </c>
      <c r="Y28" s="2">
        <f t="shared" si="5"/>
        <v>482565.05</v>
      </c>
      <c r="Z28" s="10">
        <f>+'A) Base RI'!N28</f>
        <v>11699.5</v>
      </c>
      <c r="AA28" s="10">
        <f>+'A) Base RI'!S28+'A) Base RI'!T28</f>
        <v>514</v>
      </c>
      <c r="AB28" s="10">
        <f>+'A) Base RI'!U28</f>
        <v>4860</v>
      </c>
      <c r="AC28" s="10">
        <f>+'A) Base RI'!V28</f>
        <v>0</v>
      </c>
      <c r="AD28" s="10">
        <f>+'A) Base RI'!W28</f>
        <v>0</v>
      </c>
      <c r="AE28" s="10">
        <f>+'A) Base RI'!Y28</f>
        <v>16175.65</v>
      </c>
      <c r="AF28" s="10">
        <f>+'A) Base RI'!Z28</f>
        <v>0</v>
      </c>
      <c r="AG28" s="10">
        <f>+'A) Base RI'!AA28</f>
        <v>265562.59999999998</v>
      </c>
      <c r="AH28" s="10">
        <f>+'A) Base RI'!AB28</f>
        <v>0</v>
      </c>
      <c r="AI28" s="10">
        <f>+'A) Base RI'!AC28</f>
        <v>101536.05</v>
      </c>
      <c r="AJ28" s="10">
        <f>+'A) Base RI'!AD28</f>
        <v>0</v>
      </c>
      <c r="AK28" s="10">
        <f>+'A) Base RI'!AE28</f>
        <v>0</v>
      </c>
      <c r="AL28" s="10">
        <f>+'A) Base RI'!AF28</f>
        <v>0</v>
      </c>
      <c r="AM28" s="10">
        <f>+'A) Base RI'!AG28</f>
        <v>0</v>
      </c>
      <c r="AN28" s="10">
        <f>+'A) Base RI'!AH28</f>
        <v>0</v>
      </c>
      <c r="AO28" s="10">
        <f>+'A) Base RI'!AI28</f>
        <v>0</v>
      </c>
      <c r="AP28" s="10">
        <f>+'A) Base RI'!AJ28</f>
        <v>0</v>
      </c>
      <c r="AQ28" s="10">
        <f>+'A) Base RI'!AK28</f>
        <v>0</v>
      </c>
      <c r="AR28" s="10">
        <f>'A) Base RI'!AN28</f>
        <v>895</v>
      </c>
    </row>
    <row r="29" spans="1:44" x14ac:dyDescent="0.25">
      <c r="A29" s="8">
        <f>'A) Base RI'!A29</f>
        <v>5428</v>
      </c>
      <c r="B29" s="34" t="str">
        <f>'A) Base RI'!B29</f>
        <v>Gimel</v>
      </c>
      <c r="C29" s="10">
        <f>'A) Base RI'!C29+'A) Base RI'!D29</f>
        <v>3777244.11</v>
      </c>
      <c r="D29" s="10">
        <f>'A) Base RI'!AO29</f>
        <v>-56595.8</v>
      </c>
      <c r="E29" s="33">
        <f>'A) Base RI'!AP29</f>
        <v>0</v>
      </c>
      <c r="F29" s="33">
        <f>'A) Base RI'!AQ29</f>
        <v>-67.41</v>
      </c>
      <c r="G29" s="2">
        <f t="shared" si="0"/>
        <v>3720580.9</v>
      </c>
      <c r="H29" s="10">
        <f>+'A) Base RI'!E29</f>
        <v>0</v>
      </c>
      <c r="I29" s="10">
        <f>+'A) Base RI'!F29</f>
        <v>0</v>
      </c>
      <c r="J29" s="10">
        <f>+'A) Base RI'!G29+'A) Base RI'!H29</f>
        <v>179431.09999999998</v>
      </c>
      <c r="K29" s="10">
        <f>+'A) Base RI'!I29</f>
        <v>42710.2</v>
      </c>
      <c r="L29" s="10">
        <f>+'A) Base RI'!J29</f>
        <v>199789.47</v>
      </c>
      <c r="M29" s="10">
        <f>+'A) Base RI'!K29</f>
        <v>13021.65</v>
      </c>
      <c r="N29" s="10">
        <f>+'A) Base RI'!Q29</f>
        <v>7605.41</v>
      </c>
      <c r="O29" s="10">
        <f t="shared" si="1"/>
        <v>319528.25000000006</v>
      </c>
      <c r="P29" s="10">
        <f>+'A) Base RI'!L29</f>
        <v>383433.9</v>
      </c>
      <c r="Q29" s="36">
        <f>'A) Base RI'!AR29</f>
        <v>1.2</v>
      </c>
      <c r="R29" s="2">
        <f t="shared" si="2"/>
        <v>4482666.9800000004</v>
      </c>
      <c r="S29" s="35">
        <f>+'A) Base RI'!AM29</f>
        <v>71.5</v>
      </c>
      <c r="T29" s="2">
        <f t="shared" si="3"/>
        <v>4150117.0800000005</v>
      </c>
      <c r="U29" s="2">
        <f t="shared" si="4"/>
        <v>62694.643076923086</v>
      </c>
      <c r="V29" s="10">
        <f>+'A) Base RI'!O29</f>
        <v>336921.1</v>
      </c>
      <c r="W29" s="10">
        <f>+'A) Base RI'!P29</f>
        <v>240264.8</v>
      </c>
      <c r="X29" s="10">
        <f>+'A) Base RI'!R29</f>
        <v>154451</v>
      </c>
      <c r="Y29" s="2">
        <f t="shared" si="5"/>
        <v>731636.89999999991</v>
      </c>
      <c r="Z29" s="10">
        <f>+'A) Base RI'!N29</f>
        <v>186981.25</v>
      </c>
      <c r="AA29" s="10">
        <f>+'A) Base RI'!S29+'A) Base RI'!T29</f>
        <v>6509.25</v>
      </c>
      <c r="AB29" s="10">
        <f>+'A) Base RI'!U29</f>
        <v>9150</v>
      </c>
      <c r="AC29" s="10">
        <f>+'A) Base RI'!V29</f>
        <v>0</v>
      </c>
      <c r="AD29" s="10">
        <f>+'A) Base RI'!W29</f>
        <v>0</v>
      </c>
      <c r="AE29" s="10">
        <f>+'A) Base RI'!Y29</f>
        <v>54728.15</v>
      </c>
      <c r="AF29" s="10">
        <f>+'A) Base RI'!Z29</f>
        <v>51569.3</v>
      </c>
      <c r="AG29" s="10">
        <f>+'A) Base RI'!AA29</f>
        <v>264384.21000000002</v>
      </c>
      <c r="AH29" s="10">
        <f>+'A) Base RI'!AB29</f>
        <v>0</v>
      </c>
      <c r="AI29" s="10">
        <f>+'A) Base RI'!AC29</f>
        <v>196724.02</v>
      </c>
      <c r="AJ29" s="10">
        <f>+'A) Base RI'!AD29</f>
        <v>54728.15</v>
      </c>
      <c r="AK29" s="10">
        <f>+'A) Base RI'!AE29</f>
        <v>51569.3</v>
      </c>
      <c r="AL29" s="10">
        <f>+'A) Base RI'!AF29</f>
        <v>0</v>
      </c>
      <c r="AM29" s="10">
        <f>+'A) Base RI'!AG29</f>
        <v>0</v>
      </c>
      <c r="AN29" s="10">
        <f>+'A) Base RI'!AH29</f>
        <v>49322.1</v>
      </c>
      <c r="AO29" s="10">
        <f>+'A) Base RI'!AI29</f>
        <v>0</v>
      </c>
      <c r="AP29" s="10">
        <f>+'A) Base RI'!AJ29</f>
        <v>0</v>
      </c>
      <c r="AQ29" s="10">
        <f>+'A) Base RI'!AK29</f>
        <v>0</v>
      </c>
      <c r="AR29" s="10">
        <f>'A) Base RI'!AN29</f>
        <v>2016</v>
      </c>
    </row>
    <row r="30" spans="1:44" x14ac:dyDescent="0.25">
      <c r="A30" s="8">
        <f>'A) Base RI'!A30</f>
        <v>5429</v>
      </c>
      <c r="B30" s="34" t="str">
        <f>'A) Base RI'!B30</f>
        <v>Longirod</v>
      </c>
      <c r="C30" s="10">
        <f>'A) Base RI'!C30+'A) Base RI'!D30</f>
        <v>1093427.3999999999</v>
      </c>
      <c r="D30" s="10">
        <f>'A) Base RI'!AO30</f>
        <v>-9605.93</v>
      </c>
      <c r="E30" s="33">
        <f>'A) Base RI'!AP30</f>
        <v>0</v>
      </c>
      <c r="F30" s="33">
        <f>'A) Base RI'!AQ30</f>
        <v>0</v>
      </c>
      <c r="G30" s="2">
        <f t="shared" si="0"/>
        <v>1083821.47</v>
      </c>
      <c r="H30" s="10">
        <f>+'A) Base RI'!E30</f>
        <v>0</v>
      </c>
      <c r="I30" s="10">
        <f>+'A) Base RI'!F30</f>
        <v>0</v>
      </c>
      <c r="J30" s="10">
        <f>+'A) Base RI'!G30+'A) Base RI'!H30</f>
        <v>7924.4500000000007</v>
      </c>
      <c r="K30" s="10">
        <f>+'A) Base RI'!I30</f>
        <v>0</v>
      </c>
      <c r="L30" s="10">
        <f>+'A) Base RI'!J30</f>
        <v>21013.1</v>
      </c>
      <c r="M30" s="10">
        <f>+'A) Base RI'!K30</f>
        <v>671.4</v>
      </c>
      <c r="N30" s="10">
        <f>+'A) Base RI'!Q30</f>
        <v>0</v>
      </c>
      <c r="O30" s="10">
        <f t="shared" si="1"/>
        <v>93069.7</v>
      </c>
      <c r="P30" s="10">
        <f>+'A) Base RI'!L30</f>
        <v>93069.7</v>
      </c>
      <c r="Q30" s="36">
        <f>'A) Base RI'!AR30</f>
        <v>1</v>
      </c>
      <c r="R30" s="2">
        <f t="shared" si="2"/>
        <v>1206500.1199999999</v>
      </c>
      <c r="S30" s="35">
        <f>+'A) Base RI'!AM30</f>
        <v>81</v>
      </c>
      <c r="T30" s="2">
        <f t="shared" si="3"/>
        <v>1112759.02</v>
      </c>
      <c r="U30" s="2">
        <f t="shared" si="4"/>
        <v>14895.063209876542</v>
      </c>
      <c r="V30" s="10">
        <f>+'A) Base RI'!O30</f>
        <v>0</v>
      </c>
      <c r="W30" s="10">
        <f>+'A) Base RI'!P30</f>
        <v>62517.95</v>
      </c>
      <c r="X30" s="10">
        <f>+'A) Base RI'!R30</f>
        <v>20559.349999999999</v>
      </c>
      <c r="Y30" s="2">
        <f t="shared" si="5"/>
        <v>83077.299999999988</v>
      </c>
      <c r="Z30" s="10">
        <f>+'A) Base RI'!N30</f>
        <v>0</v>
      </c>
      <c r="AA30" s="10">
        <f>+'A) Base RI'!S30+'A) Base RI'!T30</f>
        <v>0</v>
      </c>
      <c r="AB30" s="10">
        <f>+'A) Base RI'!U30</f>
        <v>4680</v>
      </c>
      <c r="AC30" s="10">
        <f>+'A) Base RI'!V30</f>
        <v>0</v>
      </c>
      <c r="AD30" s="10">
        <f>+'A) Base RI'!W30</f>
        <v>0</v>
      </c>
      <c r="AE30" s="10">
        <f>+'A) Base RI'!Y30</f>
        <v>51025</v>
      </c>
      <c r="AF30" s="10">
        <f>+'A) Base RI'!Z30</f>
        <v>0</v>
      </c>
      <c r="AG30" s="10">
        <f>+'A) Base RI'!AA30</f>
        <v>38934</v>
      </c>
      <c r="AH30" s="10">
        <f>+'A) Base RI'!AB30</f>
        <v>0</v>
      </c>
      <c r="AI30" s="10">
        <f>+'A) Base RI'!AC30</f>
        <v>44735</v>
      </c>
      <c r="AJ30" s="10">
        <f>+'A) Base RI'!AD30</f>
        <v>51025</v>
      </c>
      <c r="AK30" s="10">
        <f>+'A) Base RI'!AE30</f>
        <v>0</v>
      </c>
      <c r="AL30" s="10">
        <f>+'A) Base RI'!AF30</f>
        <v>0</v>
      </c>
      <c r="AM30" s="10">
        <f>+'A) Base RI'!AG30</f>
        <v>4162.6000000000004</v>
      </c>
      <c r="AN30" s="10">
        <f>+'A) Base RI'!AH30</f>
        <v>0</v>
      </c>
      <c r="AO30" s="10">
        <f>+'A) Base RI'!AI30</f>
        <v>0</v>
      </c>
      <c r="AP30" s="10">
        <f>+'A) Base RI'!AJ30</f>
        <v>0</v>
      </c>
      <c r="AQ30" s="10">
        <f>+'A) Base RI'!AK30</f>
        <v>0</v>
      </c>
      <c r="AR30" s="10">
        <f>'A) Base RI'!AN30</f>
        <v>469</v>
      </c>
    </row>
    <row r="31" spans="1:44" x14ac:dyDescent="0.25">
      <c r="A31" s="8">
        <f>'A) Base RI'!A31</f>
        <v>5430</v>
      </c>
      <c r="B31" s="34" t="str">
        <f>'A) Base RI'!B31</f>
        <v>Marchissy</v>
      </c>
      <c r="C31" s="10">
        <f>'A) Base RI'!C31+'A) Base RI'!D31</f>
        <v>990904.24</v>
      </c>
      <c r="D31" s="10">
        <f>'A) Base RI'!AO31</f>
        <v>-5111.91</v>
      </c>
      <c r="E31" s="33">
        <f>'A) Base RI'!AP31</f>
        <v>0</v>
      </c>
      <c r="F31" s="33">
        <f>'A) Base RI'!AQ31</f>
        <v>-85.02</v>
      </c>
      <c r="G31" s="2">
        <f t="shared" si="0"/>
        <v>985707.30999999994</v>
      </c>
      <c r="H31" s="10">
        <f>+'A) Base RI'!E31</f>
        <v>0</v>
      </c>
      <c r="I31" s="10">
        <f>+'A) Base RI'!F31</f>
        <v>0</v>
      </c>
      <c r="J31" s="10">
        <f>+'A) Base RI'!G31+'A) Base RI'!H31</f>
        <v>3988.05</v>
      </c>
      <c r="K31" s="10">
        <f>+'A) Base RI'!I31</f>
        <v>0</v>
      </c>
      <c r="L31" s="10">
        <f>+'A) Base RI'!J31</f>
        <v>2446.94</v>
      </c>
      <c r="M31" s="10">
        <f>+'A) Base RI'!K31</f>
        <v>1302.5</v>
      </c>
      <c r="N31" s="10">
        <f>+'A) Base RI'!Q31</f>
        <v>3091.35</v>
      </c>
      <c r="O31" s="10">
        <f t="shared" si="1"/>
        <v>79770.05</v>
      </c>
      <c r="P31" s="10">
        <f>+'A) Base RI'!L31</f>
        <v>79770.05</v>
      </c>
      <c r="Q31" s="36">
        <f>'A) Base RI'!AR31</f>
        <v>1</v>
      </c>
      <c r="R31" s="2">
        <f t="shared" si="2"/>
        <v>1076306.2</v>
      </c>
      <c r="S31" s="35">
        <f>+'A) Base RI'!AM31</f>
        <v>79</v>
      </c>
      <c r="T31" s="2">
        <f t="shared" si="3"/>
        <v>995233.64999999991</v>
      </c>
      <c r="U31" s="2">
        <f t="shared" si="4"/>
        <v>13624.129113924049</v>
      </c>
      <c r="V31" s="10">
        <f>+'A) Base RI'!O31</f>
        <v>0</v>
      </c>
      <c r="W31" s="10">
        <f>+'A) Base RI'!P31</f>
        <v>56643.45</v>
      </c>
      <c r="X31" s="10">
        <f>+'A) Base RI'!R31</f>
        <v>42203.199999999997</v>
      </c>
      <c r="Y31" s="2">
        <f t="shared" si="5"/>
        <v>98846.65</v>
      </c>
      <c r="Z31" s="10">
        <f>+'A) Base RI'!N31</f>
        <v>8851.6</v>
      </c>
      <c r="AA31" s="10">
        <f>+'A) Base RI'!S31+'A) Base RI'!T31</f>
        <v>0</v>
      </c>
      <c r="AB31" s="10">
        <f>+'A) Base RI'!U31</f>
        <v>2680</v>
      </c>
      <c r="AC31" s="10">
        <f>+'A) Base RI'!V31</f>
        <v>0</v>
      </c>
      <c r="AD31" s="10">
        <f>+'A) Base RI'!W31</f>
        <v>0</v>
      </c>
      <c r="AE31" s="10">
        <f>+'A) Base RI'!Y31</f>
        <v>1375.85</v>
      </c>
      <c r="AF31" s="10">
        <f>+'A) Base RI'!Z31</f>
        <v>0</v>
      </c>
      <c r="AG31" s="10">
        <f>+'A) Base RI'!AA31</f>
        <v>47687.95</v>
      </c>
      <c r="AH31" s="10">
        <f>+'A) Base RI'!AB31</f>
        <v>0</v>
      </c>
      <c r="AI31" s="10">
        <f>+'A) Base RI'!AC31</f>
        <v>38940.949999999997</v>
      </c>
      <c r="AJ31" s="10">
        <f>+'A) Base RI'!AD31</f>
        <v>4268.8</v>
      </c>
      <c r="AK31" s="10">
        <f>+'A) Base RI'!AE31</f>
        <v>0</v>
      </c>
      <c r="AL31" s="10">
        <f>+'A) Base RI'!AF31</f>
        <v>0</v>
      </c>
      <c r="AM31" s="10">
        <f>+'A) Base RI'!AG31</f>
        <v>79.599999999999994</v>
      </c>
      <c r="AN31" s="10">
        <f>+'A) Base RI'!AH31</f>
        <v>0</v>
      </c>
      <c r="AO31" s="10">
        <f>+'A) Base RI'!AI31</f>
        <v>0</v>
      </c>
      <c r="AP31" s="10">
        <f>+'A) Base RI'!AJ31</f>
        <v>0</v>
      </c>
      <c r="AQ31" s="10">
        <f>+'A) Base RI'!AK31</f>
        <v>0</v>
      </c>
      <c r="AR31" s="10">
        <f>'A) Base RI'!AN31</f>
        <v>455</v>
      </c>
    </row>
    <row r="32" spans="1:44" x14ac:dyDescent="0.25">
      <c r="A32" s="8">
        <f>'A) Base RI'!A32</f>
        <v>5431</v>
      </c>
      <c r="B32" s="34" t="str">
        <f>'A) Base RI'!B32</f>
        <v>Mollens</v>
      </c>
      <c r="C32" s="10">
        <f>'A) Base RI'!C32+'A) Base RI'!D32</f>
        <v>601770.67000000004</v>
      </c>
      <c r="D32" s="10">
        <f>'A) Base RI'!AO32</f>
        <v>-272.85000000000002</v>
      </c>
      <c r="E32" s="33">
        <f>'A) Base RI'!AP32</f>
        <v>0</v>
      </c>
      <c r="F32" s="33">
        <f>'A) Base RI'!AQ32</f>
        <v>-303.58</v>
      </c>
      <c r="G32" s="2">
        <f t="shared" si="0"/>
        <v>601194.24000000011</v>
      </c>
      <c r="H32" s="10">
        <f>+'A) Base RI'!E32</f>
        <v>0</v>
      </c>
      <c r="I32" s="10">
        <f>+'A) Base RI'!F32</f>
        <v>0</v>
      </c>
      <c r="J32" s="10">
        <f>+'A) Base RI'!G32+'A) Base RI'!H32</f>
        <v>969.2</v>
      </c>
      <c r="K32" s="10">
        <f>+'A) Base RI'!I32</f>
        <v>0</v>
      </c>
      <c r="L32" s="10">
        <f>+'A) Base RI'!J32</f>
        <v>10309.379999999999</v>
      </c>
      <c r="M32" s="10">
        <f>+'A) Base RI'!K32</f>
        <v>300.85000000000002</v>
      </c>
      <c r="N32" s="10">
        <f>+'A) Base RI'!Q32</f>
        <v>3314.88</v>
      </c>
      <c r="O32" s="10">
        <f t="shared" si="1"/>
        <v>48132.800000000003</v>
      </c>
      <c r="P32" s="10">
        <f>+'A) Base RI'!L32</f>
        <v>48132.800000000003</v>
      </c>
      <c r="Q32" s="36">
        <f>'A) Base RI'!AR32</f>
        <v>1</v>
      </c>
      <c r="R32" s="2">
        <f t="shared" si="2"/>
        <v>664221.35000000009</v>
      </c>
      <c r="S32" s="35">
        <f>+'A) Base RI'!AM32</f>
        <v>74</v>
      </c>
      <c r="T32" s="2">
        <f t="shared" si="3"/>
        <v>615787.70000000007</v>
      </c>
      <c r="U32" s="2">
        <f t="shared" si="4"/>
        <v>8975.9641891891897</v>
      </c>
      <c r="V32" s="10">
        <f>+'A) Base RI'!O32</f>
        <v>1318</v>
      </c>
      <c r="W32" s="10">
        <f>+'A) Base RI'!P32</f>
        <v>15198.9</v>
      </c>
      <c r="X32" s="10">
        <f>+'A) Base RI'!R32</f>
        <v>12470.7</v>
      </c>
      <c r="Y32" s="2">
        <f t="shared" si="5"/>
        <v>28987.600000000002</v>
      </c>
      <c r="Z32" s="10">
        <f>+'A) Base RI'!N32</f>
        <v>0</v>
      </c>
      <c r="AA32" s="10">
        <f>+'A) Base RI'!S32+'A) Base RI'!T32</f>
        <v>460</v>
      </c>
      <c r="AB32" s="10">
        <f>+'A) Base RI'!U32</f>
        <v>2075</v>
      </c>
      <c r="AC32" s="10">
        <f>+'A) Base RI'!V32</f>
        <v>0</v>
      </c>
      <c r="AD32" s="10">
        <f>+'A) Base RI'!W32</f>
        <v>0</v>
      </c>
      <c r="AE32" s="10">
        <f>+'A) Base RI'!Y32</f>
        <v>2860.25</v>
      </c>
      <c r="AF32" s="10">
        <f>+'A) Base RI'!Z32</f>
        <v>0</v>
      </c>
      <c r="AG32" s="10">
        <f>+'A) Base RI'!AA32</f>
        <v>94575</v>
      </c>
      <c r="AH32" s="10">
        <f>+'A) Base RI'!AB32</f>
        <v>0</v>
      </c>
      <c r="AI32" s="10">
        <f>+'A) Base RI'!AC32</f>
        <v>16672.849999999999</v>
      </c>
      <c r="AJ32" s="10">
        <f>+'A) Base RI'!AD32</f>
        <v>2860.25</v>
      </c>
      <c r="AK32" s="10">
        <f>+'A) Base RI'!AE32</f>
        <v>0</v>
      </c>
      <c r="AL32" s="10">
        <f>+'A) Base RI'!AF32</f>
        <v>0</v>
      </c>
      <c r="AM32" s="10">
        <f>+'A) Base RI'!AG32</f>
        <v>0</v>
      </c>
      <c r="AN32" s="10">
        <f>+'A) Base RI'!AH32</f>
        <v>0</v>
      </c>
      <c r="AO32" s="10">
        <f>+'A) Base RI'!AI32</f>
        <v>0</v>
      </c>
      <c r="AP32" s="10">
        <f>+'A) Base RI'!AJ32</f>
        <v>0</v>
      </c>
      <c r="AQ32" s="10">
        <f>+'A) Base RI'!AK32</f>
        <v>0</v>
      </c>
      <c r="AR32" s="10">
        <f>'A) Base RI'!AN32</f>
        <v>301</v>
      </c>
    </row>
    <row r="33" spans="1:44" x14ac:dyDescent="0.25">
      <c r="A33" s="8">
        <f>'A) Base RI'!A33</f>
        <v>5432</v>
      </c>
      <c r="B33" s="34" t="str">
        <f>'A) Base RI'!B33</f>
        <v>Montherod</v>
      </c>
      <c r="C33" s="10">
        <f>'A) Base RI'!C33+'A) Base RI'!D33</f>
        <v>1221762.96</v>
      </c>
      <c r="D33" s="10">
        <f>'A) Base RI'!AO33</f>
        <v>-11123.61</v>
      </c>
      <c r="E33" s="33">
        <f>'A) Base RI'!AP33</f>
        <v>0</v>
      </c>
      <c r="F33" s="33">
        <f>'A) Base RI'!AQ33</f>
        <v>-59.86</v>
      </c>
      <c r="G33" s="2">
        <f t="shared" si="0"/>
        <v>1210579.4899999998</v>
      </c>
      <c r="H33" s="10">
        <f>+'A) Base RI'!E33</f>
        <v>0</v>
      </c>
      <c r="I33" s="10">
        <f>+'A) Base RI'!F33</f>
        <v>0</v>
      </c>
      <c r="J33" s="10">
        <f>+'A) Base RI'!G33+'A) Base RI'!H33</f>
        <v>34984.75</v>
      </c>
      <c r="K33" s="10">
        <f>+'A) Base RI'!I33</f>
        <v>0</v>
      </c>
      <c r="L33" s="10">
        <f>+'A) Base RI'!J33</f>
        <v>61747.09</v>
      </c>
      <c r="M33" s="10">
        <f>+'A) Base RI'!K33</f>
        <v>5106.8</v>
      </c>
      <c r="N33" s="10">
        <f>+'A) Base RI'!Q33</f>
        <v>391.87</v>
      </c>
      <c r="O33" s="10">
        <f t="shared" si="1"/>
        <v>92731.4</v>
      </c>
      <c r="P33" s="10">
        <f>+'A) Base RI'!L33</f>
        <v>92731.4</v>
      </c>
      <c r="Q33" s="36">
        <f>'A) Base RI'!AR33</f>
        <v>1</v>
      </c>
      <c r="R33" s="2">
        <f t="shared" si="2"/>
        <v>1405541.4</v>
      </c>
      <c r="S33" s="35">
        <f>+'A) Base RI'!AM33</f>
        <v>78</v>
      </c>
      <c r="T33" s="2">
        <f t="shared" si="3"/>
        <v>1307703.2</v>
      </c>
      <c r="U33" s="2">
        <f t="shared" si="4"/>
        <v>18019.761538461538</v>
      </c>
      <c r="V33" s="10">
        <f>+'A) Base RI'!O33</f>
        <v>0</v>
      </c>
      <c r="W33" s="10">
        <f>+'A) Base RI'!P33</f>
        <v>51422.55</v>
      </c>
      <c r="X33" s="10">
        <f>+'A) Base RI'!R33</f>
        <v>59758.35</v>
      </c>
      <c r="Y33" s="2">
        <f t="shared" si="5"/>
        <v>111180.9</v>
      </c>
      <c r="Z33" s="10">
        <f>+'A) Base RI'!N33</f>
        <v>15156.3</v>
      </c>
      <c r="AA33" s="10">
        <f>+'A) Base RI'!S33+'A) Base RI'!T33</f>
        <v>220</v>
      </c>
      <c r="AB33" s="10">
        <f>+'A) Base RI'!U33</f>
        <v>4745</v>
      </c>
      <c r="AC33" s="10">
        <f>+'A) Base RI'!V33</f>
        <v>0</v>
      </c>
      <c r="AD33" s="10">
        <f>+'A) Base RI'!W33</f>
        <v>0</v>
      </c>
      <c r="AE33" s="10">
        <f>+'A) Base RI'!Y33</f>
        <v>0</v>
      </c>
      <c r="AF33" s="10">
        <f>+'A) Base RI'!Z33</f>
        <v>1354.5</v>
      </c>
      <c r="AG33" s="10">
        <f>+'A) Base RI'!AA33</f>
        <v>38426.1</v>
      </c>
      <c r="AH33" s="10">
        <f>+'A) Base RI'!AB33</f>
        <v>0</v>
      </c>
      <c r="AI33" s="10">
        <f>+'A) Base RI'!AC33</f>
        <v>46990</v>
      </c>
      <c r="AJ33" s="10">
        <f>+'A) Base RI'!AD33</f>
        <v>0</v>
      </c>
      <c r="AK33" s="10">
        <f>+'A) Base RI'!AE33</f>
        <v>1354.5</v>
      </c>
      <c r="AL33" s="10">
        <f>+'A) Base RI'!AF33</f>
        <v>0</v>
      </c>
      <c r="AM33" s="10">
        <f>+'A) Base RI'!AG33</f>
        <v>0</v>
      </c>
      <c r="AN33" s="10">
        <f>+'A) Base RI'!AH33</f>
        <v>11253.2</v>
      </c>
      <c r="AO33" s="10">
        <f>+'A) Base RI'!AI33</f>
        <v>0</v>
      </c>
      <c r="AP33" s="10">
        <f>+'A) Base RI'!AJ33</f>
        <v>0</v>
      </c>
      <c r="AQ33" s="10">
        <f>+'A) Base RI'!AK33</f>
        <v>0</v>
      </c>
      <c r="AR33" s="10">
        <f>'A) Base RI'!AN33</f>
        <v>534</v>
      </c>
    </row>
    <row r="34" spans="1:44" x14ac:dyDescent="0.25">
      <c r="A34" s="8">
        <f>'A) Base RI'!A34</f>
        <v>5434</v>
      </c>
      <c r="B34" s="34" t="str">
        <f>'A) Base RI'!B34</f>
        <v>Saint-George</v>
      </c>
      <c r="C34" s="10">
        <f>'A) Base RI'!C34+'A) Base RI'!D34</f>
        <v>2445269.73</v>
      </c>
      <c r="D34" s="10">
        <f>'A) Base RI'!AO34</f>
        <v>-33279.21</v>
      </c>
      <c r="E34" s="33">
        <f>'A) Base RI'!AP34</f>
        <v>0</v>
      </c>
      <c r="F34" s="33">
        <f>'A) Base RI'!AQ34</f>
        <v>0</v>
      </c>
      <c r="G34" s="2">
        <f t="shared" si="0"/>
        <v>2411990.52</v>
      </c>
      <c r="H34" s="10">
        <f>+'A) Base RI'!E34</f>
        <v>0</v>
      </c>
      <c r="I34" s="10">
        <f>+'A) Base RI'!F34</f>
        <v>0</v>
      </c>
      <c r="J34" s="10">
        <f>+'A) Base RI'!G34+'A) Base RI'!H34</f>
        <v>25188.75</v>
      </c>
      <c r="K34" s="10">
        <f>+'A) Base RI'!I34</f>
        <v>0</v>
      </c>
      <c r="L34" s="10">
        <f>+'A) Base RI'!J34</f>
        <v>-7793.03</v>
      </c>
      <c r="M34" s="10">
        <f>+'A) Base RI'!K34</f>
        <v>1605.7</v>
      </c>
      <c r="N34" s="10">
        <f>+'A) Base RI'!Q34</f>
        <v>883.71</v>
      </c>
      <c r="O34" s="10">
        <f t="shared" si="1"/>
        <v>212425.8</v>
      </c>
      <c r="P34" s="10">
        <f>+'A) Base RI'!L34</f>
        <v>212425.8</v>
      </c>
      <c r="Q34" s="36">
        <f>'A) Base RI'!AR34</f>
        <v>1</v>
      </c>
      <c r="R34" s="2">
        <f t="shared" si="2"/>
        <v>2644301.4500000002</v>
      </c>
      <c r="S34" s="35">
        <f>+'A) Base RI'!AM34</f>
        <v>71</v>
      </c>
      <c r="T34" s="2">
        <f t="shared" si="3"/>
        <v>2430269.9500000002</v>
      </c>
      <c r="U34" s="2">
        <f t="shared" si="4"/>
        <v>37243.682394366202</v>
      </c>
      <c r="V34" s="10">
        <f>+'A) Base RI'!O34</f>
        <v>129977.8</v>
      </c>
      <c r="W34" s="10">
        <f>+'A) Base RI'!P34</f>
        <v>172672.95</v>
      </c>
      <c r="X34" s="10">
        <f>+'A) Base RI'!R34</f>
        <v>126249.4</v>
      </c>
      <c r="Y34" s="2">
        <f t="shared" si="5"/>
        <v>428900.15</v>
      </c>
      <c r="Z34" s="10">
        <f>+'A) Base RI'!N34</f>
        <v>34774.9</v>
      </c>
      <c r="AA34" s="10">
        <f>+'A) Base RI'!S34+'A) Base RI'!T34</f>
        <v>1031.8</v>
      </c>
      <c r="AB34" s="10">
        <f>+'A) Base RI'!U34</f>
        <v>8840</v>
      </c>
      <c r="AC34" s="10">
        <f>+'A) Base RI'!V34</f>
        <v>0</v>
      </c>
      <c r="AD34" s="10">
        <f>+'A) Base RI'!W34</f>
        <v>0</v>
      </c>
      <c r="AE34" s="10">
        <f>+'A) Base RI'!Y34</f>
        <v>28561.5</v>
      </c>
      <c r="AF34" s="10">
        <f>+'A) Base RI'!Z34</f>
        <v>0</v>
      </c>
      <c r="AG34" s="10">
        <f>+'A) Base RI'!AA34</f>
        <v>104554.13</v>
      </c>
      <c r="AH34" s="10">
        <f>+'A) Base RI'!AB34</f>
        <v>0</v>
      </c>
      <c r="AI34" s="10">
        <f>+'A) Base RI'!AC34</f>
        <v>85560.95</v>
      </c>
      <c r="AJ34" s="10">
        <f>+'A) Base RI'!AD34</f>
        <v>112626</v>
      </c>
      <c r="AK34" s="10">
        <f>+'A) Base RI'!AE34</f>
        <v>0</v>
      </c>
      <c r="AL34" s="10">
        <f>+'A) Base RI'!AF34</f>
        <v>0</v>
      </c>
      <c r="AM34" s="10">
        <f>+'A) Base RI'!AG34</f>
        <v>11543.45</v>
      </c>
      <c r="AN34" s="10">
        <f>+'A) Base RI'!AH34</f>
        <v>0</v>
      </c>
      <c r="AO34" s="10">
        <f>+'A) Base RI'!AI34</f>
        <v>0</v>
      </c>
      <c r="AP34" s="10">
        <f>+'A) Base RI'!AJ34</f>
        <v>0</v>
      </c>
      <c r="AQ34" s="10">
        <f>+'A) Base RI'!AK34</f>
        <v>0</v>
      </c>
      <c r="AR34" s="10">
        <f>'A) Base RI'!AN34</f>
        <v>1031</v>
      </c>
    </row>
    <row r="35" spans="1:44" x14ac:dyDescent="0.25">
      <c r="A35" s="8">
        <f>'A) Base RI'!A35</f>
        <v>5435</v>
      </c>
      <c r="B35" s="34" t="str">
        <f>'A) Base RI'!B35</f>
        <v>Saint-Livres</v>
      </c>
      <c r="C35" s="10">
        <f>'A) Base RI'!C35+'A) Base RI'!D35</f>
        <v>1649266.9</v>
      </c>
      <c r="D35" s="10">
        <f>'A) Base RI'!AO35</f>
        <v>-37786.370000000003</v>
      </c>
      <c r="E35" s="33">
        <f>'A) Base RI'!AP35</f>
        <v>0</v>
      </c>
      <c r="F35" s="33">
        <f>'A) Base RI'!AQ35</f>
        <v>-7.99</v>
      </c>
      <c r="G35" s="2">
        <f t="shared" si="0"/>
        <v>1611472.5399999998</v>
      </c>
      <c r="H35" s="10">
        <f>+'A) Base RI'!E35</f>
        <v>0</v>
      </c>
      <c r="I35" s="10">
        <f>+'A) Base RI'!F35</f>
        <v>0</v>
      </c>
      <c r="J35" s="10">
        <f>+'A) Base RI'!G35+'A) Base RI'!H35</f>
        <v>23856.55</v>
      </c>
      <c r="K35" s="10">
        <f>+'A) Base RI'!I35</f>
        <v>0</v>
      </c>
      <c r="L35" s="10">
        <f>+'A) Base RI'!J35</f>
        <v>18331.5</v>
      </c>
      <c r="M35" s="10">
        <f>+'A) Base RI'!K35</f>
        <v>0</v>
      </c>
      <c r="N35" s="10">
        <f>+'A) Base RI'!Q35</f>
        <v>4584.68</v>
      </c>
      <c r="O35" s="10">
        <f t="shared" si="1"/>
        <v>120872</v>
      </c>
      <c r="P35" s="10">
        <f>+'A) Base RI'!L35</f>
        <v>120872</v>
      </c>
      <c r="Q35" s="36">
        <f>'A) Base RI'!AR35</f>
        <v>1</v>
      </c>
      <c r="R35" s="2">
        <f t="shared" si="2"/>
        <v>1779117.2699999998</v>
      </c>
      <c r="S35" s="35">
        <f>+'A) Base RI'!AM35</f>
        <v>69</v>
      </c>
      <c r="T35" s="2">
        <f t="shared" si="3"/>
        <v>1658245.2699999998</v>
      </c>
      <c r="U35" s="2">
        <f t="shared" si="4"/>
        <v>25784.308260869562</v>
      </c>
      <c r="V35" s="10">
        <f>+'A) Base RI'!O35</f>
        <v>0</v>
      </c>
      <c r="W35" s="10">
        <f>+'A) Base RI'!P35</f>
        <v>3203.75</v>
      </c>
      <c r="X35" s="10">
        <f>+'A) Base RI'!R35</f>
        <v>3202.5</v>
      </c>
      <c r="Y35" s="2">
        <f t="shared" si="5"/>
        <v>6406.25</v>
      </c>
      <c r="Z35" s="10">
        <f>+'A) Base RI'!N35</f>
        <v>4006.05</v>
      </c>
      <c r="AA35" s="10">
        <f>+'A) Base RI'!S35+'A) Base RI'!T35</f>
        <v>330</v>
      </c>
      <c r="AB35" s="10">
        <f>+'A) Base RI'!U35</f>
        <v>5470</v>
      </c>
      <c r="AC35" s="10">
        <f>+'A) Base RI'!V35</f>
        <v>0</v>
      </c>
      <c r="AD35" s="10">
        <f>+'A) Base RI'!W35</f>
        <v>0</v>
      </c>
      <c r="AE35" s="10">
        <f>+'A) Base RI'!Y35</f>
        <v>3645.6</v>
      </c>
      <c r="AF35" s="10">
        <f>+'A) Base RI'!Z35</f>
        <v>0</v>
      </c>
      <c r="AG35" s="10">
        <f>+'A) Base RI'!AA35</f>
        <v>49571</v>
      </c>
      <c r="AH35" s="10">
        <f>+'A) Base RI'!AB35</f>
        <v>0</v>
      </c>
      <c r="AI35" s="10">
        <f>+'A) Base RI'!AC35</f>
        <v>58300</v>
      </c>
      <c r="AJ35" s="10">
        <f>+'A) Base RI'!AD35</f>
        <v>17244</v>
      </c>
      <c r="AK35" s="10">
        <f>+'A) Base RI'!AE35</f>
        <v>0</v>
      </c>
      <c r="AL35" s="10">
        <f>+'A) Base RI'!AF35</f>
        <v>0</v>
      </c>
      <c r="AM35" s="10">
        <f>+'A) Base RI'!AG35</f>
        <v>0</v>
      </c>
      <c r="AN35" s="10">
        <f>+'A) Base RI'!AH35</f>
        <v>11930.15</v>
      </c>
      <c r="AO35" s="10">
        <f>+'A) Base RI'!AI35</f>
        <v>0</v>
      </c>
      <c r="AP35" s="10">
        <f>+'A) Base RI'!AJ35</f>
        <v>0</v>
      </c>
      <c r="AQ35" s="10">
        <f>+'A) Base RI'!AK35</f>
        <v>0</v>
      </c>
      <c r="AR35" s="10">
        <f>'A) Base RI'!AN35</f>
        <v>683</v>
      </c>
    </row>
    <row r="36" spans="1:44" x14ac:dyDescent="0.25">
      <c r="A36" s="8">
        <f>'A) Base RI'!A36</f>
        <v>5436</v>
      </c>
      <c r="B36" s="34" t="str">
        <f>'A) Base RI'!B36</f>
        <v>Saint-Oyens</v>
      </c>
      <c r="C36" s="10">
        <f>'A) Base RI'!C36+'A) Base RI'!D36</f>
        <v>843352.95000000007</v>
      </c>
      <c r="D36" s="10">
        <f>'A) Base RI'!AO36</f>
        <v>-4639.53</v>
      </c>
      <c r="E36" s="33">
        <f>'A) Base RI'!AP36</f>
        <v>0</v>
      </c>
      <c r="F36" s="33">
        <f>'A) Base RI'!AQ36</f>
        <v>-542.07000000000005</v>
      </c>
      <c r="G36" s="2">
        <f t="shared" si="0"/>
        <v>838171.35000000009</v>
      </c>
      <c r="H36" s="10">
        <f>+'A) Base RI'!E36</f>
        <v>0</v>
      </c>
      <c r="I36" s="10">
        <f>+'A) Base RI'!F36</f>
        <v>0</v>
      </c>
      <c r="J36" s="10">
        <f>+'A) Base RI'!G36+'A) Base RI'!H36</f>
        <v>933.4</v>
      </c>
      <c r="K36" s="10">
        <f>+'A) Base RI'!I36</f>
        <v>0</v>
      </c>
      <c r="L36" s="10">
        <f>+'A) Base RI'!J36</f>
        <v>17617.02</v>
      </c>
      <c r="M36" s="10">
        <f>+'A) Base RI'!K36</f>
        <v>0</v>
      </c>
      <c r="N36" s="10">
        <f>+'A) Base RI'!Q36</f>
        <v>0</v>
      </c>
      <c r="O36" s="10">
        <f t="shared" si="1"/>
        <v>61024.125</v>
      </c>
      <c r="P36" s="10">
        <f>+'A) Base RI'!L36</f>
        <v>48819.3</v>
      </c>
      <c r="Q36" s="36">
        <f>'A) Base RI'!AR36</f>
        <v>0.8</v>
      </c>
      <c r="R36" s="2">
        <f t="shared" si="2"/>
        <v>917745.89500000014</v>
      </c>
      <c r="S36" s="35">
        <f>+'A) Base RI'!AM36</f>
        <v>81</v>
      </c>
      <c r="T36" s="2">
        <f t="shared" si="3"/>
        <v>856721.77000000014</v>
      </c>
      <c r="U36" s="2">
        <f t="shared" si="4"/>
        <v>11330.196234567902</v>
      </c>
      <c r="V36" s="10">
        <f>+'A) Base RI'!O36</f>
        <v>0</v>
      </c>
      <c r="W36" s="10">
        <f>+'A) Base RI'!P36</f>
        <v>162246.85</v>
      </c>
      <c r="X36" s="10">
        <f>+'A) Base RI'!R36</f>
        <v>10321.6</v>
      </c>
      <c r="Y36" s="2">
        <f t="shared" si="5"/>
        <v>172568.45</v>
      </c>
      <c r="Z36" s="10">
        <f>+'A) Base RI'!N36</f>
        <v>0</v>
      </c>
      <c r="AA36" s="10">
        <f>+'A) Base RI'!S36+'A) Base RI'!T36</f>
        <v>0</v>
      </c>
      <c r="AB36" s="10">
        <f>+'A) Base RI'!U36</f>
        <v>3075</v>
      </c>
      <c r="AC36" s="10">
        <f>+'A) Base RI'!V36</f>
        <v>0</v>
      </c>
      <c r="AD36" s="10">
        <f>+'A) Base RI'!W36</f>
        <v>0</v>
      </c>
      <c r="AE36" s="10">
        <f>+'A) Base RI'!Y36</f>
        <v>5801.7</v>
      </c>
      <c r="AF36" s="10">
        <f>+'A) Base RI'!Z36</f>
        <v>0</v>
      </c>
      <c r="AG36" s="10">
        <f>+'A) Base RI'!AA36</f>
        <v>55924.95</v>
      </c>
      <c r="AH36" s="10">
        <f>+'A) Base RI'!AB36</f>
        <v>3441.75</v>
      </c>
      <c r="AI36" s="10">
        <f>+'A) Base RI'!AC36</f>
        <v>31304.400000000001</v>
      </c>
      <c r="AJ36" s="10">
        <f>+'A) Base RI'!AD36</f>
        <v>5801.7</v>
      </c>
      <c r="AK36" s="10">
        <f>+'A) Base RI'!AE36</f>
        <v>0</v>
      </c>
      <c r="AL36" s="10">
        <f>+'A) Base RI'!AF36</f>
        <v>0</v>
      </c>
      <c r="AM36" s="10">
        <f>+'A) Base RI'!AG36</f>
        <v>0</v>
      </c>
      <c r="AN36" s="10">
        <f>+'A) Base RI'!AH36</f>
        <v>7749.05</v>
      </c>
      <c r="AO36" s="10">
        <f>+'A) Base RI'!AI36</f>
        <v>0</v>
      </c>
      <c r="AP36" s="10">
        <f>+'A) Base RI'!AJ36</f>
        <v>0</v>
      </c>
      <c r="AQ36" s="10">
        <f>+'A) Base RI'!AK36</f>
        <v>0</v>
      </c>
      <c r="AR36" s="10">
        <f>'A) Base RI'!AN36</f>
        <v>366</v>
      </c>
    </row>
    <row r="37" spans="1:44" x14ac:dyDescent="0.25">
      <c r="A37" s="8">
        <f>'A) Base RI'!A37</f>
        <v>5437</v>
      </c>
      <c r="B37" s="34" t="str">
        <f>'A) Base RI'!B37</f>
        <v>Saubraz</v>
      </c>
      <c r="C37" s="10">
        <f>'A) Base RI'!C37+'A) Base RI'!D37</f>
        <v>710147.24</v>
      </c>
      <c r="D37" s="10">
        <f>'A) Base RI'!AO37</f>
        <v>-42993.87</v>
      </c>
      <c r="E37" s="33">
        <f>'A) Base RI'!AP37</f>
        <v>0</v>
      </c>
      <c r="F37" s="33">
        <f>'A) Base RI'!AQ37</f>
        <v>-1.31</v>
      </c>
      <c r="G37" s="2">
        <f t="shared" si="0"/>
        <v>667152.05999999994</v>
      </c>
      <c r="H37" s="10">
        <f>+'A) Base RI'!E37</f>
        <v>0</v>
      </c>
      <c r="I37" s="10">
        <f>+'A) Base RI'!F37</f>
        <v>0</v>
      </c>
      <c r="J37" s="10">
        <f>+'A) Base RI'!G37+'A) Base RI'!H37</f>
        <v>7441.9500000000007</v>
      </c>
      <c r="K37" s="10">
        <f>+'A) Base RI'!I37</f>
        <v>0</v>
      </c>
      <c r="L37" s="10">
        <f>+'A) Base RI'!J37</f>
        <v>56625.17</v>
      </c>
      <c r="M37" s="10">
        <f>+'A) Base RI'!K37</f>
        <v>733.85</v>
      </c>
      <c r="N37" s="10">
        <f>+'A) Base RI'!Q37</f>
        <v>0</v>
      </c>
      <c r="O37" s="10">
        <f t="shared" si="1"/>
        <v>63943.15</v>
      </c>
      <c r="P37" s="10">
        <f>+'A) Base RI'!L37</f>
        <v>63943.15</v>
      </c>
      <c r="Q37" s="36">
        <f>'A) Base RI'!AR37</f>
        <v>1</v>
      </c>
      <c r="R37" s="2">
        <f t="shared" si="2"/>
        <v>795896.17999999993</v>
      </c>
      <c r="S37" s="35">
        <f>+'A) Base RI'!AM37</f>
        <v>80</v>
      </c>
      <c r="T37" s="2">
        <f t="shared" si="3"/>
        <v>731219.17999999993</v>
      </c>
      <c r="U37" s="2">
        <f t="shared" si="4"/>
        <v>9948.7022499999985</v>
      </c>
      <c r="V37" s="10">
        <f>+'A) Base RI'!O37</f>
        <v>50115.6</v>
      </c>
      <c r="W37" s="10">
        <f>+'A) Base RI'!P37</f>
        <v>1870</v>
      </c>
      <c r="X37" s="10">
        <f>+'A) Base RI'!R37</f>
        <v>-7384.4</v>
      </c>
      <c r="Y37" s="2">
        <f t="shared" si="5"/>
        <v>44601.2</v>
      </c>
      <c r="Z37" s="10">
        <f>+'A) Base RI'!N37</f>
        <v>0</v>
      </c>
      <c r="AA37" s="10">
        <f>+'A) Base RI'!S37+'A) Base RI'!T37</f>
        <v>75</v>
      </c>
      <c r="AB37" s="10">
        <f>+'A) Base RI'!U37</f>
        <v>1725</v>
      </c>
      <c r="AC37" s="10">
        <f>+'A) Base RI'!V37</f>
        <v>0</v>
      </c>
      <c r="AD37" s="10">
        <f>+'A) Base RI'!W37</f>
        <v>0</v>
      </c>
      <c r="AE37" s="10">
        <f>+'A) Base RI'!Y37</f>
        <v>0</v>
      </c>
      <c r="AF37" s="10">
        <f>+'A) Base RI'!Z37</f>
        <v>0</v>
      </c>
      <c r="AG37" s="10">
        <f>+'A) Base RI'!AA37</f>
        <v>0</v>
      </c>
      <c r="AH37" s="10">
        <f>+'A) Base RI'!AB37</f>
        <v>0</v>
      </c>
      <c r="AI37" s="10">
        <f>+'A) Base RI'!AC37</f>
        <v>38520</v>
      </c>
      <c r="AJ37" s="10">
        <f>+'A) Base RI'!AD37</f>
        <v>0</v>
      </c>
      <c r="AK37" s="10">
        <f>+'A) Base RI'!AE37</f>
        <v>0</v>
      </c>
      <c r="AL37" s="10">
        <f>+'A) Base RI'!AF37</f>
        <v>0</v>
      </c>
      <c r="AM37" s="10">
        <f>+'A) Base RI'!AG37</f>
        <v>0</v>
      </c>
      <c r="AN37" s="10">
        <f>+'A) Base RI'!AH37</f>
        <v>0</v>
      </c>
      <c r="AO37" s="10">
        <f>+'A) Base RI'!AI37</f>
        <v>0</v>
      </c>
      <c r="AP37" s="10">
        <f>+'A) Base RI'!AJ37</f>
        <v>0</v>
      </c>
      <c r="AQ37" s="10">
        <f>+'A) Base RI'!AK37</f>
        <v>0</v>
      </c>
      <c r="AR37" s="10">
        <f>'A) Base RI'!AN37</f>
        <v>420</v>
      </c>
    </row>
    <row r="38" spans="1:44" x14ac:dyDescent="0.25">
      <c r="A38" s="8">
        <f>'A) Base RI'!A38</f>
        <v>5451</v>
      </c>
      <c r="B38" s="34" t="str">
        <f>'A) Base RI'!B38</f>
        <v>Avenches</v>
      </c>
      <c r="C38" s="10">
        <f>'A) Base RI'!C38+'A) Base RI'!D38</f>
        <v>5104860.53</v>
      </c>
      <c r="D38" s="10">
        <f>'A) Base RI'!AO38</f>
        <v>-477003.92</v>
      </c>
      <c r="E38" s="33">
        <f>'A) Base RI'!AP38</f>
        <v>0</v>
      </c>
      <c r="F38" s="33">
        <f>'A) Base RI'!AQ38</f>
        <v>-92.12</v>
      </c>
      <c r="G38" s="2">
        <f t="shared" si="0"/>
        <v>4627764.49</v>
      </c>
      <c r="H38" s="10">
        <f>+'A) Base RI'!E38</f>
        <v>0</v>
      </c>
      <c r="I38" s="10">
        <f>+'A) Base RI'!F38</f>
        <v>0</v>
      </c>
      <c r="J38" s="10">
        <f>+'A) Base RI'!G38+'A) Base RI'!H38</f>
        <v>449480.44999999995</v>
      </c>
      <c r="K38" s="10">
        <f>+'A) Base RI'!I38</f>
        <v>0</v>
      </c>
      <c r="L38" s="10">
        <f>+'A) Base RI'!J38</f>
        <v>447793.38</v>
      </c>
      <c r="M38" s="10">
        <f>+'A) Base RI'!K38</f>
        <v>105454.45</v>
      </c>
      <c r="N38" s="10">
        <f>+'A) Base RI'!Q38</f>
        <v>203005.3</v>
      </c>
      <c r="O38" s="10">
        <f t="shared" si="1"/>
        <v>802215.33333333337</v>
      </c>
      <c r="P38" s="10">
        <f>+'A) Base RI'!L38</f>
        <v>1203323</v>
      </c>
      <c r="Q38" s="36">
        <f>'A) Base RI'!AR38</f>
        <v>1.5</v>
      </c>
      <c r="R38" s="2">
        <f t="shared" si="2"/>
        <v>6635713.4033333333</v>
      </c>
      <c r="S38" s="35">
        <f>+'A) Base RI'!AM38</f>
        <v>68</v>
      </c>
      <c r="T38" s="2">
        <f t="shared" si="3"/>
        <v>5728043.6200000001</v>
      </c>
      <c r="U38" s="2">
        <f t="shared" si="4"/>
        <v>97584.0206372549</v>
      </c>
      <c r="V38" s="10">
        <f>+'A) Base RI'!O38</f>
        <v>48706.7</v>
      </c>
      <c r="W38" s="10">
        <f>+'A) Base RI'!P38</f>
        <v>466125.65</v>
      </c>
      <c r="X38" s="10">
        <f>+'A) Base RI'!R38</f>
        <v>71538.100000000006</v>
      </c>
      <c r="Y38" s="2">
        <f t="shared" si="5"/>
        <v>586370.45000000007</v>
      </c>
      <c r="Z38" s="10">
        <f>+'A) Base RI'!N38</f>
        <v>533739.30000000005</v>
      </c>
      <c r="AA38" s="10">
        <f>+'A) Base RI'!S38+'A) Base RI'!T38</f>
        <v>39968.449999999997</v>
      </c>
      <c r="AB38" s="10">
        <f>+'A) Base RI'!U38</f>
        <v>22100</v>
      </c>
      <c r="AC38" s="10">
        <f>+'A) Base RI'!V38</f>
        <v>0</v>
      </c>
      <c r="AD38" s="10">
        <f>+'A) Base RI'!W38</f>
        <v>0</v>
      </c>
      <c r="AE38" s="10">
        <f>+'A) Base RI'!Y38</f>
        <v>267236.84999999998</v>
      </c>
      <c r="AF38" s="10">
        <f>+'A) Base RI'!Z38</f>
        <v>7115.35</v>
      </c>
      <c r="AG38" s="10">
        <f>+'A) Base RI'!AA38</f>
        <v>925204.6</v>
      </c>
      <c r="AH38" s="10">
        <f>+'A) Base RI'!AB38</f>
        <v>0</v>
      </c>
      <c r="AI38" s="10">
        <f>+'A) Base RI'!AC38</f>
        <v>448410.87</v>
      </c>
      <c r="AJ38" s="10">
        <f>+'A) Base RI'!AD38</f>
        <v>177360.65</v>
      </c>
      <c r="AK38" s="10">
        <f>+'A) Base RI'!AE38</f>
        <v>7315.3</v>
      </c>
      <c r="AL38" s="10">
        <f>+'A) Base RI'!AF38</f>
        <v>0</v>
      </c>
      <c r="AM38" s="10">
        <f>+'A) Base RI'!AG38</f>
        <v>247484.25</v>
      </c>
      <c r="AN38" s="10">
        <f>+'A) Base RI'!AH38</f>
        <v>0</v>
      </c>
      <c r="AO38" s="10">
        <f>+'A) Base RI'!AI38</f>
        <v>0</v>
      </c>
      <c r="AP38" s="10">
        <f>+'A) Base RI'!AJ38</f>
        <v>0</v>
      </c>
      <c r="AQ38" s="10">
        <f>+'A) Base RI'!AK38</f>
        <v>0</v>
      </c>
      <c r="AR38" s="10">
        <f>'A) Base RI'!AN38</f>
        <v>4210</v>
      </c>
    </row>
    <row r="39" spans="1:44" x14ac:dyDescent="0.25">
      <c r="A39" s="8">
        <f>'A) Base RI'!A39</f>
        <v>5456</v>
      </c>
      <c r="B39" s="34" t="str">
        <f>'A) Base RI'!B39</f>
        <v>Cudrefin</v>
      </c>
      <c r="C39" s="10">
        <f>'A) Base RI'!C39+'A) Base RI'!D39</f>
        <v>2842826.99</v>
      </c>
      <c r="D39" s="10">
        <f>'A) Base RI'!AO39</f>
        <v>-32330.28</v>
      </c>
      <c r="E39" s="33">
        <f>'A) Base RI'!AP39</f>
        <v>0</v>
      </c>
      <c r="F39" s="33">
        <f>'A) Base RI'!AQ39</f>
        <v>-16.29</v>
      </c>
      <c r="G39" s="2">
        <f t="shared" si="0"/>
        <v>2810480.4200000004</v>
      </c>
      <c r="H39" s="10">
        <f>+'A) Base RI'!E39</f>
        <v>0</v>
      </c>
      <c r="I39" s="10">
        <f>+'A) Base RI'!F39</f>
        <v>0</v>
      </c>
      <c r="J39" s="10">
        <f>+'A) Base RI'!G39+'A) Base RI'!H39</f>
        <v>159484</v>
      </c>
      <c r="K39" s="10">
        <f>+'A) Base RI'!I39</f>
        <v>0</v>
      </c>
      <c r="L39" s="10">
        <f>+'A) Base RI'!J39</f>
        <v>21989.02</v>
      </c>
      <c r="M39" s="10">
        <f>+'A) Base RI'!K39</f>
        <v>11428.05</v>
      </c>
      <c r="N39" s="10">
        <f>+'A) Base RI'!Q39</f>
        <v>5354.97</v>
      </c>
      <c r="O39" s="10">
        <f t="shared" si="1"/>
        <v>289451.96666666667</v>
      </c>
      <c r="P39" s="10">
        <f>+'A) Base RI'!L39</f>
        <v>434177.95</v>
      </c>
      <c r="Q39" s="36">
        <f>'A) Base RI'!AR39</f>
        <v>1.5</v>
      </c>
      <c r="R39" s="2">
        <f t="shared" si="2"/>
        <v>3298188.4266666672</v>
      </c>
      <c r="S39" s="35">
        <f>+'A) Base RI'!AM39</f>
        <v>59</v>
      </c>
      <c r="T39" s="2">
        <f t="shared" si="3"/>
        <v>2997308.4100000006</v>
      </c>
      <c r="U39" s="2">
        <f t="shared" si="4"/>
        <v>55901.49875706216</v>
      </c>
      <c r="V39" s="10">
        <f>+'A) Base RI'!O39</f>
        <v>50669.8</v>
      </c>
      <c r="W39" s="10">
        <f>+'A) Base RI'!P39</f>
        <v>195817.60000000001</v>
      </c>
      <c r="X39" s="10">
        <f>+'A) Base RI'!R39</f>
        <v>128094.2</v>
      </c>
      <c r="Y39" s="2">
        <f t="shared" si="5"/>
        <v>374581.60000000003</v>
      </c>
      <c r="Z39" s="10">
        <f>+'A) Base RI'!N39</f>
        <v>4370.3</v>
      </c>
      <c r="AA39" s="10">
        <f>+'A) Base RI'!S39+'A) Base RI'!T39</f>
        <v>0</v>
      </c>
      <c r="AB39" s="10">
        <f>+'A) Base RI'!U39</f>
        <v>6325</v>
      </c>
      <c r="AC39" s="10">
        <f>+'A) Base RI'!V39</f>
        <v>0</v>
      </c>
      <c r="AD39" s="10">
        <f>+'A) Base RI'!W39</f>
        <v>0</v>
      </c>
      <c r="AE39" s="10">
        <f>+'A) Base RI'!Y39</f>
        <v>135000</v>
      </c>
      <c r="AF39" s="10">
        <f>+'A) Base RI'!Z39</f>
        <v>0</v>
      </c>
      <c r="AG39" s="10">
        <f>+'A) Base RI'!AA39</f>
        <v>132145.5</v>
      </c>
      <c r="AH39" s="10">
        <f>+'A) Base RI'!AB39</f>
        <v>0</v>
      </c>
      <c r="AI39" s="10">
        <f>+'A) Base RI'!AC39</f>
        <v>222978.81</v>
      </c>
      <c r="AJ39" s="10">
        <f>+'A) Base RI'!AD39</f>
        <v>88777</v>
      </c>
      <c r="AK39" s="10">
        <f>+'A) Base RI'!AE39</f>
        <v>0</v>
      </c>
      <c r="AL39" s="10">
        <f>+'A) Base RI'!AF39</f>
        <v>0</v>
      </c>
      <c r="AM39" s="10">
        <f>+'A) Base RI'!AG39</f>
        <v>120938.65</v>
      </c>
      <c r="AN39" s="10">
        <f>+'A) Base RI'!AH39</f>
        <v>0</v>
      </c>
      <c r="AO39" s="10">
        <f>+'A) Base RI'!AI39</f>
        <v>0</v>
      </c>
      <c r="AP39" s="10">
        <f>+'A) Base RI'!AJ39</f>
        <v>0</v>
      </c>
      <c r="AQ39" s="10">
        <f>+'A) Base RI'!AK39</f>
        <v>0</v>
      </c>
      <c r="AR39" s="10">
        <f>'A) Base RI'!AN39</f>
        <v>1589</v>
      </c>
    </row>
    <row r="40" spans="1:44" x14ac:dyDescent="0.25">
      <c r="A40" s="8">
        <f>'A) Base RI'!A40</f>
        <v>5458</v>
      </c>
      <c r="B40" s="34" t="str">
        <f>'A) Base RI'!B40</f>
        <v>Faoug</v>
      </c>
      <c r="C40" s="10">
        <f>'A) Base RI'!C40+'A) Base RI'!D40</f>
        <v>2039605.01</v>
      </c>
      <c r="D40" s="10">
        <f>'A) Base RI'!AO40</f>
        <v>-56984.93</v>
      </c>
      <c r="E40" s="33">
        <f>'A) Base RI'!AP40</f>
        <v>0</v>
      </c>
      <c r="F40" s="33">
        <f>'A) Base RI'!AQ40</f>
        <v>-58.53</v>
      </c>
      <c r="G40" s="2">
        <f t="shared" si="0"/>
        <v>1982561.55</v>
      </c>
      <c r="H40" s="10">
        <f>+'A) Base RI'!E40</f>
        <v>0</v>
      </c>
      <c r="I40" s="10">
        <f>+'A) Base RI'!F40</f>
        <v>0</v>
      </c>
      <c r="J40" s="10">
        <f>+'A) Base RI'!G40+'A) Base RI'!H40</f>
        <v>38536.199999999997</v>
      </c>
      <c r="K40" s="10">
        <f>+'A) Base RI'!I40</f>
        <v>0</v>
      </c>
      <c r="L40" s="10">
        <f>+'A) Base RI'!J40</f>
        <v>29448.880000000001</v>
      </c>
      <c r="M40" s="10">
        <f>+'A) Base RI'!K40</f>
        <v>7920.95</v>
      </c>
      <c r="N40" s="10">
        <f>+'A) Base RI'!Q40</f>
        <v>7896.36</v>
      </c>
      <c r="O40" s="10">
        <f t="shared" si="1"/>
        <v>160851.20000000001</v>
      </c>
      <c r="P40" s="10">
        <f>+'A) Base RI'!L40</f>
        <v>160851.20000000001</v>
      </c>
      <c r="Q40" s="36">
        <f>'A) Base RI'!AR40</f>
        <v>1</v>
      </c>
      <c r="R40" s="2">
        <f t="shared" si="2"/>
        <v>2227215.14</v>
      </c>
      <c r="S40" s="35">
        <f>+'A) Base RI'!AM40</f>
        <v>64</v>
      </c>
      <c r="T40" s="2">
        <f t="shared" si="3"/>
        <v>2058442.99</v>
      </c>
      <c r="U40" s="2">
        <f t="shared" si="4"/>
        <v>34800.236562500002</v>
      </c>
      <c r="V40" s="10">
        <f>+'A) Base RI'!O40</f>
        <v>31243.599999999999</v>
      </c>
      <c r="W40" s="10">
        <f>+'A) Base RI'!P40</f>
        <v>153893.20000000001</v>
      </c>
      <c r="X40" s="10">
        <f>+'A) Base RI'!R40</f>
        <v>74247.100000000006</v>
      </c>
      <c r="Y40" s="2">
        <f t="shared" si="5"/>
        <v>259383.90000000002</v>
      </c>
      <c r="Z40" s="10">
        <f>+'A) Base RI'!N40</f>
        <v>0</v>
      </c>
      <c r="AA40" s="10">
        <f>+'A) Base RI'!S40+'A) Base RI'!T40</f>
        <v>0</v>
      </c>
      <c r="AB40" s="10">
        <f>+'A) Base RI'!U40</f>
        <v>7650</v>
      </c>
      <c r="AC40" s="10">
        <f>+'A) Base RI'!V40</f>
        <v>0</v>
      </c>
      <c r="AD40" s="10">
        <f>+'A) Base RI'!W40</f>
        <v>0</v>
      </c>
      <c r="AE40" s="10">
        <f>+'A) Base RI'!Y40</f>
        <v>57786.35</v>
      </c>
      <c r="AF40" s="10">
        <f>+'A) Base RI'!Z40</f>
        <v>833</v>
      </c>
      <c r="AG40" s="10">
        <f>+'A) Base RI'!AA40</f>
        <v>160412.54999999999</v>
      </c>
      <c r="AH40" s="10">
        <f>+'A) Base RI'!AB40</f>
        <v>0</v>
      </c>
      <c r="AI40" s="10">
        <f>+'A) Base RI'!AC40</f>
        <v>79059.05</v>
      </c>
      <c r="AJ40" s="10">
        <f>+'A) Base RI'!AD40</f>
        <v>57786.35</v>
      </c>
      <c r="AK40" s="10">
        <f>+'A) Base RI'!AE40</f>
        <v>833</v>
      </c>
      <c r="AL40" s="10">
        <f>+'A) Base RI'!AF40</f>
        <v>0</v>
      </c>
      <c r="AM40" s="10">
        <f>+'A) Base RI'!AG40</f>
        <v>31637.4</v>
      </c>
      <c r="AN40" s="10">
        <f>+'A) Base RI'!AH40</f>
        <v>24972.3</v>
      </c>
      <c r="AO40" s="10">
        <f>+'A) Base RI'!AI40</f>
        <v>0</v>
      </c>
      <c r="AP40" s="10">
        <f>+'A) Base RI'!AJ40</f>
        <v>0</v>
      </c>
      <c r="AQ40" s="10">
        <f>+'A) Base RI'!AK40</f>
        <v>0</v>
      </c>
      <c r="AR40" s="10">
        <f>'A) Base RI'!AN40</f>
        <v>893</v>
      </c>
    </row>
    <row r="41" spans="1:44" x14ac:dyDescent="0.25">
      <c r="A41" s="8">
        <f>'A) Base RI'!A41</f>
        <v>5464</v>
      </c>
      <c r="B41" s="34" t="str">
        <f>'A) Base RI'!B41</f>
        <v>Vully-les-Lacs</v>
      </c>
      <c r="C41" s="10">
        <f>'A) Base RI'!C41+'A) Base RI'!D41</f>
        <v>5934718.2800000003</v>
      </c>
      <c r="D41" s="10">
        <f>'A) Base RI'!AO41</f>
        <v>-120830.2</v>
      </c>
      <c r="E41" s="33">
        <f>'A) Base RI'!AP41</f>
        <v>0</v>
      </c>
      <c r="F41" s="33">
        <f>'A) Base RI'!AQ41</f>
        <v>-1341.12</v>
      </c>
      <c r="G41" s="2">
        <f t="shared" si="0"/>
        <v>5812546.96</v>
      </c>
      <c r="H41" s="10">
        <f>+'A) Base RI'!E41</f>
        <v>0</v>
      </c>
      <c r="I41" s="10">
        <f>+'A) Base RI'!F41</f>
        <v>0</v>
      </c>
      <c r="J41" s="10">
        <f>+'A) Base RI'!G41+'A) Base RI'!H41</f>
        <v>54621.25</v>
      </c>
      <c r="K41" s="10">
        <f>+'A) Base RI'!I41</f>
        <v>0</v>
      </c>
      <c r="L41" s="10">
        <f>+'A) Base RI'!J41</f>
        <v>125033.72</v>
      </c>
      <c r="M41" s="10">
        <f>+'A) Base RI'!K41</f>
        <v>20149.7</v>
      </c>
      <c r="N41" s="10">
        <f>+'A) Base RI'!Q41</f>
        <v>37535.269999999997</v>
      </c>
      <c r="O41" s="10">
        <f t="shared" si="1"/>
        <v>580035.20000000007</v>
      </c>
      <c r="P41" s="10">
        <f>+'A) Base RI'!L41</f>
        <v>870052.8</v>
      </c>
      <c r="Q41" s="36">
        <f>'A) Base RI'!AR41</f>
        <v>1.5</v>
      </c>
      <c r="R41" s="2">
        <f t="shared" si="2"/>
        <v>6629922.0999999996</v>
      </c>
      <c r="S41" s="35">
        <f>+'A) Base RI'!AM41</f>
        <v>67</v>
      </c>
      <c r="T41" s="2">
        <f t="shared" si="3"/>
        <v>6029737.1999999993</v>
      </c>
      <c r="U41" s="2">
        <f t="shared" si="4"/>
        <v>98954.06119402984</v>
      </c>
      <c r="V41" s="10">
        <f>+'A) Base RI'!O41</f>
        <v>83236.899999999994</v>
      </c>
      <c r="W41" s="10">
        <f>+'A) Base RI'!P41</f>
        <v>315629.7</v>
      </c>
      <c r="X41" s="10">
        <f>+'A) Base RI'!R41</f>
        <v>202902.5</v>
      </c>
      <c r="Y41" s="2">
        <f t="shared" si="5"/>
        <v>601769.1</v>
      </c>
      <c r="Z41" s="10">
        <f>+'A) Base RI'!N41</f>
        <v>0</v>
      </c>
      <c r="AA41" s="10">
        <f>+'A) Base RI'!S41+'A) Base RI'!T41</f>
        <v>5006.45</v>
      </c>
      <c r="AB41" s="10">
        <f>+'A) Base RI'!U41</f>
        <v>22800</v>
      </c>
      <c r="AC41" s="10">
        <f>+'A) Base RI'!V41</f>
        <v>0</v>
      </c>
      <c r="AD41" s="10">
        <f>+'A) Base RI'!W41</f>
        <v>0</v>
      </c>
      <c r="AE41" s="10">
        <f>+'A) Base RI'!Y41</f>
        <v>109603.9</v>
      </c>
      <c r="AF41" s="10">
        <f>+'A) Base RI'!Z41</f>
        <v>99102.5</v>
      </c>
      <c r="AG41" s="10">
        <f>+'A) Base RI'!AA41</f>
        <v>469286.2</v>
      </c>
      <c r="AH41" s="10">
        <f>+'A) Base RI'!AB41</f>
        <v>0</v>
      </c>
      <c r="AI41" s="10">
        <f>+'A) Base RI'!AC41</f>
        <v>283839.32</v>
      </c>
      <c r="AJ41" s="10">
        <f>+'A) Base RI'!AD41</f>
        <v>181261.6</v>
      </c>
      <c r="AK41" s="10">
        <f>+'A) Base RI'!AE41</f>
        <v>0</v>
      </c>
      <c r="AL41" s="10">
        <f>+'A) Base RI'!AF41</f>
        <v>0</v>
      </c>
      <c r="AM41" s="10">
        <f>+'A) Base RI'!AG41</f>
        <v>148624.04999999999</v>
      </c>
      <c r="AN41" s="10">
        <f>+'A) Base RI'!AH41</f>
        <v>0</v>
      </c>
      <c r="AO41" s="10">
        <f>+'A) Base RI'!AI41</f>
        <v>95716.85</v>
      </c>
      <c r="AP41" s="10">
        <f>+'A) Base RI'!AJ41</f>
        <v>0</v>
      </c>
      <c r="AQ41" s="10">
        <f>+'A) Base RI'!AK41</f>
        <v>0</v>
      </c>
      <c r="AR41" s="10">
        <f>'A) Base RI'!AN41</f>
        <v>3080</v>
      </c>
    </row>
    <row r="42" spans="1:44" x14ac:dyDescent="0.25">
      <c r="A42" s="8">
        <f>'A) Base RI'!A42</f>
        <v>5471</v>
      </c>
      <c r="B42" s="34" t="str">
        <f>'A) Base RI'!B42</f>
        <v>Bettens</v>
      </c>
      <c r="C42" s="10">
        <f>'A) Base RI'!C42+'A) Base RI'!D42</f>
        <v>1193945.73</v>
      </c>
      <c r="D42" s="10">
        <f>'A) Base RI'!AO42</f>
        <v>-4722.03</v>
      </c>
      <c r="E42" s="33">
        <f>'A) Base RI'!AP42</f>
        <v>0</v>
      </c>
      <c r="F42" s="33">
        <f>'A) Base RI'!AQ42</f>
        <v>-6.83</v>
      </c>
      <c r="G42" s="2">
        <f t="shared" si="0"/>
        <v>1189216.8699999999</v>
      </c>
      <c r="H42" s="10">
        <f>+'A) Base RI'!E42</f>
        <v>0</v>
      </c>
      <c r="I42" s="10">
        <f>+'A) Base RI'!F42</f>
        <v>0</v>
      </c>
      <c r="J42" s="10">
        <f>+'A) Base RI'!G42+'A) Base RI'!H42</f>
        <v>24215.8</v>
      </c>
      <c r="K42" s="10">
        <f>+'A) Base RI'!I42</f>
        <v>0</v>
      </c>
      <c r="L42" s="10">
        <f>+'A) Base RI'!J42</f>
        <v>19109.66</v>
      </c>
      <c r="M42" s="10">
        <f>+'A) Base RI'!K42</f>
        <v>524</v>
      </c>
      <c r="N42" s="10">
        <f>+'A) Base RI'!Q42</f>
        <v>0</v>
      </c>
      <c r="O42" s="10">
        <f t="shared" si="1"/>
        <v>112012.5</v>
      </c>
      <c r="P42" s="10">
        <f>+'A) Base RI'!L42</f>
        <v>100811.25</v>
      </c>
      <c r="Q42" s="36">
        <f>'A) Base RI'!AR42</f>
        <v>0.9</v>
      </c>
      <c r="R42" s="2">
        <f t="shared" si="2"/>
        <v>1345078.8299999998</v>
      </c>
      <c r="S42" s="35">
        <f>+'A) Base RI'!AM42</f>
        <v>70</v>
      </c>
      <c r="T42" s="2">
        <f t="shared" si="3"/>
        <v>1232542.3299999998</v>
      </c>
      <c r="U42" s="2">
        <f t="shared" si="4"/>
        <v>19215.411857142855</v>
      </c>
      <c r="V42" s="10">
        <f>+'A) Base RI'!O42</f>
        <v>0</v>
      </c>
      <c r="W42" s="10">
        <f>+'A) Base RI'!P42</f>
        <v>110053.1</v>
      </c>
      <c r="X42" s="10">
        <f>+'A) Base RI'!R42</f>
        <v>103743.15</v>
      </c>
      <c r="Y42" s="2">
        <f t="shared" si="5"/>
        <v>213796.25</v>
      </c>
      <c r="Z42" s="10">
        <f>+'A) Base RI'!N42</f>
        <v>1531.2</v>
      </c>
      <c r="AA42" s="10">
        <f>+'A) Base RI'!S42+'A) Base RI'!T42</f>
        <v>0</v>
      </c>
      <c r="AB42" s="10">
        <f>+'A) Base RI'!U42</f>
        <v>4600</v>
      </c>
      <c r="AC42" s="10">
        <f>+'A) Base RI'!V42</f>
        <v>0</v>
      </c>
      <c r="AD42" s="10">
        <f>+'A) Base RI'!W42</f>
        <v>0</v>
      </c>
      <c r="AE42" s="10">
        <f>+'A) Base RI'!Y42</f>
        <v>42576</v>
      </c>
      <c r="AF42" s="10">
        <f>+'A) Base RI'!Z42</f>
        <v>0</v>
      </c>
      <c r="AG42" s="10">
        <f>+'A) Base RI'!AA42</f>
        <v>64685</v>
      </c>
      <c r="AH42" s="10">
        <f>+'A) Base RI'!AB42</f>
        <v>0</v>
      </c>
      <c r="AI42" s="10">
        <f>+'A) Base RI'!AC42</f>
        <v>21420</v>
      </c>
      <c r="AJ42" s="10">
        <f>+'A) Base RI'!AD42</f>
        <v>12431</v>
      </c>
      <c r="AK42" s="10">
        <f>+'A) Base RI'!AE42</f>
        <v>0</v>
      </c>
      <c r="AL42" s="10">
        <f>+'A) Base RI'!AF42</f>
        <v>0</v>
      </c>
      <c r="AM42" s="10">
        <f>+'A) Base RI'!AG42</f>
        <v>0</v>
      </c>
      <c r="AN42" s="10">
        <f>+'A) Base RI'!AH42</f>
        <v>0</v>
      </c>
      <c r="AO42" s="10">
        <f>+'A) Base RI'!AI42</f>
        <v>0</v>
      </c>
      <c r="AP42" s="10">
        <f>+'A) Base RI'!AJ42</f>
        <v>0</v>
      </c>
      <c r="AQ42" s="10">
        <f>+'A) Base RI'!AK42</f>
        <v>0</v>
      </c>
      <c r="AR42" s="10">
        <f>'A) Base RI'!AN42</f>
        <v>574</v>
      </c>
    </row>
    <row r="43" spans="1:44" x14ac:dyDescent="0.25">
      <c r="A43" s="8">
        <f>'A) Base RI'!A43</f>
        <v>5472</v>
      </c>
      <c r="B43" s="34" t="str">
        <f>'A) Base RI'!B43</f>
        <v>Bournens</v>
      </c>
      <c r="C43" s="10">
        <f>'A) Base RI'!C43+'A) Base RI'!D43</f>
        <v>1058852.57</v>
      </c>
      <c r="D43" s="10">
        <f>'A) Base RI'!AO43</f>
        <v>-17674.82</v>
      </c>
      <c r="E43" s="33">
        <f>'A) Base RI'!AP43</f>
        <v>0</v>
      </c>
      <c r="F43" s="33">
        <f>'A) Base RI'!AQ43</f>
        <v>-85.95</v>
      </c>
      <c r="G43" s="2">
        <f t="shared" si="0"/>
        <v>1041091.8000000002</v>
      </c>
      <c r="H43" s="10">
        <f>+'A) Base RI'!E43</f>
        <v>0</v>
      </c>
      <c r="I43" s="10">
        <f>+'A) Base RI'!F43</f>
        <v>0</v>
      </c>
      <c r="J43" s="10">
        <f>+'A) Base RI'!G43+'A) Base RI'!H43</f>
        <v>60613.5</v>
      </c>
      <c r="K43" s="10">
        <f>+'A) Base RI'!I43</f>
        <v>0</v>
      </c>
      <c r="L43" s="10">
        <f>+'A) Base RI'!J43</f>
        <v>31341.52</v>
      </c>
      <c r="M43" s="10">
        <f>+'A) Base RI'!K43</f>
        <v>522.25</v>
      </c>
      <c r="N43" s="10">
        <f>+'A) Base RI'!Q43</f>
        <v>0</v>
      </c>
      <c r="O43" s="10">
        <f t="shared" si="1"/>
        <v>77228.45</v>
      </c>
      <c r="P43" s="10">
        <f>+'A) Base RI'!L43</f>
        <v>77228.45</v>
      </c>
      <c r="Q43" s="36">
        <f>'A) Base RI'!AR43</f>
        <v>1</v>
      </c>
      <c r="R43" s="2">
        <f t="shared" si="2"/>
        <v>1210797.5200000003</v>
      </c>
      <c r="S43" s="35">
        <f>+'A) Base RI'!AM43</f>
        <v>80</v>
      </c>
      <c r="T43" s="2">
        <f t="shared" si="3"/>
        <v>1133046.8200000003</v>
      </c>
      <c r="U43" s="2">
        <f t="shared" si="4"/>
        <v>15134.969000000003</v>
      </c>
      <c r="V43" s="10">
        <f>+'A) Base RI'!O43</f>
        <v>0</v>
      </c>
      <c r="W43" s="10">
        <f>+'A) Base RI'!P43</f>
        <v>16502.3</v>
      </c>
      <c r="X43" s="10">
        <f>+'A) Base RI'!R43</f>
        <v>34189.800000000003</v>
      </c>
      <c r="Y43" s="2">
        <f t="shared" si="5"/>
        <v>50692.100000000006</v>
      </c>
      <c r="Z43" s="10">
        <f>+'A) Base RI'!N43</f>
        <v>0</v>
      </c>
      <c r="AA43" s="10">
        <f>+'A) Base RI'!S43+'A) Base RI'!T43</f>
        <v>272.25</v>
      </c>
      <c r="AB43" s="10">
        <f>+'A) Base RI'!U43</f>
        <v>1470</v>
      </c>
      <c r="AC43" s="10">
        <f>+'A) Base RI'!V43</f>
        <v>0</v>
      </c>
      <c r="AD43" s="10">
        <f>+'A) Base RI'!W43</f>
        <v>0</v>
      </c>
      <c r="AE43" s="10">
        <f>+'A) Base RI'!Y43</f>
        <v>28978.45</v>
      </c>
      <c r="AF43" s="10">
        <f>+'A) Base RI'!Z43</f>
        <v>0</v>
      </c>
      <c r="AG43" s="10">
        <f>+'A) Base RI'!AA43</f>
        <v>79434.600000000006</v>
      </c>
      <c r="AH43" s="10">
        <f>+'A) Base RI'!AB43</f>
        <v>0</v>
      </c>
      <c r="AI43" s="10">
        <f>+'A) Base RI'!AC43</f>
        <v>31100</v>
      </c>
      <c r="AJ43" s="10">
        <f>+'A) Base RI'!AD43</f>
        <v>69018.45</v>
      </c>
      <c r="AK43" s="10">
        <f>+'A) Base RI'!AE43</f>
        <v>0</v>
      </c>
      <c r="AL43" s="10">
        <f>+'A) Base RI'!AF43</f>
        <v>0</v>
      </c>
      <c r="AM43" s="10">
        <f>+'A) Base RI'!AG43</f>
        <v>0</v>
      </c>
      <c r="AN43" s="10">
        <f>+'A) Base RI'!AH43</f>
        <v>0</v>
      </c>
      <c r="AO43" s="10">
        <f>+'A) Base RI'!AI43</f>
        <v>0</v>
      </c>
      <c r="AP43" s="10">
        <f>+'A) Base RI'!AJ43</f>
        <v>0</v>
      </c>
      <c r="AQ43" s="10">
        <f>+'A) Base RI'!AK43</f>
        <v>0</v>
      </c>
      <c r="AR43" s="10">
        <f>'A) Base RI'!AN43</f>
        <v>419</v>
      </c>
    </row>
    <row r="44" spans="1:44" x14ac:dyDescent="0.25">
      <c r="A44" s="8">
        <f>'A) Base RI'!A44</f>
        <v>5473</v>
      </c>
      <c r="B44" s="34" t="str">
        <f>'A) Base RI'!B44</f>
        <v>Boussens</v>
      </c>
      <c r="C44" s="10">
        <f>'A) Base RI'!C44+'A) Base RI'!D44</f>
        <v>2068989.36</v>
      </c>
      <c r="D44" s="10">
        <f>'A) Base RI'!AO44</f>
        <v>-20901.330000000002</v>
      </c>
      <c r="E44" s="33">
        <f>'A) Base RI'!AP44</f>
        <v>0</v>
      </c>
      <c r="F44" s="33">
        <f>'A) Base RI'!AQ44</f>
        <v>-28</v>
      </c>
      <c r="G44" s="2">
        <f t="shared" si="0"/>
        <v>2048060.03</v>
      </c>
      <c r="H44" s="10">
        <f>+'A) Base RI'!E44</f>
        <v>0</v>
      </c>
      <c r="I44" s="10">
        <f>+'A) Base RI'!F44</f>
        <v>0</v>
      </c>
      <c r="J44" s="10">
        <f>+'A) Base RI'!G44+'A) Base RI'!H44</f>
        <v>51668.800000000003</v>
      </c>
      <c r="K44" s="10">
        <f>+'A) Base RI'!I44</f>
        <v>0</v>
      </c>
      <c r="L44" s="10">
        <f>+'A) Base RI'!J44</f>
        <v>28567.74</v>
      </c>
      <c r="M44" s="10">
        <f>+'A) Base RI'!K44</f>
        <v>4388.2</v>
      </c>
      <c r="N44" s="10">
        <f>+'A) Base RI'!Q44</f>
        <v>0</v>
      </c>
      <c r="O44" s="10">
        <f t="shared" si="1"/>
        <v>163551.1</v>
      </c>
      <c r="P44" s="10">
        <f>+'A) Base RI'!L44</f>
        <v>163551.1</v>
      </c>
      <c r="Q44" s="36">
        <f>'A) Base RI'!AR44</f>
        <v>1</v>
      </c>
      <c r="R44" s="2">
        <f t="shared" si="2"/>
        <v>2296235.8700000006</v>
      </c>
      <c r="S44" s="35">
        <f>+'A) Base RI'!AM44</f>
        <v>69</v>
      </c>
      <c r="T44" s="2">
        <f t="shared" si="3"/>
        <v>2128296.5700000003</v>
      </c>
      <c r="U44" s="2">
        <f t="shared" si="4"/>
        <v>33278.780724637691</v>
      </c>
      <c r="V44" s="10">
        <f>+'A) Base RI'!O44</f>
        <v>0</v>
      </c>
      <c r="W44" s="10">
        <f>+'A) Base RI'!P44</f>
        <v>52510.5</v>
      </c>
      <c r="X44" s="10">
        <f>+'A) Base RI'!R44</f>
        <v>41232</v>
      </c>
      <c r="Y44" s="2">
        <f t="shared" si="5"/>
        <v>93742.5</v>
      </c>
      <c r="Z44" s="10">
        <f>+'A) Base RI'!N44</f>
        <v>0</v>
      </c>
      <c r="AA44" s="10">
        <f>+'A) Base RI'!S44+'A) Base RI'!T44</f>
        <v>0</v>
      </c>
      <c r="AB44" s="10">
        <f>+'A) Base RI'!U44</f>
        <v>5080</v>
      </c>
      <c r="AC44" s="10">
        <f>+'A) Base RI'!V44</f>
        <v>0</v>
      </c>
      <c r="AD44" s="10">
        <f>+'A) Base RI'!W44</f>
        <v>0</v>
      </c>
      <c r="AE44" s="10">
        <f>+'A) Base RI'!Y44</f>
        <v>35576</v>
      </c>
      <c r="AF44" s="10">
        <f>+'A) Base RI'!Z44</f>
        <v>0</v>
      </c>
      <c r="AG44" s="10">
        <f>+'A) Base RI'!AA44</f>
        <v>144230.79999999999</v>
      </c>
      <c r="AH44" s="10">
        <f>+'A) Base RI'!AB44</f>
        <v>0</v>
      </c>
      <c r="AI44" s="10">
        <f>+'A) Base RI'!AC44</f>
        <v>106598.12</v>
      </c>
      <c r="AJ44" s="10">
        <f>+'A) Base RI'!AD44</f>
        <v>0</v>
      </c>
      <c r="AK44" s="10">
        <f>+'A) Base RI'!AE44</f>
        <v>0</v>
      </c>
      <c r="AL44" s="10">
        <f>+'A) Base RI'!AF44</f>
        <v>0</v>
      </c>
      <c r="AM44" s="10">
        <f>+'A) Base RI'!AG44</f>
        <v>0</v>
      </c>
      <c r="AN44" s="10">
        <f>+'A) Base RI'!AH44</f>
        <v>0</v>
      </c>
      <c r="AO44" s="10">
        <f>+'A) Base RI'!AI44</f>
        <v>0</v>
      </c>
      <c r="AP44" s="10">
        <f>+'A) Base RI'!AJ44</f>
        <v>0</v>
      </c>
      <c r="AQ44" s="10">
        <f>+'A) Base RI'!AK44</f>
        <v>0</v>
      </c>
      <c r="AR44" s="10">
        <f>'A) Base RI'!AN44</f>
        <v>982</v>
      </c>
    </row>
    <row r="45" spans="1:44" x14ac:dyDescent="0.25">
      <c r="A45" s="8">
        <f>'A) Base RI'!A45</f>
        <v>5474</v>
      </c>
      <c r="B45" s="34" t="str">
        <f>'A) Base RI'!B45</f>
        <v>La Chaux (Cossonay)</v>
      </c>
      <c r="C45" s="10">
        <f>'A) Base RI'!C45+'A) Base RI'!D45</f>
        <v>919491.79</v>
      </c>
      <c r="D45" s="10">
        <f>'A) Base RI'!AO45</f>
        <v>-2262.0300000000002</v>
      </c>
      <c r="E45" s="33">
        <f>'A) Base RI'!AP45</f>
        <v>0</v>
      </c>
      <c r="F45" s="33">
        <f>'A) Base RI'!AQ45</f>
        <v>-44.92</v>
      </c>
      <c r="G45" s="2">
        <f t="shared" si="0"/>
        <v>917184.84</v>
      </c>
      <c r="H45" s="10">
        <f>+'A) Base RI'!E45</f>
        <v>0</v>
      </c>
      <c r="I45" s="10">
        <f>+'A) Base RI'!F45</f>
        <v>0</v>
      </c>
      <c r="J45" s="10">
        <f>+'A) Base RI'!G45+'A) Base RI'!H45</f>
        <v>5389.0999999999995</v>
      </c>
      <c r="K45" s="10">
        <f>+'A) Base RI'!I45</f>
        <v>35177.050000000003</v>
      </c>
      <c r="L45" s="10">
        <f>+'A) Base RI'!J45</f>
        <v>-379.03</v>
      </c>
      <c r="M45" s="10">
        <f>+'A) Base RI'!K45</f>
        <v>617.5</v>
      </c>
      <c r="N45" s="10">
        <f>+'A) Base RI'!Q45</f>
        <v>6628.6</v>
      </c>
      <c r="O45" s="10">
        <f t="shared" si="1"/>
        <v>68206.333333333343</v>
      </c>
      <c r="P45" s="10">
        <f>+'A) Base RI'!L45</f>
        <v>81847.600000000006</v>
      </c>
      <c r="Q45" s="36">
        <f>'A) Base RI'!AR45</f>
        <v>1.2</v>
      </c>
      <c r="R45" s="2">
        <f t="shared" si="2"/>
        <v>1032824.3933333333</v>
      </c>
      <c r="S45" s="35">
        <f>+'A) Base RI'!AM45</f>
        <v>77</v>
      </c>
      <c r="T45" s="2">
        <f t="shared" si="3"/>
        <v>964000.55999999994</v>
      </c>
      <c r="U45" s="2">
        <f t="shared" si="4"/>
        <v>13413.30380952381</v>
      </c>
      <c r="V45" s="10">
        <f>+'A) Base RI'!O45</f>
        <v>160359.9</v>
      </c>
      <c r="W45" s="10">
        <f>+'A) Base RI'!P45</f>
        <v>20321.45</v>
      </c>
      <c r="X45" s="10">
        <f>+'A) Base RI'!R45</f>
        <v>31545.9</v>
      </c>
      <c r="Y45" s="2">
        <f t="shared" si="5"/>
        <v>212227.25</v>
      </c>
      <c r="Z45" s="10">
        <f>+'A) Base RI'!N45</f>
        <v>5919.6</v>
      </c>
      <c r="AA45" s="10">
        <f>+'A) Base RI'!S45+'A) Base RI'!T45</f>
        <v>0</v>
      </c>
      <c r="AB45" s="10">
        <f>+'A) Base RI'!U45</f>
        <v>1600</v>
      </c>
      <c r="AC45" s="10">
        <f>+'A) Base RI'!V45</f>
        <v>0</v>
      </c>
      <c r="AD45" s="10">
        <f>+'A) Base RI'!W45</f>
        <v>0</v>
      </c>
      <c r="AE45" s="10">
        <f>+'A) Base RI'!Y45</f>
        <v>27610</v>
      </c>
      <c r="AF45" s="10">
        <f>+'A) Base RI'!Z45</f>
        <v>0</v>
      </c>
      <c r="AG45" s="10">
        <f>+'A) Base RI'!AA45</f>
        <v>84195.25</v>
      </c>
      <c r="AH45" s="10">
        <f>+'A) Base RI'!AB45</f>
        <v>0</v>
      </c>
      <c r="AI45" s="10">
        <f>+'A) Base RI'!AC45</f>
        <v>27695</v>
      </c>
      <c r="AJ45" s="10">
        <f>+'A) Base RI'!AD45</f>
        <v>0</v>
      </c>
      <c r="AK45" s="10">
        <f>+'A) Base RI'!AE45</f>
        <v>0</v>
      </c>
      <c r="AL45" s="10">
        <f>+'A) Base RI'!AF45</f>
        <v>0</v>
      </c>
      <c r="AM45" s="10">
        <f>+'A) Base RI'!AG45</f>
        <v>0</v>
      </c>
      <c r="AN45" s="10">
        <f>+'A) Base RI'!AH45</f>
        <v>0</v>
      </c>
      <c r="AO45" s="10">
        <f>+'A) Base RI'!AI45</f>
        <v>0</v>
      </c>
      <c r="AP45" s="10">
        <f>+'A) Base RI'!AJ45</f>
        <v>0</v>
      </c>
      <c r="AQ45" s="10">
        <f>+'A) Base RI'!AK45</f>
        <v>0</v>
      </c>
      <c r="AR45" s="10">
        <f>'A) Base RI'!AN45</f>
        <v>420</v>
      </c>
    </row>
    <row r="46" spans="1:44" x14ac:dyDescent="0.25">
      <c r="A46" s="8">
        <f>'A) Base RI'!A46</f>
        <v>5475</v>
      </c>
      <c r="B46" s="34" t="str">
        <f>'A) Base RI'!B46</f>
        <v>Chavannes-le-Veyron</v>
      </c>
      <c r="C46" s="10">
        <f>'A) Base RI'!C46+'A) Base RI'!D46</f>
        <v>261701.42</v>
      </c>
      <c r="D46" s="10">
        <f>'A) Base RI'!AO46</f>
        <v>-4390.1400000000003</v>
      </c>
      <c r="E46" s="33">
        <f>'A) Base RI'!AP46</f>
        <v>0</v>
      </c>
      <c r="F46" s="33">
        <f>'A) Base RI'!AQ46</f>
        <v>0</v>
      </c>
      <c r="G46" s="2">
        <f t="shared" si="0"/>
        <v>257311.28</v>
      </c>
      <c r="H46" s="10">
        <f>+'A) Base RI'!E46</f>
        <v>0</v>
      </c>
      <c r="I46" s="10">
        <f>+'A) Base RI'!F46</f>
        <v>0</v>
      </c>
      <c r="J46" s="10">
        <f>+'A) Base RI'!G46+'A) Base RI'!H46</f>
        <v>1662.4499999999998</v>
      </c>
      <c r="K46" s="10">
        <f>+'A) Base RI'!I46</f>
        <v>0</v>
      </c>
      <c r="L46" s="10">
        <f>+'A) Base RI'!J46</f>
        <v>9747.01</v>
      </c>
      <c r="M46" s="10">
        <f>+'A) Base RI'!K46</f>
        <v>0</v>
      </c>
      <c r="N46" s="10">
        <f>+'A) Base RI'!Q46</f>
        <v>0</v>
      </c>
      <c r="O46" s="10">
        <f t="shared" si="1"/>
        <v>22577.3</v>
      </c>
      <c r="P46" s="10">
        <f>+'A) Base RI'!L46</f>
        <v>22577.3</v>
      </c>
      <c r="Q46" s="36">
        <f>'A) Base RI'!AR46</f>
        <v>1</v>
      </c>
      <c r="R46" s="2">
        <f t="shared" si="2"/>
        <v>291298.03999999998</v>
      </c>
      <c r="S46" s="35">
        <f>+'A) Base RI'!AM46</f>
        <v>77</v>
      </c>
      <c r="T46" s="2">
        <f t="shared" si="3"/>
        <v>268720.74</v>
      </c>
      <c r="U46" s="2">
        <f t="shared" si="4"/>
        <v>3783.0914285714284</v>
      </c>
      <c r="V46" s="10">
        <f>+'A) Base RI'!O46</f>
        <v>0</v>
      </c>
      <c r="W46" s="10">
        <f>+'A) Base RI'!P46</f>
        <v>5500</v>
      </c>
      <c r="X46" s="10">
        <f>+'A) Base RI'!R46</f>
        <v>0</v>
      </c>
      <c r="Y46" s="2">
        <f t="shared" si="5"/>
        <v>5500</v>
      </c>
      <c r="Z46" s="10">
        <f>+'A) Base RI'!N46</f>
        <v>0</v>
      </c>
      <c r="AA46" s="10">
        <f>+'A) Base RI'!S46+'A) Base RI'!T46</f>
        <v>0</v>
      </c>
      <c r="AB46" s="10">
        <f>+'A) Base RI'!U46</f>
        <v>510</v>
      </c>
      <c r="AC46" s="10">
        <f>+'A) Base RI'!V46</f>
        <v>0</v>
      </c>
      <c r="AD46" s="10">
        <f>+'A) Base RI'!W46</f>
        <v>0</v>
      </c>
      <c r="AE46" s="10">
        <f>+'A) Base RI'!Y46</f>
        <v>21020.65</v>
      </c>
      <c r="AF46" s="10">
        <f>+'A) Base RI'!Z46</f>
        <v>9180</v>
      </c>
      <c r="AG46" s="10">
        <f>+'A) Base RI'!AA46</f>
        <v>13209</v>
      </c>
      <c r="AH46" s="10">
        <f>+'A) Base RI'!AB46</f>
        <v>0</v>
      </c>
      <c r="AI46" s="10">
        <f>+'A) Base RI'!AC46</f>
        <v>15620.3</v>
      </c>
      <c r="AJ46" s="10">
        <f>+'A) Base RI'!AD46</f>
        <v>16088.65</v>
      </c>
      <c r="AK46" s="10">
        <f>+'A) Base RI'!AE46</f>
        <v>0</v>
      </c>
      <c r="AL46" s="10">
        <f>+'A) Base RI'!AF46</f>
        <v>0</v>
      </c>
      <c r="AM46" s="10">
        <f>+'A) Base RI'!AG46</f>
        <v>0</v>
      </c>
      <c r="AN46" s="10">
        <f>+'A) Base RI'!AH46</f>
        <v>0</v>
      </c>
      <c r="AO46" s="10">
        <f>+'A) Base RI'!AI46</f>
        <v>0</v>
      </c>
      <c r="AP46" s="10">
        <f>+'A) Base RI'!AJ46</f>
        <v>0</v>
      </c>
      <c r="AQ46" s="10">
        <f>+'A) Base RI'!AK46</f>
        <v>0</v>
      </c>
      <c r="AR46" s="10">
        <f>'A) Base RI'!AN46</f>
        <v>141</v>
      </c>
    </row>
    <row r="47" spans="1:44" x14ac:dyDescent="0.25">
      <c r="A47" s="8">
        <f>'A) Base RI'!A47</f>
        <v>5476</v>
      </c>
      <c r="B47" s="34" t="str">
        <f>'A) Base RI'!B47</f>
        <v>Chevilly</v>
      </c>
      <c r="C47" s="10">
        <f>'A) Base RI'!C47+'A) Base RI'!D47</f>
        <v>679796.18</v>
      </c>
      <c r="D47" s="10">
        <f>'A) Base RI'!AO47</f>
        <v>-3774.47</v>
      </c>
      <c r="E47" s="33">
        <f>'A) Base RI'!AP47</f>
        <v>0</v>
      </c>
      <c r="F47" s="33">
        <f>'A) Base RI'!AQ47</f>
        <v>-3.16</v>
      </c>
      <c r="G47" s="2">
        <f t="shared" si="0"/>
        <v>676018.55</v>
      </c>
      <c r="H47" s="10">
        <f>+'A) Base RI'!E47</f>
        <v>0</v>
      </c>
      <c r="I47" s="10">
        <f>+'A) Base RI'!F47</f>
        <v>0</v>
      </c>
      <c r="J47" s="10">
        <f>+'A) Base RI'!G47+'A) Base RI'!H47</f>
        <v>8207.7999999999993</v>
      </c>
      <c r="K47" s="10">
        <f>+'A) Base RI'!I47</f>
        <v>0</v>
      </c>
      <c r="L47" s="10">
        <f>+'A) Base RI'!J47</f>
        <v>5679.14</v>
      </c>
      <c r="M47" s="10">
        <f>+'A) Base RI'!K47</f>
        <v>0</v>
      </c>
      <c r="N47" s="10">
        <f>+'A) Base RI'!Q47</f>
        <v>0</v>
      </c>
      <c r="O47" s="10">
        <f t="shared" si="1"/>
        <v>56716.266666666663</v>
      </c>
      <c r="P47" s="10">
        <f>+'A) Base RI'!L47</f>
        <v>85074.4</v>
      </c>
      <c r="Q47" s="36">
        <f>'A) Base RI'!AR47</f>
        <v>1.5</v>
      </c>
      <c r="R47" s="2">
        <f t="shared" si="2"/>
        <v>746621.75666666683</v>
      </c>
      <c r="S47" s="35">
        <f>+'A) Base RI'!AM47</f>
        <v>74</v>
      </c>
      <c r="T47" s="2">
        <f t="shared" si="3"/>
        <v>689905.49000000011</v>
      </c>
      <c r="U47" s="2">
        <f t="shared" si="4"/>
        <v>10089.483198198201</v>
      </c>
      <c r="V47" s="10">
        <f>+'A) Base RI'!O47</f>
        <v>4409.2</v>
      </c>
      <c r="W47" s="10">
        <f>+'A) Base RI'!P47</f>
        <v>0</v>
      </c>
      <c r="X47" s="10">
        <f>+'A) Base RI'!R47</f>
        <v>0</v>
      </c>
      <c r="Y47" s="2">
        <f t="shared" si="5"/>
        <v>4409.2</v>
      </c>
      <c r="Z47" s="10">
        <f>+'A) Base RI'!N47</f>
        <v>0</v>
      </c>
      <c r="AA47" s="10">
        <f>+'A) Base RI'!S47+'A) Base RI'!T47</f>
        <v>0</v>
      </c>
      <c r="AB47" s="10">
        <f>+'A) Base RI'!U47</f>
        <v>2950</v>
      </c>
      <c r="AC47" s="10">
        <f>+'A) Base RI'!V47</f>
        <v>0</v>
      </c>
      <c r="AD47" s="10">
        <f>+'A) Base RI'!W47</f>
        <v>0</v>
      </c>
      <c r="AE47" s="10">
        <f>+'A) Base RI'!Y47</f>
        <v>3287.8</v>
      </c>
      <c r="AF47" s="10">
        <f>+'A) Base RI'!Z47</f>
        <v>0</v>
      </c>
      <c r="AG47" s="10">
        <f>+'A) Base RI'!AA47</f>
        <v>15525</v>
      </c>
      <c r="AH47" s="10">
        <f>+'A) Base RI'!AB47</f>
        <v>0</v>
      </c>
      <c r="AI47" s="10">
        <f>+'A) Base RI'!AC47</f>
        <v>15722.5</v>
      </c>
      <c r="AJ47" s="10">
        <f>+'A) Base RI'!AD47</f>
        <v>5479.65</v>
      </c>
      <c r="AK47" s="10">
        <f>+'A) Base RI'!AE47</f>
        <v>0</v>
      </c>
      <c r="AL47" s="10">
        <f>+'A) Base RI'!AF47</f>
        <v>0</v>
      </c>
      <c r="AM47" s="10">
        <f>+'A) Base RI'!AG47</f>
        <v>0</v>
      </c>
      <c r="AN47" s="10">
        <f>+'A) Base RI'!AH47</f>
        <v>0</v>
      </c>
      <c r="AO47" s="10">
        <f>+'A) Base RI'!AI47</f>
        <v>0</v>
      </c>
      <c r="AP47" s="10">
        <f>+'A) Base RI'!AJ47</f>
        <v>0</v>
      </c>
      <c r="AQ47" s="10">
        <f>+'A) Base RI'!AK47</f>
        <v>0</v>
      </c>
      <c r="AR47" s="10">
        <f>'A) Base RI'!AN47</f>
        <v>298</v>
      </c>
    </row>
    <row r="48" spans="1:44" x14ac:dyDescent="0.25">
      <c r="A48" s="8">
        <f>'A) Base RI'!A48</f>
        <v>5477</v>
      </c>
      <c r="B48" s="34" t="str">
        <f>'A) Base RI'!B48</f>
        <v>Cossonay</v>
      </c>
      <c r="C48" s="10">
        <f>'A) Base RI'!C48+'A) Base RI'!D48</f>
        <v>7670838.4500000002</v>
      </c>
      <c r="D48" s="10">
        <f>'A) Base RI'!AO48</f>
        <v>-113022.57</v>
      </c>
      <c r="E48" s="33">
        <f>'A) Base RI'!AP48</f>
        <v>0</v>
      </c>
      <c r="F48" s="33">
        <f>'A) Base RI'!AQ48</f>
        <v>-221.81</v>
      </c>
      <c r="G48" s="2">
        <f t="shared" si="0"/>
        <v>7557594.0700000003</v>
      </c>
      <c r="H48" s="10">
        <f>+'A) Base RI'!E48</f>
        <v>0</v>
      </c>
      <c r="I48" s="10">
        <f>+'A) Base RI'!F48</f>
        <v>0</v>
      </c>
      <c r="J48" s="10">
        <f>+'A) Base RI'!G48+'A) Base RI'!H48</f>
        <v>530561.19999999995</v>
      </c>
      <c r="K48" s="10">
        <f>+'A) Base RI'!I48</f>
        <v>0</v>
      </c>
      <c r="L48" s="10">
        <f>+'A) Base RI'!J48</f>
        <v>246620</v>
      </c>
      <c r="M48" s="10">
        <f>+'A) Base RI'!K48</f>
        <v>7568.9</v>
      </c>
      <c r="N48" s="10">
        <f>+'A) Base RI'!Q48</f>
        <v>11175.26</v>
      </c>
      <c r="O48" s="10">
        <f t="shared" si="1"/>
        <v>593419.69999999995</v>
      </c>
      <c r="P48" s="10">
        <f>+'A) Base RI'!L48</f>
        <v>593419.69999999995</v>
      </c>
      <c r="Q48" s="36">
        <f>'A) Base RI'!AR48</f>
        <v>1</v>
      </c>
      <c r="R48" s="2">
        <f t="shared" si="2"/>
        <v>8946939.1300000008</v>
      </c>
      <c r="S48" s="35">
        <f>+'A) Base RI'!AM48</f>
        <v>71</v>
      </c>
      <c r="T48" s="2">
        <f t="shared" si="3"/>
        <v>8345950.5300000003</v>
      </c>
      <c r="U48" s="2">
        <f t="shared" si="4"/>
        <v>126013.2271830986</v>
      </c>
      <c r="V48" s="10">
        <f>+'A) Base RI'!O48</f>
        <v>160803</v>
      </c>
      <c r="W48" s="10">
        <f>+'A) Base RI'!P48</f>
        <v>757341.75</v>
      </c>
      <c r="X48" s="10">
        <f>+'A) Base RI'!R48</f>
        <v>211688</v>
      </c>
      <c r="Y48" s="2">
        <f t="shared" si="5"/>
        <v>1129832.75</v>
      </c>
      <c r="Z48" s="10">
        <f>+'A) Base RI'!N48</f>
        <v>77640.55</v>
      </c>
      <c r="AA48" s="10">
        <f>+'A) Base RI'!S48+'A) Base RI'!T48</f>
        <v>0</v>
      </c>
      <c r="AB48" s="10">
        <f>+'A) Base RI'!U48</f>
        <v>19000</v>
      </c>
      <c r="AC48" s="10">
        <f>+'A) Base RI'!V48</f>
        <v>0</v>
      </c>
      <c r="AD48" s="10">
        <f>+'A) Base RI'!W48</f>
        <v>0</v>
      </c>
      <c r="AE48" s="10">
        <f>+'A) Base RI'!Y48</f>
        <v>155417.1</v>
      </c>
      <c r="AF48" s="10">
        <f>+'A) Base RI'!Z48</f>
        <v>327900</v>
      </c>
      <c r="AG48" s="10">
        <f>+'A) Base RI'!AA48</f>
        <v>347061.2</v>
      </c>
      <c r="AH48" s="10">
        <f>+'A) Base RI'!AB48</f>
        <v>493905.9</v>
      </c>
      <c r="AI48" s="10">
        <f>+'A) Base RI'!AC48</f>
        <v>351556.7</v>
      </c>
      <c r="AJ48" s="10">
        <f>+'A) Base RI'!AD48</f>
        <v>113360.7</v>
      </c>
      <c r="AK48" s="10">
        <f>+'A) Base RI'!AE48</f>
        <v>67645.100000000006</v>
      </c>
      <c r="AL48" s="10">
        <f>+'A) Base RI'!AF48</f>
        <v>0</v>
      </c>
      <c r="AM48" s="10">
        <f>+'A) Base RI'!AG48</f>
        <v>1213.8</v>
      </c>
      <c r="AN48" s="10">
        <f>+'A) Base RI'!AH48</f>
        <v>77195.850000000006</v>
      </c>
      <c r="AO48" s="10">
        <f>+'A) Base RI'!AI48</f>
        <v>0</v>
      </c>
      <c r="AP48" s="10">
        <f>+'A) Base RI'!AJ48</f>
        <v>0</v>
      </c>
      <c r="AQ48" s="10">
        <f>+'A) Base RI'!AK48</f>
        <v>17263.400000000001</v>
      </c>
      <c r="AR48" s="10">
        <f>'A) Base RI'!AN48</f>
        <v>3808</v>
      </c>
    </row>
    <row r="49" spans="1:44" x14ac:dyDescent="0.25">
      <c r="A49" s="8">
        <f>'A) Base RI'!A49</f>
        <v>5478</v>
      </c>
      <c r="B49" s="34" t="str">
        <f>'A) Base RI'!B49</f>
        <v>Cottens</v>
      </c>
      <c r="C49" s="10">
        <f>'A) Base RI'!C49+'A) Base RI'!D49</f>
        <v>1140197.6400000001</v>
      </c>
      <c r="D49" s="10">
        <f>'A) Base RI'!AO49</f>
        <v>-6580.48</v>
      </c>
      <c r="E49" s="33">
        <f>'A) Base RI'!AP49</f>
        <v>0</v>
      </c>
      <c r="F49" s="33">
        <f>'A) Base RI'!AQ49</f>
        <v>0</v>
      </c>
      <c r="G49" s="2">
        <f t="shared" si="0"/>
        <v>1133617.1600000001</v>
      </c>
      <c r="H49" s="10">
        <f>+'A) Base RI'!E49</f>
        <v>0</v>
      </c>
      <c r="I49" s="10">
        <f>+'A) Base RI'!F49</f>
        <v>0</v>
      </c>
      <c r="J49" s="10">
        <f>+'A) Base RI'!G49+'A) Base RI'!H49</f>
        <v>29591.8</v>
      </c>
      <c r="K49" s="10">
        <f>+'A) Base RI'!I49</f>
        <v>0</v>
      </c>
      <c r="L49" s="10">
        <f>+'A) Base RI'!J49</f>
        <v>12728.5</v>
      </c>
      <c r="M49" s="10">
        <f>+'A) Base RI'!K49</f>
        <v>250</v>
      </c>
      <c r="N49" s="10">
        <f>+'A) Base RI'!Q49</f>
        <v>5986.15</v>
      </c>
      <c r="O49" s="10">
        <f t="shared" si="1"/>
        <v>78073.25</v>
      </c>
      <c r="P49" s="10">
        <f>+'A) Base RI'!L49</f>
        <v>78073.25</v>
      </c>
      <c r="Q49" s="36">
        <f>'A) Base RI'!AR49</f>
        <v>1</v>
      </c>
      <c r="R49" s="2">
        <f t="shared" si="2"/>
        <v>1260246.8600000001</v>
      </c>
      <c r="S49" s="35">
        <f>+'A) Base RI'!AM49</f>
        <v>74</v>
      </c>
      <c r="T49" s="2">
        <f t="shared" si="3"/>
        <v>1181923.6100000001</v>
      </c>
      <c r="U49" s="2">
        <f t="shared" si="4"/>
        <v>17030.362972972973</v>
      </c>
      <c r="V49" s="10">
        <f>+'A) Base RI'!O49</f>
        <v>0</v>
      </c>
      <c r="W49" s="10">
        <f>+'A) Base RI'!P49</f>
        <v>40801.449999999997</v>
      </c>
      <c r="X49" s="10">
        <f>+'A) Base RI'!R49</f>
        <v>39907.449999999997</v>
      </c>
      <c r="Y49" s="2">
        <f t="shared" si="5"/>
        <v>80708.899999999994</v>
      </c>
      <c r="Z49" s="10">
        <f>+'A) Base RI'!N49</f>
        <v>0</v>
      </c>
      <c r="AA49" s="10">
        <f>+'A) Base RI'!S49+'A) Base RI'!T49</f>
        <v>420.55</v>
      </c>
      <c r="AB49" s="10">
        <f>+'A) Base RI'!U49</f>
        <v>1875</v>
      </c>
      <c r="AC49" s="10">
        <f>+'A) Base RI'!V49</f>
        <v>0</v>
      </c>
      <c r="AD49" s="10">
        <f>+'A) Base RI'!W49</f>
        <v>0</v>
      </c>
      <c r="AE49" s="10">
        <f>+'A) Base RI'!Y49</f>
        <v>10020</v>
      </c>
      <c r="AF49" s="10">
        <f>+'A) Base RI'!Z49</f>
        <v>0</v>
      </c>
      <c r="AG49" s="10">
        <f>+'A) Base RI'!AA49</f>
        <v>32234.5</v>
      </c>
      <c r="AH49" s="10">
        <f>+'A) Base RI'!AB49</f>
        <v>0</v>
      </c>
      <c r="AI49" s="10">
        <f>+'A) Base RI'!AC49</f>
        <v>28348.25</v>
      </c>
      <c r="AJ49" s="10">
        <f>+'A) Base RI'!AD49</f>
        <v>10020</v>
      </c>
      <c r="AK49" s="10">
        <f>+'A) Base RI'!AE49</f>
        <v>0</v>
      </c>
      <c r="AL49" s="10">
        <f>+'A) Base RI'!AF49</f>
        <v>0</v>
      </c>
      <c r="AM49" s="10">
        <f>+'A) Base RI'!AG49</f>
        <v>0</v>
      </c>
      <c r="AN49" s="10">
        <f>+'A) Base RI'!AH49</f>
        <v>0</v>
      </c>
      <c r="AO49" s="10">
        <f>+'A) Base RI'!AI49</f>
        <v>0</v>
      </c>
      <c r="AP49" s="10">
        <f>+'A) Base RI'!AJ49</f>
        <v>0</v>
      </c>
      <c r="AQ49" s="10">
        <f>+'A) Base RI'!AK49</f>
        <v>0</v>
      </c>
      <c r="AR49" s="10">
        <f>'A) Base RI'!AN49</f>
        <v>477</v>
      </c>
    </row>
    <row r="50" spans="1:44" x14ac:dyDescent="0.25">
      <c r="A50" s="8">
        <f>'A) Base RI'!A50</f>
        <v>5479</v>
      </c>
      <c r="B50" s="34" t="str">
        <f>'A) Base RI'!B50</f>
        <v>Cuarnens</v>
      </c>
      <c r="C50" s="10">
        <f>'A) Base RI'!C50+'A) Base RI'!D50</f>
        <v>904891.1</v>
      </c>
      <c r="D50" s="10">
        <f>'A) Base RI'!AO50</f>
        <v>-11975.34</v>
      </c>
      <c r="E50" s="33">
        <f>'A) Base RI'!AP50</f>
        <v>0</v>
      </c>
      <c r="F50" s="33">
        <f>'A) Base RI'!AQ50</f>
        <v>0</v>
      </c>
      <c r="G50" s="2">
        <f t="shared" si="0"/>
        <v>892915.76</v>
      </c>
      <c r="H50" s="10">
        <f>+'A) Base RI'!E50</f>
        <v>0</v>
      </c>
      <c r="I50" s="10">
        <f>+'A) Base RI'!F50</f>
        <v>0</v>
      </c>
      <c r="J50" s="10">
        <f>+'A) Base RI'!G50+'A) Base RI'!H50</f>
        <v>27659.75</v>
      </c>
      <c r="K50" s="10">
        <f>+'A) Base RI'!I50</f>
        <v>485850.92</v>
      </c>
      <c r="L50" s="10">
        <f>+'A) Base RI'!J50</f>
        <v>13301.04</v>
      </c>
      <c r="M50" s="10">
        <f>+'A) Base RI'!K50</f>
        <v>2397.5</v>
      </c>
      <c r="N50" s="10">
        <f>+'A) Base RI'!Q50</f>
        <v>2314.04</v>
      </c>
      <c r="O50" s="10">
        <f t="shared" si="1"/>
        <v>86947.25</v>
      </c>
      <c r="P50" s="10">
        <f>+'A) Base RI'!L50</f>
        <v>86947.25</v>
      </c>
      <c r="Q50" s="36">
        <f>'A) Base RI'!AR50</f>
        <v>1</v>
      </c>
      <c r="R50" s="2">
        <f t="shared" si="2"/>
        <v>1511386.26</v>
      </c>
      <c r="S50" s="35">
        <f>+'A) Base RI'!AM50</f>
        <v>77</v>
      </c>
      <c r="T50" s="2">
        <f t="shared" si="3"/>
        <v>1422041.51</v>
      </c>
      <c r="U50" s="2">
        <f t="shared" si="4"/>
        <v>19628.392987012987</v>
      </c>
      <c r="V50" s="10">
        <f>+'A) Base RI'!O50</f>
        <v>5678.8</v>
      </c>
      <c r="W50" s="10">
        <f>+'A) Base RI'!P50</f>
        <v>63136.3</v>
      </c>
      <c r="X50" s="10">
        <f>+'A) Base RI'!R50</f>
        <v>50667.85</v>
      </c>
      <c r="Y50" s="2">
        <f t="shared" si="5"/>
        <v>119482.95000000001</v>
      </c>
      <c r="Z50" s="10">
        <f>+'A) Base RI'!N50</f>
        <v>9702.0499999999993</v>
      </c>
      <c r="AA50" s="10">
        <f>+'A) Base RI'!S50+'A) Base RI'!T50</f>
        <v>1035.6500000000001</v>
      </c>
      <c r="AB50" s="10">
        <f>+'A) Base RI'!U50</f>
        <v>1820</v>
      </c>
      <c r="AC50" s="10">
        <f>+'A) Base RI'!V50</f>
        <v>136</v>
      </c>
      <c r="AD50" s="10">
        <f>+'A) Base RI'!W50</f>
        <v>0</v>
      </c>
      <c r="AE50" s="10">
        <f>+'A) Base RI'!Y50</f>
        <v>0</v>
      </c>
      <c r="AF50" s="10">
        <f>+'A) Base RI'!Z50</f>
        <v>0</v>
      </c>
      <c r="AG50" s="10">
        <f>+'A) Base RI'!AA50</f>
        <v>56548</v>
      </c>
      <c r="AH50" s="10">
        <f>+'A) Base RI'!AB50</f>
        <v>0</v>
      </c>
      <c r="AI50" s="10">
        <f>+'A) Base RI'!AC50</f>
        <v>65688.399999999994</v>
      </c>
      <c r="AJ50" s="10">
        <f>+'A) Base RI'!AD50</f>
        <v>0</v>
      </c>
      <c r="AK50" s="10">
        <f>+'A) Base RI'!AE50</f>
        <v>11690</v>
      </c>
      <c r="AL50" s="10">
        <f>+'A) Base RI'!AF50</f>
        <v>0</v>
      </c>
      <c r="AM50" s="10">
        <f>+'A) Base RI'!AG50</f>
        <v>0</v>
      </c>
      <c r="AN50" s="10">
        <f>+'A) Base RI'!AH50</f>
        <v>13534</v>
      </c>
      <c r="AO50" s="10">
        <f>+'A) Base RI'!AI50</f>
        <v>0</v>
      </c>
      <c r="AP50" s="10">
        <f>+'A) Base RI'!AJ50</f>
        <v>0</v>
      </c>
      <c r="AQ50" s="10">
        <f>+'A) Base RI'!AK50</f>
        <v>0</v>
      </c>
      <c r="AR50" s="10">
        <f>'A) Base RI'!AN50</f>
        <v>479</v>
      </c>
    </row>
    <row r="51" spans="1:44" x14ac:dyDescent="0.25">
      <c r="A51" s="8">
        <f>'A) Base RI'!A51</f>
        <v>5480</v>
      </c>
      <c r="B51" s="34" t="str">
        <f>'A) Base RI'!B51</f>
        <v>Daillens</v>
      </c>
      <c r="C51" s="10">
        <f>'A) Base RI'!C51+'A) Base RI'!D51</f>
        <v>2512556.54</v>
      </c>
      <c r="D51" s="10">
        <f>'A) Base RI'!AO51</f>
        <v>-25645.24</v>
      </c>
      <c r="E51" s="33">
        <f>'A) Base RI'!AP51</f>
        <v>0</v>
      </c>
      <c r="F51" s="33">
        <f>'A) Base RI'!AQ51</f>
        <v>-205.82</v>
      </c>
      <c r="G51" s="2">
        <f t="shared" si="0"/>
        <v>2486705.48</v>
      </c>
      <c r="H51" s="10">
        <f>+'A) Base RI'!E51</f>
        <v>0</v>
      </c>
      <c r="I51" s="10">
        <f>+'A) Base RI'!F51</f>
        <v>0</v>
      </c>
      <c r="J51" s="10">
        <f>+'A) Base RI'!G51+'A) Base RI'!H51</f>
        <v>138055.54999999999</v>
      </c>
      <c r="K51" s="10">
        <f>+'A) Base RI'!I51</f>
        <v>0</v>
      </c>
      <c r="L51" s="10">
        <f>+'A) Base RI'!J51</f>
        <v>39113.39</v>
      </c>
      <c r="M51" s="10">
        <f>+'A) Base RI'!K51</f>
        <v>8743.65</v>
      </c>
      <c r="N51" s="10">
        <f>+'A) Base RI'!Q51</f>
        <v>17470.11</v>
      </c>
      <c r="O51" s="10">
        <f t="shared" si="1"/>
        <v>278373.2</v>
      </c>
      <c r="P51" s="10">
        <f>+'A) Base RI'!L51</f>
        <v>278373.2</v>
      </c>
      <c r="Q51" s="36">
        <f>'A) Base RI'!AR51</f>
        <v>1</v>
      </c>
      <c r="R51" s="2">
        <f t="shared" si="2"/>
        <v>2968461.38</v>
      </c>
      <c r="S51" s="35">
        <f>+'A) Base RI'!AM51</f>
        <v>71</v>
      </c>
      <c r="T51" s="2">
        <f t="shared" si="3"/>
        <v>2681344.5299999998</v>
      </c>
      <c r="U51" s="2">
        <f t="shared" si="4"/>
        <v>41809.315211267603</v>
      </c>
      <c r="V51" s="10">
        <f>+'A) Base RI'!O51</f>
        <v>3313.6</v>
      </c>
      <c r="W51" s="10">
        <f>+'A) Base RI'!P51</f>
        <v>58611.25</v>
      </c>
      <c r="X51" s="10">
        <f>+'A) Base RI'!R51</f>
        <v>13602.25</v>
      </c>
      <c r="Y51" s="2">
        <f t="shared" si="5"/>
        <v>75527.100000000006</v>
      </c>
      <c r="Z51" s="10">
        <f>+'A) Base RI'!N51</f>
        <v>129347.4</v>
      </c>
      <c r="AA51" s="10">
        <f>+'A) Base RI'!S51+'A) Base RI'!T51</f>
        <v>850</v>
      </c>
      <c r="AB51" s="10">
        <f>+'A) Base RI'!U51</f>
        <v>9100</v>
      </c>
      <c r="AC51" s="10">
        <f>+'A) Base RI'!V51</f>
        <v>150</v>
      </c>
      <c r="AD51" s="10">
        <f>+'A) Base RI'!W51</f>
        <v>766.4</v>
      </c>
      <c r="AE51" s="10">
        <f>+'A) Base RI'!Y51</f>
        <v>36454.050000000003</v>
      </c>
      <c r="AF51" s="10">
        <f>+'A) Base RI'!Z51</f>
        <v>0</v>
      </c>
      <c r="AG51" s="10">
        <f>+'A) Base RI'!AA51</f>
        <v>103575.6</v>
      </c>
      <c r="AH51" s="10">
        <f>+'A) Base RI'!AB51</f>
        <v>140397.9</v>
      </c>
      <c r="AI51" s="10">
        <f>+'A) Base RI'!AC51</f>
        <v>72981.600000000006</v>
      </c>
      <c r="AJ51" s="10">
        <f>+'A) Base RI'!AD51</f>
        <v>13969.95</v>
      </c>
      <c r="AK51" s="10">
        <f>+'A) Base RI'!AE51</f>
        <v>0</v>
      </c>
      <c r="AL51" s="10">
        <f>+'A) Base RI'!AF51</f>
        <v>0</v>
      </c>
      <c r="AM51" s="10">
        <f>+'A) Base RI'!AG51</f>
        <v>3726.8</v>
      </c>
      <c r="AN51" s="10">
        <f>+'A) Base RI'!AH51</f>
        <v>61232.35</v>
      </c>
      <c r="AO51" s="10">
        <f>+'A) Base RI'!AI51</f>
        <v>0</v>
      </c>
      <c r="AP51" s="10">
        <f>+'A) Base RI'!AJ51</f>
        <v>0</v>
      </c>
      <c r="AQ51" s="10">
        <f>+'A) Base RI'!AK51</f>
        <v>0</v>
      </c>
      <c r="AR51" s="10">
        <f>'A) Base RI'!AN51</f>
        <v>998</v>
      </c>
    </row>
    <row r="52" spans="1:44" x14ac:dyDescent="0.25">
      <c r="A52" s="8">
        <f>'A) Base RI'!A52</f>
        <v>5481</v>
      </c>
      <c r="B52" s="34" t="str">
        <f>'A) Base RI'!B52</f>
        <v>Dizy</v>
      </c>
      <c r="C52" s="10">
        <f>'A) Base RI'!C52+'A) Base RI'!D52</f>
        <v>616439.93000000005</v>
      </c>
      <c r="D52" s="10">
        <f>'A) Base RI'!AO52</f>
        <v>-3090.26</v>
      </c>
      <c r="E52" s="33">
        <f>'A) Base RI'!AP52</f>
        <v>0</v>
      </c>
      <c r="F52" s="33">
        <f>'A) Base RI'!AQ52</f>
        <v>-6.15</v>
      </c>
      <c r="G52" s="2">
        <f t="shared" si="0"/>
        <v>613343.52</v>
      </c>
      <c r="H52" s="10">
        <f>+'A) Base RI'!E52</f>
        <v>0</v>
      </c>
      <c r="I52" s="10">
        <f>+'A) Base RI'!F52</f>
        <v>0</v>
      </c>
      <c r="J52" s="10">
        <f>+'A) Base RI'!G52+'A) Base RI'!H52</f>
        <v>14523.45</v>
      </c>
      <c r="K52" s="10">
        <f>+'A) Base RI'!I52</f>
        <v>0</v>
      </c>
      <c r="L52" s="10">
        <f>+'A) Base RI'!J52</f>
        <v>1796.6</v>
      </c>
      <c r="M52" s="10">
        <f>+'A) Base RI'!K52</f>
        <v>0</v>
      </c>
      <c r="N52" s="10">
        <f>+'A) Base RI'!Q52</f>
        <v>2883.95</v>
      </c>
      <c r="O52" s="10">
        <f t="shared" si="1"/>
        <v>37185.599999999999</v>
      </c>
      <c r="P52" s="10">
        <f>+'A) Base RI'!L52</f>
        <v>37185.599999999999</v>
      </c>
      <c r="Q52" s="36">
        <f>'A) Base RI'!AR52</f>
        <v>1</v>
      </c>
      <c r="R52" s="2">
        <f t="shared" si="2"/>
        <v>669733.11999999988</v>
      </c>
      <c r="S52" s="35">
        <f>+'A) Base RI'!AM52</f>
        <v>79</v>
      </c>
      <c r="T52" s="2">
        <f t="shared" si="3"/>
        <v>632547.5199999999</v>
      </c>
      <c r="U52" s="2">
        <f t="shared" si="4"/>
        <v>8477.634430379745</v>
      </c>
      <c r="V52" s="10">
        <f>+'A) Base RI'!O52</f>
        <v>486.6</v>
      </c>
      <c r="W52" s="10">
        <f>+'A) Base RI'!P52</f>
        <v>8580</v>
      </c>
      <c r="X52" s="10">
        <f>+'A) Base RI'!R52</f>
        <v>8556.85</v>
      </c>
      <c r="Y52" s="2">
        <f t="shared" si="5"/>
        <v>17623.45</v>
      </c>
      <c r="Z52" s="10">
        <f>+'A) Base RI'!N52</f>
        <v>0</v>
      </c>
      <c r="AA52" s="10">
        <f>+'A) Base RI'!S52+'A) Base RI'!T52</f>
        <v>0</v>
      </c>
      <c r="AB52" s="10">
        <f>+'A) Base RI'!U52</f>
        <v>750</v>
      </c>
      <c r="AC52" s="10">
        <f>+'A) Base RI'!V52</f>
        <v>0</v>
      </c>
      <c r="AD52" s="10">
        <f>+'A) Base RI'!W52</f>
        <v>0</v>
      </c>
      <c r="AE52" s="10">
        <f>+'A) Base RI'!Y52</f>
        <v>0</v>
      </c>
      <c r="AF52" s="10">
        <f>+'A) Base RI'!Z52</f>
        <v>0</v>
      </c>
      <c r="AG52" s="10">
        <f>+'A) Base RI'!AA52</f>
        <v>59780.5</v>
      </c>
      <c r="AH52" s="10">
        <f>+'A) Base RI'!AB52</f>
        <v>0</v>
      </c>
      <c r="AI52" s="10">
        <f>+'A) Base RI'!AC52</f>
        <v>15474</v>
      </c>
      <c r="AJ52" s="10">
        <f>+'A) Base RI'!AD52</f>
        <v>0</v>
      </c>
      <c r="AK52" s="10">
        <f>+'A) Base RI'!AE52</f>
        <v>0</v>
      </c>
      <c r="AL52" s="10">
        <f>+'A) Base RI'!AF52</f>
        <v>0</v>
      </c>
      <c r="AM52" s="10">
        <f>+'A) Base RI'!AG52</f>
        <v>0</v>
      </c>
      <c r="AN52" s="10">
        <f>+'A) Base RI'!AH52</f>
        <v>0</v>
      </c>
      <c r="AO52" s="10">
        <f>+'A) Base RI'!AI52</f>
        <v>0</v>
      </c>
      <c r="AP52" s="10">
        <f>+'A) Base RI'!AJ52</f>
        <v>0</v>
      </c>
      <c r="AQ52" s="10">
        <f>+'A) Base RI'!AK52</f>
        <v>0</v>
      </c>
      <c r="AR52" s="10">
        <f>'A) Base RI'!AN52</f>
        <v>229</v>
      </c>
    </row>
    <row r="53" spans="1:44" x14ac:dyDescent="0.25">
      <c r="A53" s="8">
        <f>'A) Base RI'!A53</f>
        <v>5482</v>
      </c>
      <c r="B53" s="34" t="str">
        <f>'A) Base RI'!B53</f>
        <v>Eclépens</v>
      </c>
      <c r="C53" s="10">
        <f>'A) Base RI'!C53+'A) Base RI'!D53</f>
        <v>1555783.42</v>
      </c>
      <c r="D53" s="10">
        <f>'A) Base RI'!AO53</f>
        <v>-16784.3</v>
      </c>
      <c r="E53" s="33">
        <f>'A) Base RI'!AP53</f>
        <v>0</v>
      </c>
      <c r="F53" s="33">
        <f>'A) Base RI'!AQ53</f>
        <v>-72.56</v>
      </c>
      <c r="G53" s="2">
        <f t="shared" si="0"/>
        <v>1538926.5599999998</v>
      </c>
      <c r="H53" s="10">
        <f>+'A) Base RI'!E53</f>
        <v>0</v>
      </c>
      <c r="I53" s="10">
        <f>+'A) Base RI'!F53</f>
        <v>0</v>
      </c>
      <c r="J53" s="10">
        <f>+'A) Base RI'!G53+'A) Base RI'!H53</f>
        <v>256803.94999999998</v>
      </c>
      <c r="K53" s="10">
        <f>+'A) Base RI'!I53</f>
        <v>0</v>
      </c>
      <c r="L53" s="10">
        <f>+'A) Base RI'!J53</f>
        <v>86158.32</v>
      </c>
      <c r="M53" s="10">
        <f>+'A) Base RI'!K53</f>
        <v>39820.300000000003</v>
      </c>
      <c r="N53" s="10">
        <f>+'A) Base RI'!Q53</f>
        <v>6101.33</v>
      </c>
      <c r="O53" s="10">
        <f t="shared" si="1"/>
        <v>389150.65</v>
      </c>
      <c r="P53" s="10">
        <f>+'A) Base RI'!L53</f>
        <v>389150.65</v>
      </c>
      <c r="Q53" s="36">
        <f>'A) Base RI'!AR53</f>
        <v>1</v>
      </c>
      <c r="R53" s="2">
        <f t="shared" si="2"/>
        <v>2316961.11</v>
      </c>
      <c r="S53" s="35">
        <f>+'A) Base RI'!AM53</f>
        <v>46</v>
      </c>
      <c r="T53" s="2">
        <f t="shared" si="3"/>
        <v>1887990.16</v>
      </c>
      <c r="U53" s="2">
        <f t="shared" si="4"/>
        <v>50368.719782608692</v>
      </c>
      <c r="V53" s="10">
        <f>+'A) Base RI'!O53</f>
        <v>142602.79999999999</v>
      </c>
      <c r="W53" s="10">
        <f>+'A) Base RI'!P53</f>
        <v>60602.5</v>
      </c>
      <c r="X53" s="10">
        <f>+'A) Base RI'!R53</f>
        <v>53855.8</v>
      </c>
      <c r="Y53" s="2">
        <f t="shared" si="5"/>
        <v>257061.09999999998</v>
      </c>
      <c r="Z53" s="10">
        <f>+'A) Base RI'!N53</f>
        <v>456709</v>
      </c>
      <c r="AA53" s="10">
        <f>+'A) Base RI'!S53+'A) Base RI'!T53</f>
        <v>0</v>
      </c>
      <c r="AB53" s="10">
        <f>+'A) Base RI'!U53</f>
        <v>9225</v>
      </c>
      <c r="AC53" s="10">
        <f>+'A) Base RI'!V53</f>
        <v>0</v>
      </c>
      <c r="AD53" s="10">
        <f>+'A) Base RI'!W53</f>
        <v>0</v>
      </c>
      <c r="AE53" s="10">
        <f>+'A) Base RI'!Y53</f>
        <v>31771.85</v>
      </c>
      <c r="AF53" s="10">
        <f>+'A) Base RI'!Z53</f>
        <v>0</v>
      </c>
      <c r="AG53" s="10">
        <f>+'A) Base RI'!AA53</f>
        <v>273061.45</v>
      </c>
      <c r="AH53" s="10">
        <f>+'A) Base RI'!AB53</f>
        <v>0</v>
      </c>
      <c r="AI53" s="10">
        <f>+'A) Base RI'!AC53</f>
        <v>106279.15</v>
      </c>
      <c r="AJ53" s="10">
        <f>+'A) Base RI'!AD53</f>
        <v>0</v>
      </c>
      <c r="AK53" s="10">
        <f>+'A) Base RI'!AE53</f>
        <v>0</v>
      </c>
      <c r="AL53" s="10">
        <f>+'A) Base RI'!AF53</f>
        <v>0</v>
      </c>
      <c r="AM53" s="10">
        <f>+'A) Base RI'!AG53</f>
        <v>0</v>
      </c>
      <c r="AN53" s="10">
        <f>+'A) Base RI'!AH53</f>
        <v>0</v>
      </c>
      <c r="AO53" s="10">
        <f>+'A) Base RI'!AI53</f>
        <v>0</v>
      </c>
      <c r="AP53" s="10">
        <f>+'A) Base RI'!AJ53</f>
        <v>0</v>
      </c>
      <c r="AQ53" s="10">
        <f>+'A) Base RI'!AK53</f>
        <v>0</v>
      </c>
      <c r="AR53" s="10">
        <f>'A) Base RI'!AN53</f>
        <v>1091</v>
      </c>
    </row>
    <row r="54" spans="1:44" x14ac:dyDescent="0.25">
      <c r="A54" s="8">
        <f>'A) Base RI'!A54</f>
        <v>5483</v>
      </c>
      <c r="B54" s="34" t="str">
        <f>'A) Base RI'!B54</f>
        <v>Ferreyres</v>
      </c>
      <c r="C54" s="10">
        <f>'A) Base RI'!C54+'A) Base RI'!D54</f>
        <v>881373.2</v>
      </c>
      <c r="D54" s="10">
        <f>'A) Base RI'!AO54</f>
        <v>-2427.13</v>
      </c>
      <c r="E54" s="33">
        <f>'A) Base RI'!AP54</f>
        <v>0</v>
      </c>
      <c r="F54" s="33">
        <f>'A) Base RI'!AQ54</f>
        <v>0</v>
      </c>
      <c r="G54" s="2">
        <f t="shared" si="0"/>
        <v>878946.07</v>
      </c>
      <c r="H54" s="10">
        <f>+'A) Base RI'!E54</f>
        <v>0</v>
      </c>
      <c r="I54" s="10">
        <f>+'A) Base RI'!F54</f>
        <v>0</v>
      </c>
      <c r="J54" s="10">
        <f>+'A) Base RI'!G54+'A) Base RI'!H54</f>
        <v>-962.9</v>
      </c>
      <c r="K54" s="10">
        <f>+'A) Base RI'!I54</f>
        <v>0</v>
      </c>
      <c r="L54" s="10">
        <f>+'A) Base RI'!J54</f>
        <v>4377.05</v>
      </c>
      <c r="M54" s="10">
        <f>+'A) Base RI'!K54</f>
        <v>0</v>
      </c>
      <c r="N54" s="10">
        <f>+'A) Base RI'!Q54</f>
        <v>667.56</v>
      </c>
      <c r="O54" s="10">
        <f t="shared" si="1"/>
        <v>52168.15</v>
      </c>
      <c r="P54" s="10">
        <f>+'A) Base RI'!L54</f>
        <v>52168.15</v>
      </c>
      <c r="Q54" s="36">
        <f>'A) Base RI'!AR54</f>
        <v>1</v>
      </c>
      <c r="R54" s="2">
        <f t="shared" si="2"/>
        <v>935195.93</v>
      </c>
      <c r="S54" s="35">
        <f>+'A) Base RI'!AM54</f>
        <v>76</v>
      </c>
      <c r="T54" s="2">
        <f t="shared" si="3"/>
        <v>883027.78</v>
      </c>
      <c r="U54" s="2">
        <f t="shared" si="4"/>
        <v>12305.209605263159</v>
      </c>
      <c r="V54" s="10">
        <f>+'A) Base RI'!O54</f>
        <v>0</v>
      </c>
      <c r="W54" s="10">
        <f>+'A) Base RI'!P54</f>
        <v>20900</v>
      </c>
      <c r="X54" s="10">
        <f>+'A) Base RI'!R54</f>
        <v>5202.6000000000004</v>
      </c>
      <c r="Y54" s="2">
        <f t="shared" si="5"/>
        <v>26102.6</v>
      </c>
      <c r="Z54" s="10">
        <f>+'A) Base RI'!N54</f>
        <v>163.95</v>
      </c>
      <c r="AA54" s="10">
        <f>+'A) Base RI'!S54+'A) Base RI'!T54</f>
        <v>0</v>
      </c>
      <c r="AB54" s="10">
        <f>+'A) Base RI'!U54</f>
        <v>1530</v>
      </c>
      <c r="AC54" s="10">
        <f>+'A) Base RI'!V54</f>
        <v>0</v>
      </c>
      <c r="AD54" s="10">
        <f>+'A) Base RI'!W54</f>
        <v>0</v>
      </c>
      <c r="AE54" s="10">
        <f>+'A) Base RI'!Y54</f>
        <v>0</v>
      </c>
      <c r="AF54" s="10">
        <f>+'A) Base RI'!Z54</f>
        <v>11550</v>
      </c>
      <c r="AG54" s="10">
        <f>+'A) Base RI'!AA54</f>
        <v>44986.3</v>
      </c>
      <c r="AH54" s="10">
        <f>+'A) Base RI'!AB54</f>
        <v>0</v>
      </c>
      <c r="AI54" s="10">
        <f>+'A) Base RI'!AC54</f>
        <v>30048.5</v>
      </c>
      <c r="AJ54" s="10">
        <f>+'A) Base RI'!AD54</f>
        <v>0</v>
      </c>
      <c r="AK54" s="10">
        <f>+'A) Base RI'!AE54</f>
        <v>0</v>
      </c>
      <c r="AL54" s="10">
        <f>+'A) Base RI'!AF54</f>
        <v>0</v>
      </c>
      <c r="AM54" s="10">
        <f>+'A) Base RI'!AG54</f>
        <v>0</v>
      </c>
      <c r="AN54" s="10">
        <f>+'A) Base RI'!AH54</f>
        <v>0</v>
      </c>
      <c r="AO54" s="10">
        <f>+'A) Base RI'!AI54</f>
        <v>0</v>
      </c>
      <c r="AP54" s="10">
        <f>+'A) Base RI'!AJ54</f>
        <v>0</v>
      </c>
      <c r="AQ54" s="10">
        <f>+'A) Base RI'!AK54</f>
        <v>0</v>
      </c>
      <c r="AR54" s="10">
        <f>'A) Base RI'!AN54</f>
        <v>322</v>
      </c>
    </row>
    <row r="55" spans="1:44" x14ac:dyDescent="0.25">
      <c r="A55" s="8">
        <f>'A) Base RI'!A55</f>
        <v>5484</v>
      </c>
      <c r="B55" s="34" t="str">
        <f>'A) Base RI'!B55</f>
        <v>Gollion</v>
      </c>
      <c r="C55" s="10">
        <f>'A) Base RI'!C55+'A) Base RI'!D55</f>
        <v>2190613.48</v>
      </c>
      <c r="D55" s="10">
        <f>'A) Base RI'!AO55</f>
        <v>-9379.25</v>
      </c>
      <c r="E55" s="33">
        <f>'A) Base RI'!AP55</f>
        <v>0</v>
      </c>
      <c r="F55" s="33">
        <f>'A) Base RI'!AQ55</f>
        <v>-11.11</v>
      </c>
      <c r="G55" s="2">
        <f t="shared" si="0"/>
        <v>2181223.12</v>
      </c>
      <c r="H55" s="10">
        <f>+'A) Base RI'!E55</f>
        <v>0</v>
      </c>
      <c r="I55" s="10">
        <f>+'A) Base RI'!F55</f>
        <v>0</v>
      </c>
      <c r="J55" s="10">
        <f>+'A) Base RI'!G55+'A) Base RI'!H55</f>
        <v>149095.25</v>
      </c>
      <c r="K55" s="10">
        <f>+'A) Base RI'!I55</f>
        <v>0</v>
      </c>
      <c r="L55" s="10">
        <f>+'A) Base RI'!J55</f>
        <v>59064.97</v>
      </c>
      <c r="M55" s="10">
        <f>+'A) Base RI'!K55</f>
        <v>5732.15</v>
      </c>
      <c r="N55" s="10">
        <f>+'A) Base RI'!Q55</f>
        <v>18606.099999999999</v>
      </c>
      <c r="O55" s="10">
        <f t="shared" si="1"/>
        <v>159223.29999999999</v>
      </c>
      <c r="P55" s="10">
        <f>+'A) Base RI'!L55</f>
        <v>159223.29999999999</v>
      </c>
      <c r="Q55" s="36">
        <f>'A) Base RI'!AR55</f>
        <v>1</v>
      </c>
      <c r="R55" s="2">
        <f t="shared" si="2"/>
        <v>2572944.89</v>
      </c>
      <c r="S55" s="35">
        <f>+'A) Base RI'!AM55</f>
        <v>74</v>
      </c>
      <c r="T55" s="2">
        <f t="shared" si="3"/>
        <v>2407989.4400000004</v>
      </c>
      <c r="U55" s="2">
        <f t="shared" si="4"/>
        <v>34769.525540540541</v>
      </c>
      <c r="V55" s="10">
        <f>+'A) Base RI'!O55</f>
        <v>0</v>
      </c>
      <c r="W55" s="10">
        <f>+'A) Base RI'!P55</f>
        <v>195789.25</v>
      </c>
      <c r="X55" s="10">
        <f>+'A) Base RI'!R55</f>
        <v>139036.15</v>
      </c>
      <c r="Y55" s="2">
        <f t="shared" si="5"/>
        <v>334825.40000000002</v>
      </c>
      <c r="Z55" s="10">
        <f>+'A) Base RI'!N55</f>
        <v>26602.55</v>
      </c>
      <c r="AA55" s="10">
        <f>+'A) Base RI'!S55+'A) Base RI'!T55</f>
        <v>0</v>
      </c>
      <c r="AB55" s="10">
        <f>+'A) Base RI'!U55</f>
        <v>4860</v>
      </c>
      <c r="AC55" s="10">
        <f>+'A) Base RI'!V55</f>
        <v>0</v>
      </c>
      <c r="AD55" s="10">
        <f>+'A) Base RI'!W55</f>
        <v>0</v>
      </c>
      <c r="AE55" s="10">
        <f>+'A) Base RI'!Y55</f>
        <v>208359</v>
      </c>
      <c r="AF55" s="10">
        <f>+'A) Base RI'!Z55</f>
        <v>0</v>
      </c>
      <c r="AG55" s="10">
        <f>+'A) Base RI'!AA55</f>
        <v>148614.85</v>
      </c>
      <c r="AH55" s="10">
        <f>+'A) Base RI'!AB55</f>
        <v>0</v>
      </c>
      <c r="AI55" s="10">
        <f>+'A) Base RI'!AC55</f>
        <v>97630.5</v>
      </c>
      <c r="AJ55" s="10">
        <f>+'A) Base RI'!AD55</f>
        <v>155410.4</v>
      </c>
      <c r="AK55" s="10">
        <f>+'A) Base RI'!AE55</f>
        <v>0</v>
      </c>
      <c r="AL55" s="10">
        <f>+'A) Base RI'!AF55</f>
        <v>0</v>
      </c>
      <c r="AM55" s="10">
        <f>+'A) Base RI'!AG55</f>
        <v>0</v>
      </c>
      <c r="AN55" s="10">
        <f>+'A) Base RI'!AH55</f>
        <v>0</v>
      </c>
      <c r="AO55" s="10">
        <f>+'A) Base RI'!AI55</f>
        <v>0</v>
      </c>
      <c r="AP55" s="10">
        <f>+'A) Base RI'!AJ55</f>
        <v>0</v>
      </c>
      <c r="AQ55" s="10">
        <f>+'A) Base RI'!AK55</f>
        <v>0</v>
      </c>
      <c r="AR55" s="10">
        <f>'A) Base RI'!AN55</f>
        <v>918</v>
      </c>
    </row>
    <row r="56" spans="1:44" x14ac:dyDescent="0.25">
      <c r="A56" s="8">
        <f>'A) Base RI'!A56</f>
        <v>5485</v>
      </c>
      <c r="B56" s="34" t="str">
        <f>'A) Base RI'!B56</f>
        <v>Grancy</v>
      </c>
      <c r="C56" s="10">
        <f>'A) Base RI'!C56+'A) Base RI'!D56</f>
        <v>1135160.24</v>
      </c>
      <c r="D56" s="10">
        <f>'A) Base RI'!AO56</f>
        <v>-5119.3</v>
      </c>
      <c r="E56" s="33">
        <f>'A) Base RI'!AP56</f>
        <v>0</v>
      </c>
      <c r="F56" s="33">
        <f>'A) Base RI'!AQ56</f>
        <v>-56.4</v>
      </c>
      <c r="G56" s="2">
        <f t="shared" si="0"/>
        <v>1129984.54</v>
      </c>
      <c r="H56" s="10">
        <f>+'A) Base RI'!E56</f>
        <v>0</v>
      </c>
      <c r="I56" s="10">
        <f>+'A) Base RI'!F56</f>
        <v>0</v>
      </c>
      <c r="J56" s="10">
        <f>+'A) Base RI'!G56+'A) Base RI'!H56</f>
        <v>22799</v>
      </c>
      <c r="K56" s="10">
        <f>+'A) Base RI'!I56</f>
        <v>0</v>
      </c>
      <c r="L56" s="10">
        <f>+'A) Base RI'!J56</f>
        <v>27318.61</v>
      </c>
      <c r="M56" s="10">
        <f>+'A) Base RI'!K56</f>
        <v>0</v>
      </c>
      <c r="N56" s="10">
        <f>+'A) Base RI'!Q56</f>
        <v>0</v>
      </c>
      <c r="O56" s="10">
        <f t="shared" si="1"/>
        <v>70419.55</v>
      </c>
      <c r="P56" s="10">
        <f>+'A) Base RI'!L56</f>
        <v>70419.55</v>
      </c>
      <c r="Q56" s="36">
        <f>'A) Base RI'!AR56</f>
        <v>1</v>
      </c>
      <c r="R56" s="2">
        <f t="shared" si="2"/>
        <v>1250521.7000000002</v>
      </c>
      <c r="S56" s="35">
        <f>+'A) Base RI'!AM56</f>
        <v>70</v>
      </c>
      <c r="T56" s="2">
        <f t="shared" si="3"/>
        <v>1180102.1500000001</v>
      </c>
      <c r="U56" s="2">
        <f t="shared" si="4"/>
        <v>17864.595714285719</v>
      </c>
      <c r="V56" s="10">
        <f>+'A) Base RI'!O56</f>
        <v>0</v>
      </c>
      <c r="W56" s="10">
        <f>+'A) Base RI'!P56</f>
        <v>28930</v>
      </c>
      <c r="X56" s="10">
        <f>+'A) Base RI'!R56</f>
        <v>53920.15</v>
      </c>
      <c r="Y56" s="2">
        <f t="shared" si="5"/>
        <v>82850.149999999994</v>
      </c>
      <c r="Z56" s="10">
        <f>+'A) Base RI'!N56</f>
        <v>9944.15</v>
      </c>
      <c r="AA56" s="10">
        <f>+'A) Base RI'!S56+'A) Base RI'!T56</f>
        <v>0</v>
      </c>
      <c r="AB56" s="10">
        <f>+'A) Base RI'!U56</f>
        <v>1400</v>
      </c>
      <c r="AC56" s="10">
        <f>+'A) Base RI'!V56</f>
        <v>0</v>
      </c>
      <c r="AD56" s="10">
        <f>+'A) Base RI'!W56</f>
        <v>0</v>
      </c>
      <c r="AE56" s="10">
        <f>+'A) Base RI'!Y56</f>
        <v>21902</v>
      </c>
      <c r="AF56" s="10">
        <f>+'A) Base RI'!Z56</f>
        <v>0</v>
      </c>
      <c r="AG56" s="10">
        <f>+'A) Base RI'!AA56</f>
        <v>77874</v>
      </c>
      <c r="AH56" s="10">
        <f>+'A) Base RI'!AB56</f>
        <v>0</v>
      </c>
      <c r="AI56" s="10">
        <f>+'A) Base RI'!AC56</f>
        <v>28017</v>
      </c>
      <c r="AJ56" s="10">
        <f>+'A) Base RI'!AD56</f>
        <v>8109</v>
      </c>
      <c r="AK56" s="10">
        <f>+'A) Base RI'!AE56</f>
        <v>0</v>
      </c>
      <c r="AL56" s="10">
        <f>+'A) Base RI'!AF56</f>
        <v>0</v>
      </c>
      <c r="AM56" s="10">
        <f>+'A) Base RI'!AG56</f>
        <v>0</v>
      </c>
      <c r="AN56" s="10">
        <f>+'A) Base RI'!AH56</f>
        <v>0</v>
      </c>
      <c r="AO56" s="10">
        <f>+'A) Base RI'!AI56</f>
        <v>0</v>
      </c>
      <c r="AP56" s="10">
        <f>+'A) Base RI'!AJ56</f>
        <v>0</v>
      </c>
      <c r="AQ56" s="10">
        <f>+'A) Base RI'!AK56</f>
        <v>0</v>
      </c>
      <c r="AR56" s="10">
        <f>'A) Base RI'!AN56</f>
        <v>403</v>
      </c>
    </row>
    <row r="57" spans="1:44" x14ac:dyDescent="0.25">
      <c r="A57" s="8">
        <f>'A) Base RI'!A57</f>
        <v>5486</v>
      </c>
      <c r="B57" s="34" t="str">
        <f>'A) Base RI'!B57</f>
        <v>L'Isle</v>
      </c>
      <c r="C57" s="10">
        <f>'A) Base RI'!C57+'A) Base RI'!D57</f>
        <v>1703065.98</v>
      </c>
      <c r="D57" s="10">
        <f>'A) Base RI'!AO57</f>
        <v>-63805.34</v>
      </c>
      <c r="E57" s="33">
        <f>'A) Base RI'!AP57</f>
        <v>0</v>
      </c>
      <c r="F57" s="33">
        <f>'A) Base RI'!AQ57</f>
        <v>0</v>
      </c>
      <c r="G57" s="2">
        <f t="shared" si="0"/>
        <v>1639260.64</v>
      </c>
      <c r="H57" s="10">
        <f>+'A) Base RI'!E57</f>
        <v>0</v>
      </c>
      <c r="I57" s="10">
        <f>+'A) Base RI'!F57</f>
        <v>0</v>
      </c>
      <c r="J57" s="10">
        <f>+'A) Base RI'!G57+'A) Base RI'!H57</f>
        <v>94583.650000000009</v>
      </c>
      <c r="K57" s="10">
        <f>+'A) Base RI'!I57</f>
        <v>34494.85</v>
      </c>
      <c r="L57" s="10">
        <f>+'A) Base RI'!J57</f>
        <v>30992.86</v>
      </c>
      <c r="M57" s="10">
        <f>+'A) Base RI'!K57</f>
        <v>5736.3</v>
      </c>
      <c r="N57" s="10">
        <f>+'A) Base RI'!Q57</f>
        <v>3736.62</v>
      </c>
      <c r="O57" s="10">
        <f t="shared" si="1"/>
        <v>181422.25</v>
      </c>
      <c r="P57" s="10">
        <f>+'A) Base RI'!L57</f>
        <v>181422.25</v>
      </c>
      <c r="Q57" s="36">
        <f>'A) Base RI'!AR57</f>
        <v>1</v>
      </c>
      <c r="R57" s="2">
        <f t="shared" si="2"/>
        <v>1990227.1700000002</v>
      </c>
      <c r="S57" s="35">
        <f>+'A) Base RI'!AM57</f>
        <v>76</v>
      </c>
      <c r="T57" s="2">
        <f t="shared" si="3"/>
        <v>1803068.62</v>
      </c>
      <c r="U57" s="2">
        <f t="shared" si="4"/>
        <v>26187.199605263158</v>
      </c>
      <c r="V57" s="10">
        <f>+'A) Base RI'!O57</f>
        <v>8787.2000000000007</v>
      </c>
      <c r="W57" s="10">
        <f>+'A) Base RI'!P57</f>
        <v>61561.15</v>
      </c>
      <c r="X57" s="10">
        <f>+'A) Base RI'!R57</f>
        <v>117078.25</v>
      </c>
      <c r="Y57" s="2">
        <f t="shared" si="5"/>
        <v>187426.6</v>
      </c>
      <c r="Z57" s="10">
        <f>+'A) Base RI'!N57</f>
        <v>45799.5</v>
      </c>
      <c r="AA57" s="10">
        <f>+'A) Base RI'!S57+'A) Base RI'!T57</f>
        <v>700</v>
      </c>
      <c r="AB57" s="10">
        <f>+'A) Base RI'!U57</f>
        <v>9400</v>
      </c>
      <c r="AC57" s="10">
        <f>+'A) Base RI'!V57</f>
        <v>0</v>
      </c>
      <c r="AD57" s="10">
        <f>+'A) Base RI'!W57</f>
        <v>0</v>
      </c>
      <c r="AE57" s="10">
        <f>+'A) Base RI'!Y57</f>
        <v>0</v>
      </c>
      <c r="AF57" s="10">
        <f>+'A) Base RI'!Z57</f>
        <v>4860</v>
      </c>
      <c r="AG57" s="10">
        <f>+'A) Base RI'!AA57</f>
        <v>207701.5</v>
      </c>
      <c r="AH57" s="10">
        <f>+'A) Base RI'!AB57</f>
        <v>0</v>
      </c>
      <c r="AI57" s="10">
        <f>+'A) Base RI'!AC57</f>
        <v>91866.4</v>
      </c>
      <c r="AJ57" s="10">
        <f>+'A) Base RI'!AD57</f>
        <v>0</v>
      </c>
      <c r="AK57" s="10">
        <f>+'A) Base RI'!AE57</f>
        <v>4860</v>
      </c>
      <c r="AL57" s="10">
        <f>+'A) Base RI'!AF57</f>
        <v>0</v>
      </c>
      <c r="AM57" s="10">
        <f>+'A) Base RI'!AG57</f>
        <v>0</v>
      </c>
      <c r="AN57" s="10">
        <f>+'A) Base RI'!AH57</f>
        <v>38042.300000000003</v>
      </c>
      <c r="AO57" s="10">
        <f>+'A) Base RI'!AI57</f>
        <v>0</v>
      </c>
      <c r="AP57" s="10">
        <f>+'A) Base RI'!AJ57</f>
        <v>0</v>
      </c>
      <c r="AQ57" s="10">
        <f>+'A) Base RI'!AK57</f>
        <v>0</v>
      </c>
      <c r="AR57" s="10">
        <f>'A) Base RI'!AN57</f>
        <v>1005</v>
      </c>
    </row>
    <row r="58" spans="1:44" x14ac:dyDescent="0.25">
      <c r="A58" s="8">
        <f>'A) Base RI'!A58</f>
        <v>5487</v>
      </c>
      <c r="B58" s="34" t="str">
        <f>'A) Base RI'!B58</f>
        <v>Lussery-Villars</v>
      </c>
      <c r="C58" s="10">
        <f>'A) Base RI'!C58+'A) Base RI'!D58</f>
        <v>945964.54</v>
      </c>
      <c r="D58" s="10">
        <f>'A) Base RI'!AO58</f>
        <v>-15190.53</v>
      </c>
      <c r="E58" s="33">
        <f>'A) Base RI'!AP58</f>
        <v>0</v>
      </c>
      <c r="F58" s="33">
        <f>'A) Base RI'!AQ58</f>
        <v>-47.16</v>
      </c>
      <c r="G58" s="2">
        <f t="shared" si="0"/>
        <v>930726.85</v>
      </c>
      <c r="H58" s="10">
        <f>+'A) Base RI'!E58</f>
        <v>0</v>
      </c>
      <c r="I58" s="10">
        <f>+'A) Base RI'!F58</f>
        <v>0</v>
      </c>
      <c r="J58" s="10">
        <f>+'A) Base RI'!G58+'A) Base RI'!H58</f>
        <v>5424.3</v>
      </c>
      <c r="K58" s="10">
        <f>+'A) Base RI'!I58</f>
        <v>0</v>
      </c>
      <c r="L58" s="10">
        <f>+'A) Base RI'!J58</f>
        <v>13296.17</v>
      </c>
      <c r="M58" s="10">
        <f>+'A) Base RI'!K58</f>
        <v>446.25</v>
      </c>
      <c r="N58" s="10">
        <f>+'A) Base RI'!Q58</f>
        <v>12200.82</v>
      </c>
      <c r="O58" s="10">
        <f t="shared" si="1"/>
        <v>72580.3</v>
      </c>
      <c r="P58" s="10">
        <f>+'A) Base RI'!L58</f>
        <v>72580.3</v>
      </c>
      <c r="Q58" s="36">
        <f>'A) Base RI'!AR58</f>
        <v>1</v>
      </c>
      <c r="R58" s="2">
        <f t="shared" si="2"/>
        <v>1034674.6900000001</v>
      </c>
      <c r="S58" s="35">
        <f>+'A) Base RI'!AM58</f>
        <v>72</v>
      </c>
      <c r="T58" s="2">
        <f t="shared" si="3"/>
        <v>961648.14</v>
      </c>
      <c r="U58" s="2">
        <f t="shared" si="4"/>
        <v>14370.481805555557</v>
      </c>
      <c r="V58" s="10">
        <f>+'A) Base RI'!O58</f>
        <v>0</v>
      </c>
      <c r="W58" s="10">
        <f>+'A) Base RI'!P58</f>
        <v>70491.199999999997</v>
      </c>
      <c r="X58" s="10">
        <f>+'A) Base RI'!R58</f>
        <v>18136.900000000001</v>
      </c>
      <c r="Y58" s="2">
        <f t="shared" si="5"/>
        <v>88628.1</v>
      </c>
      <c r="Z58" s="10">
        <f>+'A) Base RI'!N58</f>
        <v>2834.85</v>
      </c>
      <c r="AA58" s="10">
        <f>+'A) Base RI'!S58+'A) Base RI'!T58</f>
        <v>0</v>
      </c>
      <c r="AB58" s="10">
        <f>+'A) Base RI'!U58</f>
        <v>1950</v>
      </c>
      <c r="AC58" s="10">
        <f>+'A) Base RI'!V58</f>
        <v>0</v>
      </c>
      <c r="AD58" s="10">
        <f>+'A) Base RI'!W58</f>
        <v>0</v>
      </c>
      <c r="AE58" s="10">
        <f>+'A) Base RI'!Y58</f>
        <v>22667.9</v>
      </c>
      <c r="AF58" s="10">
        <f>+'A) Base RI'!Z58</f>
        <v>0</v>
      </c>
      <c r="AG58" s="10">
        <f>+'A) Base RI'!AA58</f>
        <v>40012.65</v>
      </c>
      <c r="AH58" s="10">
        <f>+'A) Base RI'!AB58</f>
        <v>0</v>
      </c>
      <c r="AI58" s="10">
        <f>+'A) Base RI'!AC58</f>
        <v>39150</v>
      </c>
      <c r="AJ58" s="10">
        <f>+'A) Base RI'!AD58</f>
        <v>143.35</v>
      </c>
      <c r="AK58" s="10">
        <f>+'A) Base RI'!AE58</f>
        <v>0</v>
      </c>
      <c r="AL58" s="10">
        <f>+'A) Base RI'!AF58</f>
        <v>0</v>
      </c>
      <c r="AM58" s="10">
        <f>+'A) Base RI'!AG58</f>
        <v>442.6</v>
      </c>
      <c r="AN58" s="10">
        <f>+'A) Base RI'!AH58</f>
        <v>9981.4</v>
      </c>
      <c r="AO58" s="10">
        <f>+'A) Base RI'!AI58</f>
        <v>0</v>
      </c>
      <c r="AP58" s="10">
        <f>+'A) Base RI'!AJ58</f>
        <v>0</v>
      </c>
      <c r="AQ58" s="10">
        <f>+'A) Base RI'!AK58</f>
        <v>0</v>
      </c>
      <c r="AR58" s="10">
        <f>'A) Base RI'!AN58</f>
        <v>459</v>
      </c>
    </row>
    <row r="59" spans="1:44" x14ac:dyDescent="0.25">
      <c r="A59" s="8">
        <f>'A) Base RI'!A59</f>
        <v>5488</v>
      </c>
      <c r="B59" s="34" t="str">
        <f>'A) Base RI'!B59</f>
        <v>Mauraz</v>
      </c>
      <c r="C59" s="10">
        <f>'A) Base RI'!C59+'A) Base RI'!D59</f>
        <v>112142.09</v>
      </c>
      <c r="D59" s="10">
        <f>'A) Base RI'!AO59</f>
        <v>-17.93</v>
      </c>
      <c r="E59" s="33">
        <f>'A) Base RI'!AP59</f>
        <v>0</v>
      </c>
      <c r="F59" s="33">
        <f>'A) Base RI'!AQ59</f>
        <v>0</v>
      </c>
      <c r="G59" s="2">
        <f t="shared" si="0"/>
        <v>112124.16</v>
      </c>
      <c r="H59" s="10">
        <f>+'A) Base RI'!E59</f>
        <v>0</v>
      </c>
      <c r="I59" s="10">
        <f>+'A) Base RI'!F59</f>
        <v>0</v>
      </c>
      <c r="J59" s="10">
        <f>+'A) Base RI'!G59+'A) Base RI'!H59</f>
        <v>387.2</v>
      </c>
      <c r="K59" s="10">
        <f>+'A) Base RI'!I59</f>
        <v>0</v>
      </c>
      <c r="L59" s="10">
        <f>+'A) Base RI'!J59</f>
        <v>0</v>
      </c>
      <c r="M59" s="10">
        <f>+'A) Base RI'!K59</f>
        <v>0</v>
      </c>
      <c r="N59" s="10">
        <f>+'A) Base RI'!Q59</f>
        <v>0</v>
      </c>
      <c r="O59" s="10">
        <f t="shared" si="1"/>
        <v>8474</v>
      </c>
      <c r="P59" s="10">
        <f>+'A) Base RI'!L59</f>
        <v>8474</v>
      </c>
      <c r="Q59" s="36">
        <f>'A) Base RI'!AR59</f>
        <v>1</v>
      </c>
      <c r="R59" s="2">
        <f t="shared" si="2"/>
        <v>120985.36</v>
      </c>
      <c r="S59" s="35">
        <f>+'A) Base RI'!AM59</f>
        <v>74</v>
      </c>
      <c r="T59" s="2">
        <f t="shared" si="3"/>
        <v>112511.36</v>
      </c>
      <c r="U59" s="2">
        <f t="shared" si="4"/>
        <v>1634.9372972972974</v>
      </c>
      <c r="V59" s="10">
        <f>+'A) Base RI'!O59</f>
        <v>0</v>
      </c>
      <c r="W59" s="10">
        <f>+'A) Base RI'!P59</f>
        <v>0</v>
      </c>
      <c r="X59" s="10">
        <f>+'A) Base RI'!R59</f>
        <v>0</v>
      </c>
      <c r="Y59" s="2">
        <f t="shared" si="5"/>
        <v>0</v>
      </c>
      <c r="Z59" s="10">
        <f>+'A) Base RI'!N59</f>
        <v>0</v>
      </c>
      <c r="AA59" s="10">
        <f>+'A) Base RI'!S59+'A) Base RI'!T59</f>
        <v>0</v>
      </c>
      <c r="AB59" s="10">
        <f>+'A) Base RI'!U59</f>
        <v>100</v>
      </c>
      <c r="AC59" s="10">
        <f>+'A) Base RI'!V59</f>
        <v>0</v>
      </c>
      <c r="AD59" s="10">
        <f>+'A) Base RI'!W59</f>
        <v>0</v>
      </c>
      <c r="AE59" s="10">
        <f>+'A) Base RI'!Y59</f>
        <v>0</v>
      </c>
      <c r="AF59" s="10">
        <f>+'A) Base RI'!Z59</f>
        <v>0</v>
      </c>
      <c r="AG59" s="10">
        <f>+'A) Base RI'!AA59</f>
        <v>6134.5</v>
      </c>
      <c r="AH59" s="10">
        <f>+'A) Base RI'!AB59</f>
        <v>0</v>
      </c>
      <c r="AI59" s="10">
        <f>+'A) Base RI'!AC59</f>
        <v>5292.5</v>
      </c>
      <c r="AJ59" s="10">
        <f>+'A) Base RI'!AD59</f>
        <v>0</v>
      </c>
      <c r="AK59" s="10">
        <f>+'A) Base RI'!AE59</f>
        <v>0</v>
      </c>
      <c r="AL59" s="10">
        <f>+'A) Base RI'!AF59</f>
        <v>0</v>
      </c>
      <c r="AM59" s="10">
        <f>+'A) Base RI'!AG59</f>
        <v>0</v>
      </c>
      <c r="AN59" s="10">
        <f>+'A) Base RI'!AH59</f>
        <v>1222.05</v>
      </c>
      <c r="AO59" s="10">
        <f>+'A) Base RI'!AI59</f>
        <v>0</v>
      </c>
      <c r="AP59" s="10">
        <f>+'A) Base RI'!AJ59</f>
        <v>0</v>
      </c>
      <c r="AQ59" s="10">
        <f>+'A) Base RI'!AK59</f>
        <v>0</v>
      </c>
      <c r="AR59" s="10">
        <f>'A) Base RI'!AN59</f>
        <v>60</v>
      </c>
    </row>
    <row r="60" spans="1:44" x14ac:dyDescent="0.25">
      <c r="A60" s="8">
        <f>'A) Base RI'!A60</f>
        <v>5489</v>
      </c>
      <c r="B60" s="34" t="str">
        <f>'A) Base RI'!B60</f>
        <v>Mex</v>
      </c>
      <c r="C60" s="10">
        <f>'A) Base RI'!C60+'A) Base RI'!D60</f>
        <v>2569110.5300000003</v>
      </c>
      <c r="D60" s="10">
        <f>'A) Base RI'!AO60</f>
        <v>-20474.150000000001</v>
      </c>
      <c r="E60" s="33">
        <f>'A) Base RI'!AP60</f>
        <v>0</v>
      </c>
      <c r="F60" s="33">
        <f>'A) Base RI'!AQ60</f>
        <v>-110.62</v>
      </c>
      <c r="G60" s="2">
        <f t="shared" si="0"/>
        <v>2548525.7600000002</v>
      </c>
      <c r="H60" s="10">
        <f>+'A) Base RI'!E60</f>
        <v>0</v>
      </c>
      <c r="I60" s="10">
        <f>+'A) Base RI'!F60</f>
        <v>0</v>
      </c>
      <c r="J60" s="10">
        <f>+'A) Base RI'!G60+'A) Base RI'!H60</f>
        <v>625398.4</v>
      </c>
      <c r="K60" s="10">
        <f>+'A) Base RI'!I60</f>
        <v>0</v>
      </c>
      <c r="L60" s="10">
        <f>+'A) Base RI'!J60</f>
        <v>39694.85</v>
      </c>
      <c r="M60" s="10">
        <f>+'A) Base RI'!K60</f>
        <v>5861</v>
      </c>
      <c r="N60" s="10">
        <f>+'A) Base RI'!Q60</f>
        <v>5985.85</v>
      </c>
      <c r="O60" s="10">
        <f t="shared" si="1"/>
        <v>275851.34999999998</v>
      </c>
      <c r="P60" s="10">
        <f>+'A) Base RI'!L60</f>
        <v>275851.34999999998</v>
      </c>
      <c r="Q60" s="36">
        <f>'A) Base RI'!AR60</f>
        <v>1</v>
      </c>
      <c r="R60" s="2">
        <f t="shared" si="2"/>
        <v>3501317.2100000004</v>
      </c>
      <c r="S60" s="35">
        <f>+'A) Base RI'!AM60</f>
        <v>61</v>
      </c>
      <c r="T60" s="2">
        <f t="shared" si="3"/>
        <v>3219604.8600000003</v>
      </c>
      <c r="U60" s="2">
        <f t="shared" si="4"/>
        <v>57398.642786885255</v>
      </c>
      <c r="V60" s="10">
        <f>+'A) Base RI'!O60</f>
        <v>0</v>
      </c>
      <c r="W60" s="10">
        <f>+'A) Base RI'!P60</f>
        <v>28736.400000000001</v>
      </c>
      <c r="X60" s="10">
        <f>+'A) Base RI'!R60</f>
        <v>168803.9</v>
      </c>
      <c r="Y60" s="2">
        <f t="shared" si="5"/>
        <v>197540.3</v>
      </c>
      <c r="Z60" s="10">
        <f>+'A) Base RI'!N60</f>
        <v>193594.5</v>
      </c>
      <c r="AA60" s="10">
        <f>+'A) Base RI'!S60+'A) Base RI'!T60</f>
        <v>0</v>
      </c>
      <c r="AB60" s="10">
        <f>+'A) Base RI'!U60</f>
        <v>3600</v>
      </c>
      <c r="AC60" s="10">
        <f>+'A) Base RI'!V60</f>
        <v>0</v>
      </c>
      <c r="AD60" s="10">
        <f>+'A) Base RI'!W60</f>
        <v>0</v>
      </c>
      <c r="AE60" s="10">
        <f>+'A) Base RI'!Y60</f>
        <v>74801.149999999994</v>
      </c>
      <c r="AF60" s="10">
        <f>+'A) Base RI'!Z60</f>
        <v>0</v>
      </c>
      <c r="AG60" s="10">
        <f>+'A) Base RI'!AA60</f>
        <v>119669.35</v>
      </c>
      <c r="AH60" s="10">
        <f>+'A) Base RI'!AB60</f>
        <v>0</v>
      </c>
      <c r="AI60" s="10">
        <f>+'A) Base RI'!AC60</f>
        <v>42801.65</v>
      </c>
      <c r="AJ60" s="10">
        <f>+'A) Base RI'!AD60</f>
        <v>37619.949999999997</v>
      </c>
      <c r="AK60" s="10">
        <f>+'A) Base RI'!AE60</f>
        <v>111175.26</v>
      </c>
      <c r="AL60" s="10">
        <f>+'A) Base RI'!AF60</f>
        <v>0</v>
      </c>
      <c r="AM60" s="10">
        <f>+'A) Base RI'!AG60</f>
        <v>0</v>
      </c>
      <c r="AN60" s="10">
        <f>+'A) Base RI'!AH60</f>
        <v>0</v>
      </c>
      <c r="AO60" s="10">
        <f>+'A) Base RI'!AI60</f>
        <v>0</v>
      </c>
      <c r="AP60" s="10">
        <f>+'A) Base RI'!AJ60</f>
        <v>0</v>
      </c>
      <c r="AQ60" s="10">
        <f>+'A) Base RI'!AK60</f>
        <v>0</v>
      </c>
      <c r="AR60" s="10">
        <f>'A) Base RI'!AN60</f>
        <v>718</v>
      </c>
    </row>
    <row r="61" spans="1:44" x14ac:dyDescent="0.25">
      <c r="A61" s="8">
        <f>'A) Base RI'!A61</f>
        <v>5490</v>
      </c>
      <c r="B61" s="34" t="str">
        <f>'A) Base RI'!B61</f>
        <v>Moiry</v>
      </c>
      <c r="C61" s="10">
        <f>'A) Base RI'!C61+'A) Base RI'!D61</f>
        <v>637090.43000000005</v>
      </c>
      <c r="D61" s="10">
        <f>'A) Base RI'!AO61</f>
        <v>-20303.77</v>
      </c>
      <c r="E61" s="33">
        <f>'A) Base RI'!AP61</f>
        <v>0</v>
      </c>
      <c r="F61" s="33">
        <f>'A) Base RI'!AQ61</f>
        <v>-77.66</v>
      </c>
      <c r="G61" s="2">
        <f t="shared" si="0"/>
        <v>616709</v>
      </c>
      <c r="H61" s="10">
        <f>+'A) Base RI'!E61</f>
        <v>0</v>
      </c>
      <c r="I61" s="10">
        <f>+'A) Base RI'!F61</f>
        <v>0</v>
      </c>
      <c r="J61" s="10">
        <f>+'A) Base RI'!G61+'A) Base RI'!H61</f>
        <v>347.8</v>
      </c>
      <c r="K61" s="10">
        <f>+'A) Base RI'!I61</f>
        <v>0</v>
      </c>
      <c r="L61" s="10">
        <f>+'A) Base RI'!J61</f>
        <v>2489.36</v>
      </c>
      <c r="M61" s="10">
        <f>+'A) Base RI'!K61</f>
        <v>0</v>
      </c>
      <c r="N61" s="10">
        <f>+'A) Base RI'!Q61</f>
        <v>0</v>
      </c>
      <c r="O61" s="10">
        <f t="shared" si="1"/>
        <v>41796.449999999997</v>
      </c>
      <c r="P61" s="10">
        <f>+'A) Base RI'!L61</f>
        <v>41796.449999999997</v>
      </c>
      <c r="Q61" s="36">
        <f>'A) Base RI'!AR61</f>
        <v>1</v>
      </c>
      <c r="R61" s="2">
        <f t="shared" si="2"/>
        <v>661342.61</v>
      </c>
      <c r="S61" s="35">
        <f>+'A) Base RI'!AM61</f>
        <v>81</v>
      </c>
      <c r="T61" s="2">
        <f t="shared" si="3"/>
        <v>619546.16</v>
      </c>
      <c r="U61" s="2">
        <f t="shared" si="4"/>
        <v>8164.7235802469131</v>
      </c>
      <c r="V61" s="10">
        <f>+'A) Base RI'!O61</f>
        <v>0</v>
      </c>
      <c r="W61" s="10">
        <f>+'A) Base RI'!P61</f>
        <v>16025.35</v>
      </c>
      <c r="X61" s="10">
        <f>+'A) Base RI'!R61</f>
        <v>-2822.6</v>
      </c>
      <c r="Y61" s="2">
        <f t="shared" si="5"/>
        <v>13202.75</v>
      </c>
      <c r="Z61" s="10">
        <f>+'A) Base RI'!N61</f>
        <v>0</v>
      </c>
      <c r="AA61" s="10">
        <f>+'A) Base RI'!S61+'A) Base RI'!T61</f>
        <v>0</v>
      </c>
      <c r="AB61" s="10">
        <f>+'A) Base RI'!U61</f>
        <v>1300</v>
      </c>
      <c r="AC61" s="10">
        <f>+'A) Base RI'!V61</f>
        <v>0</v>
      </c>
      <c r="AD61" s="10">
        <f>+'A) Base RI'!W61</f>
        <v>0</v>
      </c>
      <c r="AE61" s="10">
        <f>+'A) Base RI'!Y61</f>
        <v>3400</v>
      </c>
      <c r="AF61" s="10">
        <f>+'A) Base RI'!Z61</f>
        <v>1500</v>
      </c>
      <c r="AG61" s="10">
        <f>+'A) Base RI'!AA61</f>
        <v>10530</v>
      </c>
      <c r="AH61" s="10">
        <f>+'A) Base RI'!AB61</f>
        <v>0</v>
      </c>
      <c r="AI61" s="10">
        <f>+'A) Base RI'!AC61</f>
        <v>27984.95</v>
      </c>
      <c r="AJ61" s="10">
        <f>+'A) Base RI'!AD61</f>
        <v>8550</v>
      </c>
      <c r="AK61" s="10">
        <f>+'A) Base RI'!AE61</f>
        <v>600</v>
      </c>
      <c r="AL61" s="10">
        <f>+'A) Base RI'!AF61</f>
        <v>0</v>
      </c>
      <c r="AM61" s="10">
        <f>+'A) Base RI'!AG61</f>
        <v>0</v>
      </c>
      <c r="AN61" s="10">
        <f>+'A) Base RI'!AH61</f>
        <v>6066.2</v>
      </c>
      <c r="AO61" s="10">
        <f>+'A) Base RI'!AI61</f>
        <v>0</v>
      </c>
      <c r="AP61" s="10">
        <f>+'A) Base RI'!AJ61</f>
        <v>0</v>
      </c>
      <c r="AQ61" s="10">
        <f>+'A) Base RI'!AK61</f>
        <v>0</v>
      </c>
      <c r="AR61" s="10">
        <f>'A) Base RI'!AN61</f>
        <v>316</v>
      </c>
    </row>
    <row r="62" spans="1:44" x14ac:dyDescent="0.25">
      <c r="A62" s="8">
        <f>'A) Base RI'!A62</f>
        <v>5491</v>
      </c>
      <c r="B62" s="34" t="str">
        <f>'A) Base RI'!B62</f>
        <v>Mont-la-Ville</v>
      </c>
      <c r="C62" s="10">
        <f>'A) Base RI'!C62+'A) Base RI'!D62</f>
        <v>725712.54</v>
      </c>
      <c r="D62" s="10">
        <f>'A) Base RI'!AO62</f>
        <v>-9003.11</v>
      </c>
      <c r="E62" s="33">
        <f>'A) Base RI'!AP62</f>
        <v>0</v>
      </c>
      <c r="F62" s="33">
        <f>'A) Base RI'!AQ62</f>
        <v>0</v>
      </c>
      <c r="G62" s="2">
        <f t="shared" si="0"/>
        <v>716709.43</v>
      </c>
      <c r="H62" s="10">
        <f>+'A) Base RI'!E62</f>
        <v>0</v>
      </c>
      <c r="I62" s="10">
        <f>+'A) Base RI'!F62</f>
        <v>2210</v>
      </c>
      <c r="J62" s="10">
        <f>+'A) Base RI'!G62+'A) Base RI'!H62</f>
        <v>2929.05</v>
      </c>
      <c r="K62" s="10">
        <f>+'A) Base RI'!I62</f>
        <v>0</v>
      </c>
      <c r="L62" s="10">
        <f>+'A) Base RI'!J62</f>
        <v>10911.39</v>
      </c>
      <c r="M62" s="10">
        <f>+'A) Base RI'!K62</f>
        <v>518.25</v>
      </c>
      <c r="N62" s="10">
        <f>+'A) Base RI'!Q62</f>
        <v>270.54000000000002</v>
      </c>
      <c r="O62" s="10">
        <f t="shared" si="1"/>
        <v>67375.850000000006</v>
      </c>
      <c r="P62" s="10">
        <f>+'A) Base RI'!L62</f>
        <v>67375.850000000006</v>
      </c>
      <c r="Q62" s="36">
        <f>'A) Base RI'!AR62</f>
        <v>1</v>
      </c>
      <c r="R62" s="2">
        <f t="shared" si="2"/>
        <v>800924.51000000013</v>
      </c>
      <c r="S62" s="35">
        <f>+'A) Base RI'!AM62</f>
        <v>76</v>
      </c>
      <c r="T62" s="2">
        <f t="shared" si="3"/>
        <v>730820.41000000015</v>
      </c>
      <c r="U62" s="2">
        <f t="shared" si="4"/>
        <v>10538.480394736844</v>
      </c>
      <c r="V62" s="10">
        <f>+'A) Base RI'!O62</f>
        <v>0</v>
      </c>
      <c r="W62" s="10">
        <f>+'A) Base RI'!P62</f>
        <v>33585.199999999997</v>
      </c>
      <c r="X62" s="10">
        <f>+'A) Base RI'!R62</f>
        <v>12264.35</v>
      </c>
      <c r="Y62" s="2">
        <f t="shared" si="5"/>
        <v>45849.549999999996</v>
      </c>
      <c r="Z62" s="10">
        <f>+'A) Base RI'!N62</f>
        <v>2655.6</v>
      </c>
      <c r="AA62" s="10">
        <f>+'A) Base RI'!S62+'A) Base RI'!T62</f>
        <v>0</v>
      </c>
      <c r="AB62" s="10">
        <f>+'A) Base RI'!U62</f>
        <v>3850</v>
      </c>
      <c r="AC62" s="10">
        <f>+'A) Base RI'!V62</f>
        <v>0</v>
      </c>
      <c r="AD62" s="10">
        <f>+'A) Base RI'!W62</f>
        <v>0</v>
      </c>
      <c r="AE62" s="10">
        <f>+'A) Base RI'!Y62</f>
        <v>57745.9</v>
      </c>
      <c r="AF62" s="10">
        <f>+'A) Base RI'!Z62</f>
        <v>0</v>
      </c>
      <c r="AG62" s="10">
        <f>+'A) Base RI'!AA62</f>
        <v>45235</v>
      </c>
      <c r="AH62" s="10">
        <f>+'A) Base RI'!AB62</f>
        <v>0</v>
      </c>
      <c r="AI62" s="10">
        <f>+'A) Base RI'!AC62</f>
        <v>35027</v>
      </c>
      <c r="AJ62" s="10">
        <f>+'A) Base RI'!AD62</f>
        <v>37303</v>
      </c>
      <c r="AK62" s="10">
        <f>+'A) Base RI'!AE62</f>
        <v>0</v>
      </c>
      <c r="AL62" s="10">
        <f>+'A) Base RI'!AF62</f>
        <v>0</v>
      </c>
      <c r="AM62" s="10">
        <f>+'A) Base RI'!AG62</f>
        <v>0</v>
      </c>
      <c r="AN62" s="10">
        <f>+'A) Base RI'!AH62</f>
        <v>13795.05</v>
      </c>
      <c r="AO62" s="10">
        <f>+'A) Base RI'!AI62</f>
        <v>0</v>
      </c>
      <c r="AP62" s="10">
        <f>+'A) Base RI'!AJ62</f>
        <v>0</v>
      </c>
      <c r="AQ62" s="10">
        <f>+'A) Base RI'!AK62</f>
        <v>0</v>
      </c>
      <c r="AR62" s="10">
        <f>'A) Base RI'!AN62</f>
        <v>417</v>
      </c>
    </row>
    <row r="63" spans="1:44" x14ac:dyDescent="0.25">
      <c r="A63" s="8">
        <f>'A) Base RI'!A63</f>
        <v>5492</v>
      </c>
      <c r="B63" s="34" t="str">
        <f>'A) Base RI'!B63</f>
        <v>Montricher</v>
      </c>
      <c r="C63" s="10">
        <f>'A) Base RI'!C63+'A) Base RI'!D63</f>
        <v>13927798.32</v>
      </c>
      <c r="D63" s="10">
        <f>'A) Base RI'!AO63</f>
        <v>-24262.1</v>
      </c>
      <c r="E63" s="33">
        <f>'A) Base RI'!AP63</f>
        <v>0</v>
      </c>
      <c r="F63" s="33">
        <f>'A) Base RI'!AQ63</f>
        <v>-1131.31</v>
      </c>
      <c r="G63" s="2">
        <f t="shared" si="0"/>
        <v>13902404.91</v>
      </c>
      <c r="H63" s="10">
        <f>+'A) Base RI'!E63</f>
        <v>0</v>
      </c>
      <c r="I63" s="10">
        <f>+'A) Base RI'!F63</f>
        <v>0</v>
      </c>
      <c r="J63" s="10">
        <f>+'A) Base RI'!G63+'A) Base RI'!H63</f>
        <v>142232.40000000002</v>
      </c>
      <c r="K63" s="10">
        <f>+'A) Base RI'!I63</f>
        <v>0</v>
      </c>
      <c r="L63" s="10">
        <f>+'A) Base RI'!J63</f>
        <v>26178.76</v>
      </c>
      <c r="M63" s="10">
        <f>+'A) Base RI'!K63</f>
        <v>3439.95</v>
      </c>
      <c r="N63" s="10">
        <f>+'A) Base RI'!Q63</f>
        <v>7974.71</v>
      </c>
      <c r="O63" s="10">
        <f t="shared" si="1"/>
        <v>233656.66666666669</v>
      </c>
      <c r="P63" s="10">
        <f>+'A) Base RI'!L63</f>
        <v>70097</v>
      </c>
      <c r="Q63" s="36">
        <f>'A) Base RI'!AR63</f>
        <v>0.3</v>
      </c>
      <c r="R63" s="2">
        <f t="shared" si="2"/>
        <v>14315887.396666666</v>
      </c>
      <c r="S63" s="35">
        <f>+'A) Base RI'!AM63</f>
        <v>64</v>
      </c>
      <c r="T63" s="2">
        <f t="shared" si="3"/>
        <v>14078790.780000001</v>
      </c>
      <c r="U63" s="2">
        <f t="shared" si="4"/>
        <v>223685.74057291666</v>
      </c>
      <c r="V63" s="10">
        <f>+'A) Base RI'!O63</f>
        <v>105271.8</v>
      </c>
      <c r="W63" s="10">
        <f>+'A) Base RI'!P63</f>
        <v>24403.599999999999</v>
      </c>
      <c r="X63" s="10">
        <f>+'A) Base RI'!R63</f>
        <v>31716.75</v>
      </c>
      <c r="Y63" s="2">
        <f t="shared" si="5"/>
        <v>161392.15</v>
      </c>
      <c r="Z63" s="10">
        <f>+'A) Base RI'!N63</f>
        <v>3107.05</v>
      </c>
      <c r="AA63" s="10">
        <f>+'A) Base RI'!S63+'A) Base RI'!T63</f>
        <v>0</v>
      </c>
      <c r="AB63" s="10">
        <f>+'A) Base RI'!U63</f>
        <v>6180</v>
      </c>
      <c r="AC63" s="10">
        <f>+'A) Base RI'!V63</f>
        <v>0</v>
      </c>
      <c r="AD63" s="10">
        <f>+'A) Base RI'!W63</f>
        <v>0</v>
      </c>
      <c r="AE63" s="10">
        <f>+'A) Base RI'!Y63</f>
        <v>16519.75</v>
      </c>
      <c r="AF63" s="10">
        <f>+'A) Base RI'!Z63</f>
        <v>0</v>
      </c>
      <c r="AG63" s="10">
        <f>+'A) Base RI'!AA63</f>
        <v>10230</v>
      </c>
      <c r="AH63" s="10">
        <f>+'A) Base RI'!AB63</f>
        <v>0</v>
      </c>
      <c r="AI63" s="10">
        <f>+'A) Base RI'!AC63</f>
        <v>31380</v>
      </c>
      <c r="AJ63" s="10">
        <f>+'A) Base RI'!AD63</f>
        <v>14229.75</v>
      </c>
      <c r="AK63" s="10">
        <f>+'A) Base RI'!AE63</f>
        <v>0</v>
      </c>
      <c r="AL63" s="10">
        <f>+'A) Base RI'!AF63</f>
        <v>0</v>
      </c>
      <c r="AM63" s="10">
        <f>+'A) Base RI'!AG63</f>
        <v>0</v>
      </c>
      <c r="AN63" s="10">
        <f>+'A) Base RI'!AH63</f>
        <v>29828.65</v>
      </c>
      <c r="AO63" s="10">
        <f>+'A) Base RI'!AI63</f>
        <v>0</v>
      </c>
      <c r="AP63" s="10">
        <f>+'A) Base RI'!AJ63</f>
        <v>0</v>
      </c>
      <c r="AQ63" s="10">
        <f>+'A) Base RI'!AK63</f>
        <v>0</v>
      </c>
      <c r="AR63" s="10">
        <f>'A) Base RI'!AN63</f>
        <v>986</v>
      </c>
    </row>
    <row r="64" spans="1:44" x14ac:dyDescent="0.25">
      <c r="A64" s="8">
        <f>'A) Base RI'!A64</f>
        <v>5493</v>
      </c>
      <c r="B64" s="34" t="str">
        <f>'A) Base RI'!B64</f>
        <v>Orny</v>
      </c>
      <c r="C64" s="10">
        <f>'A) Base RI'!C64+'A) Base RI'!D64</f>
        <v>624657.44999999995</v>
      </c>
      <c r="D64" s="10">
        <f>'A) Base RI'!AO64</f>
        <v>-23831.54</v>
      </c>
      <c r="E64" s="33">
        <f>'A) Base RI'!AP64</f>
        <v>0</v>
      </c>
      <c r="F64" s="33">
        <f>'A) Base RI'!AQ64</f>
        <v>0</v>
      </c>
      <c r="G64" s="2">
        <f t="shared" si="0"/>
        <v>600825.90999999992</v>
      </c>
      <c r="H64" s="10">
        <f>+'A) Base RI'!E64</f>
        <v>0</v>
      </c>
      <c r="I64" s="10">
        <f>+'A) Base RI'!F64</f>
        <v>0</v>
      </c>
      <c r="J64" s="10">
        <f>+'A) Base RI'!G64+'A) Base RI'!H64</f>
        <v>3459.9</v>
      </c>
      <c r="K64" s="10">
        <f>+'A) Base RI'!I64</f>
        <v>0</v>
      </c>
      <c r="L64" s="10">
        <f>+'A) Base RI'!J64</f>
        <v>30811.8</v>
      </c>
      <c r="M64" s="10">
        <f>+'A) Base RI'!K64</f>
        <v>133.75</v>
      </c>
      <c r="N64" s="10">
        <f>+'A) Base RI'!Q64</f>
        <v>33149.67</v>
      </c>
      <c r="O64" s="10">
        <f t="shared" si="1"/>
        <v>54567.615384615376</v>
      </c>
      <c r="P64" s="10">
        <f>+'A) Base RI'!L64</f>
        <v>35468.949999999997</v>
      </c>
      <c r="Q64" s="36">
        <f>'A) Base RI'!AR64</f>
        <v>0.65</v>
      </c>
      <c r="R64" s="2">
        <f t="shared" si="2"/>
        <v>722948.6453846154</v>
      </c>
      <c r="S64" s="35">
        <f>+'A) Base RI'!AM64</f>
        <v>73</v>
      </c>
      <c r="T64" s="2">
        <f t="shared" si="3"/>
        <v>668247.28</v>
      </c>
      <c r="U64" s="2">
        <f t="shared" si="4"/>
        <v>9903.4061011591148</v>
      </c>
      <c r="V64" s="10">
        <f>+'A) Base RI'!O64</f>
        <v>65378.6</v>
      </c>
      <c r="W64" s="10">
        <f>+'A) Base RI'!P64</f>
        <v>3014</v>
      </c>
      <c r="X64" s="10">
        <f>+'A) Base RI'!R64</f>
        <v>3261.65</v>
      </c>
      <c r="Y64" s="2">
        <f t="shared" si="5"/>
        <v>71654.25</v>
      </c>
      <c r="Z64" s="10">
        <f>+'A) Base RI'!N64</f>
        <v>65376.6</v>
      </c>
      <c r="AA64" s="10">
        <f>+'A) Base RI'!S64+'A) Base RI'!T64</f>
        <v>0</v>
      </c>
      <c r="AB64" s="10">
        <f>+'A) Base RI'!U64</f>
        <v>1250</v>
      </c>
      <c r="AC64" s="10">
        <f>+'A) Base RI'!V64</f>
        <v>0</v>
      </c>
      <c r="AD64" s="10">
        <f>+'A) Base RI'!W64</f>
        <v>0</v>
      </c>
      <c r="AE64" s="10">
        <f>+'A) Base RI'!Y64</f>
        <v>60690.2</v>
      </c>
      <c r="AF64" s="10">
        <f>+'A) Base RI'!Z64</f>
        <v>0</v>
      </c>
      <c r="AG64" s="10">
        <f>+'A) Base RI'!AA64</f>
        <v>50696.85</v>
      </c>
      <c r="AH64" s="10">
        <f>+'A) Base RI'!AB64</f>
        <v>0</v>
      </c>
      <c r="AI64" s="10">
        <f>+'A) Base RI'!AC64</f>
        <v>21125.15</v>
      </c>
      <c r="AJ64" s="10">
        <f>+'A) Base RI'!AD64</f>
        <v>0</v>
      </c>
      <c r="AK64" s="10">
        <f>+'A) Base RI'!AE64</f>
        <v>0</v>
      </c>
      <c r="AL64" s="10">
        <f>+'A) Base RI'!AF64</f>
        <v>0</v>
      </c>
      <c r="AM64" s="10">
        <f>+'A) Base RI'!AG64</f>
        <v>0</v>
      </c>
      <c r="AN64" s="10">
        <f>+'A) Base RI'!AH64</f>
        <v>0</v>
      </c>
      <c r="AO64" s="10">
        <f>+'A) Base RI'!AI64</f>
        <v>0</v>
      </c>
      <c r="AP64" s="10">
        <f>+'A) Base RI'!AJ64</f>
        <v>0</v>
      </c>
      <c r="AQ64" s="10">
        <f>+'A) Base RI'!AK64</f>
        <v>0</v>
      </c>
      <c r="AR64" s="10">
        <f>'A) Base RI'!AN64</f>
        <v>356</v>
      </c>
    </row>
    <row r="65" spans="1:44" x14ac:dyDescent="0.25">
      <c r="A65" s="8">
        <f>'A) Base RI'!A65</f>
        <v>5494</v>
      </c>
      <c r="B65" s="34" t="str">
        <f>'A) Base RI'!B65</f>
        <v>Pampigny</v>
      </c>
      <c r="C65" s="10">
        <f>'A) Base RI'!C65+'A) Base RI'!D65</f>
        <v>2493998.9400000004</v>
      </c>
      <c r="D65" s="10">
        <f>'A) Base RI'!AO65</f>
        <v>-52673.67</v>
      </c>
      <c r="E65" s="33">
        <f>'A) Base RI'!AP65</f>
        <v>0</v>
      </c>
      <c r="F65" s="33">
        <f>'A) Base RI'!AQ65</f>
        <v>-158.27000000000001</v>
      </c>
      <c r="G65" s="2">
        <f t="shared" si="0"/>
        <v>2441167.0000000005</v>
      </c>
      <c r="H65" s="10">
        <f>+'A) Base RI'!E65</f>
        <v>0</v>
      </c>
      <c r="I65" s="10">
        <f>+'A) Base RI'!F65</f>
        <v>0</v>
      </c>
      <c r="J65" s="10">
        <f>+'A) Base RI'!G65+'A) Base RI'!H65</f>
        <v>42784.75</v>
      </c>
      <c r="K65" s="10">
        <f>+'A) Base RI'!I65</f>
        <v>0</v>
      </c>
      <c r="L65" s="10">
        <f>+'A) Base RI'!J65</f>
        <v>76473.31</v>
      </c>
      <c r="M65" s="10">
        <f>+'A) Base RI'!K65</f>
        <v>1185.6500000000001</v>
      </c>
      <c r="N65" s="10">
        <f>+'A) Base RI'!Q65</f>
        <v>14133.46</v>
      </c>
      <c r="O65" s="10">
        <f t="shared" si="1"/>
        <v>214321.19047619047</v>
      </c>
      <c r="P65" s="10">
        <f>+'A) Base RI'!L65</f>
        <v>225037.25</v>
      </c>
      <c r="Q65" s="36">
        <f>'A) Base RI'!AR65</f>
        <v>1.05</v>
      </c>
      <c r="R65" s="2">
        <f t="shared" si="2"/>
        <v>2790065.3604761907</v>
      </c>
      <c r="S65" s="35">
        <f>+'A) Base RI'!AM65</f>
        <v>75</v>
      </c>
      <c r="T65" s="2">
        <f t="shared" si="3"/>
        <v>2574558.5200000005</v>
      </c>
      <c r="U65" s="2">
        <f t="shared" si="4"/>
        <v>37200.871473015875</v>
      </c>
      <c r="V65" s="10">
        <f>+'A) Base RI'!O65</f>
        <v>0</v>
      </c>
      <c r="W65" s="10">
        <f>+'A) Base RI'!P65</f>
        <v>33154</v>
      </c>
      <c r="X65" s="10">
        <f>+'A) Base RI'!R65</f>
        <v>3585.65</v>
      </c>
      <c r="Y65" s="2">
        <f t="shared" si="5"/>
        <v>36739.65</v>
      </c>
      <c r="Z65" s="10">
        <f>+'A) Base RI'!N65</f>
        <v>37615.550000000003</v>
      </c>
      <c r="AA65" s="10">
        <f>+'A) Base RI'!S65+'A) Base RI'!T65</f>
        <v>4080.65</v>
      </c>
      <c r="AB65" s="10">
        <f>+'A) Base RI'!U65</f>
        <v>6600</v>
      </c>
      <c r="AC65" s="10">
        <f>+'A) Base RI'!V65</f>
        <v>0</v>
      </c>
      <c r="AD65" s="10">
        <f>+'A) Base RI'!W65</f>
        <v>0</v>
      </c>
      <c r="AE65" s="10">
        <f>+'A) Base RI'!Y65</f>
        <v>112069.21</v>
      </c>
      <c r="AF65" s="10">
        <f>+'A) Base RI'!Z65</f>
        <v>0</v>
      </c>
      <c r="AG65" s="10">
        <f>+'A) Base RI'!AA65</f>
        <v>148795.19</v>
      </c>
      <c r="AH65" s="10">
        <f>+'A) Base RI'!AB65</f>
        <v>0</v>
      </c>
      <c r="AI65" s="10">
        <f>+'A) Base RI'!AC65</f>
        <v>120884.13</v>
      </c>
      <c r="AJ65" s="10">
        <f>+'A) Base RI'!AD65</f>
        <v>91511.22</v>
      </c>
      <c r="AK65" s="10">
        <f>+'A) Base RI'!AE65</f>
        <v>0</v>
      </c>
      <c r="AL65" s="10">
        <f>+'A) Base RI'!AF65</f>
        <v>0</v>
      </c>
      <c r="AM65" s="10">
        <f>+'A) Base RI'!AG65</f>
        <v>0</v>
      </c>
      <c r="AN65" s="10">
        <f>+'A) Base RI'!AH65</f>
        <v>0</v>
      </c>
      <c r="AO65" s="10">
        <f>+'A) Base RI'!AI65</f>
        <v>0</v>
      </c>
      <c r="AP65" s="10">
        <f>+'A) Base RI'!AJ65</f>
        <v>0</v>
      </c>
      <c r="AQ65" s="10">
        <f>+'A) Base RI'!AK65</f>
        <v>0</v>
      </c>
      <c r="AR65" s="10">
        <f>'A) Base RI'!AN65</f>
        <v>1124</v>
      </c>
    </row>
    <row r="66" spans="1:44" x14ac:dyDescent="0.25">
      <c r="A66" s="8">
        <f>'A) Base RI'!A66</f>
        <v>5495</v>
      </c>
      <c r="B66" s="34" t="str">
        <f>'A) Base RI'!B66</f>
        <v>Penthalaz</v>
      </c>
      <c r="C66" s="10">
        <f>'A) Base RI'!C66+'A) Base RI'!D66</f>
        <v>5972795.54</v>
      </c>
      <c r="D66" s="10">
        <f>'A) Base RI'!AO66</f>
        <v>-123470.05</v>
      </c>
      <c r="E66" s="33">
        <f>'A) Base RI'!AP66</f>
        <v>0</v>
      </c>
      <c r="F66" s="33">
        <f>'A) Base RI'!AQ66</f>
        <v>-201.39</v>
      </c>
      <c r="G66" s="2">
        <f t="shared" si="0"/>
        <v>5849124.1000000006</v>
      </c>
      <c r="H66" s="10">
        <f>+'A) Base RI'!E66</f>
        <v>0</v>
      </c>
      <c r="I66" s="10">
        <f>+'A) Base RI'!F66</f>
        <v>0</v>
      </c>
      <c r="J66" s="10">
        <f>+'A) Base RI'!G66+'A) Base RI'!H66</f>
        <v>154369.95000000001</v>
      </c>
      <c r="K66" s="10">
        <f>+'A) Base RI'!I66</f>
        <v>77536.600000000006</v>
      </c>
      <c r="L66" s="10">
        <f>+'A) Base RI'!J66</f>
        <v>214964.94</v>
      </c>
      <c r="M66" s="10">
        <f>+'A) Base RI'!K66</f>
        <v>89743</v>
      </c>
      <c r="N66" s="10">
        <f>+'A) Base RI'!Q66</f>
        <v>41109.46</v>
      </c>
      <c r="O66" s="10">
        <f t="shared" si="1"/>
        <v>494298.95</v>
      </c>
      <c r="P66" s="10">
        <f>+'A) Base RI'!L66</f>
        <v>494298.95</v>
      </c>
      <c r="Q66" s="36">
        <f>'A) Base RI'!AR66</f>
        <v>1</v>
      </c>
      <c r="R66" s="2">
        <f t="shared" si="2"/>
        <v>6921147.0000000009</v>
      </c>
      <c r="S66" s="35">
        <f>+'A) Base RI'!AM66</f>
        <v>74</v>
      </c>
      <c r="T66" s="2">
        <f t="shared" si="3"/>
        <v>6337105.0500000007</v>
      </c>
      <c r="U66" s="2">
        <f t="shared" si="4"/>
        <v>93529.013513513521</v>
      </c>
      <c r="V66" s="10">
        <f>+'A) Base RI'!O66</f>
        <v>159664.35</v>
      </c>
      <c r="W66" s="10">
        <f>+'A) Base RI'!P66</f>
        <v>323392.75</v>
      </c>
      <c r="X66" s="10">
        <f>+'A) Base RI'!R66</f>
        <v>170764.65</v>
      </c>
      <c r="Y66" s="2">
        <f t="shared" si="5"/>
        <v>653821.75</v>
      </c>
      <c r="Z66" s="10">
        <f>+'A) Base RI'!N66</f>
        <v>175056.8</v>
      </c>
      <c r="AA66" s="10">
        <f>+'A) Base RI'!S66+'A) Base RI'!T66</f>
        <v>0</v>
      </c>
      <c r="AB66" s="10">
        <f>+'A) Base RI'!U66</f>
        <v>11640</v>
      </c>
      <c r="AC66" s="10">
        <f>+'A) Base RI'!V66</f>
        <v>0</v>
      </c>
      <c r="AD66" s="10">
        <f>+'A) Base RI'!W66</f>
        <v>0</v>
      </c>
      <c r="AE66" s="10">
        <f>+'A) Base RI'!Y66</f>
        <v>-21078.5</v>
      </c>
      <c r="AF66" s="10">
        <f>+'A) Base RI'!Z66</f>
        <v>0</v>
      </c>
      <c r="AG66" s="10">
        <f>+'A) Base RI'!AA66</f>
        <v>84266.65</v>
      </c>
      <c r="AH66" s="10">
        <f>+'A) Base RI'!AB66</f>
        <v>495588.25</v>
      </c>
      <c r="AI66" s="10">
        <f>+'A) Base RI'!AC66</f>
        <v>307078.84999999998</v>
      </c>
      <c r="AJ66" s="10">
        <f>+'A) Base RI'!AD66</f>
        <v>-28830.5</v>
      </c>
      <c r="AK66" s="10">
        <f>+'A) Base RI'!AE66</f>
        <v>0</v>
      </c>
      <c r="AL66" s="10">
        <f>+'A) Base RI'!AF66</f>
        <v>0</v>
      </c>
      <c r="AM66" s="10">
        <f>+'A) Base RI'!AG66</f>
        <v>0</v>
      </c>
      <c r="AN66" s="10">
        <f>+'A) Base RI'!AH66</f>
        <v>0</v>
      </c>
      <c r="AO66" s="10">
        <f>+'A) Base RI'!AI66</f>
        <v>0</v>
      </c>
      <c r="AP66" s="10">
        <f>+'A) Base RI'!AJ66</f>
        <v>0</v>
      </c>
      <c r="AQ66" s="10">
        <f>+'A) Base RI'!AK66</f>
        <v>0</v>
      </c>
      <c r="AR66" s="10">
        <f>'A) Base RI'!AN66</f>
        <v>3282</v>
      </c>
    </row>
    <row r="67" spans="1:44" x14ac:dyDescent="0.25">
      <c r="A67" s="8">
        <f>'A) Base RI'!A67</f>
        <v>5496</v>
      </c>
      <c r="B67" s="34" t="str">
        <f>'A) Base RI'!B67</f>
        <v>Penthaz</v>
      </c>
      <c r="C67" s="10">
        <f>'A) Base RI'!C67+'A) Base RI'!D67</f>
        <v>3480893.07</v>
      </c>
      <c r="D67" s="10">
        <f>'A) Base RI'!AO67</f>
        <v>-66456.3</v>
      </c>
      <c r="E67" s="33">
        <f>'A) Base RI'!AP67</f>
        <v>0</v>
      </c>
      <c r="F67" s="33">
        <f>'A) Base RI'!AQ67</f>
        <v>-361.15</v>
      </c>
      <c r="G67" s="2">
        <f t="shared" si="0"/>
        <v>3414075.62</v>
      </c>
      <c r="H67" s="10">
        <f>+'A) Base RI'!E67</f>
        <v>0</v>
      </c>
      <c r="I67" s="10">
        <f>+'A) Base RI'!F67</f>
        <v>0</v>
      </c>
      <c r="J67" s="10">
        <f>+'A) Base RI'!G67+'A) Base RI'!H67</f>
        <v>138566.1</v>
      </c>
      <c r="K67" s="10">
        <f>+'A) Base RI'!I67</f>
        <v>0</v>
      </c>
      <c r="L67" s="10">
        <f>+'A) Base RI'!J67</f>
        <v>67680.22</v>
      </c>
      <c r="M67" s="10">
        <f>+'A) Base RI'!K67</f>
        <v>14584.2</v>
      </c>
      <c r="N67" s="10">
        <f>+'A) Base RI'!Q67</f>
        <v>1882.93</v>
      </c>
      <c r="O67" s="10">
        <f t="shared" si="1"/>
        <v>294067.7</v>
      </c>
      <c r="P67" s="10">
        <f>+'A) Base RI'!L67</f>
        <v>294067.7</v>
      </c>
      <c r="Q67" s="36">
        <f>'A) Base RI'!AR67</f>
        <v>1</v>
      </c>
      <c r="R67" s="2">
        <f t="shared" si="2"/>
        <v>3930856.7700000009</v>
      </c>
      <c r="S67" s="35">
        <f>+'A) Base RI'!AM67</f>
        <v>71</v>
      </c>
      <c r="T67" s="2">
        <f t="shared" si="3"/>
        <v>3622204.8700000006</v>
      </c>
      <c r="U67" s="2">
        <f t="shared" si="4"/>
        <v>55364.179859154945</v>
      </c>
      <c r="V67" s="10">
        <f>+'A) Base RI'!O67</f>
        <v>0</v>
      </c>
      <c r="W67" s="10">
        <f>+'A) Base RI'!P67</f>
        <v>169655.55</v>
      </c>
      <c r="X67" s="10">
        <f>+'A) Base RI'!R67</f>
        <v>62488.3</v>
      </c>
      <c r="Y67" s="2">
        <f t="shared" si="5"/>
        <v>232143.84999999998</v>
      </c>
      <c r="Z67" s="10">
        <f>+'A) Base RI'!N67</f>
        <v>97292.1</v>
      </c>
      <c r="AA67" s="10">
        <f>+'A) Base RI'!S67+'A) Base RI'!T67</f>
        <v>7397.45</v>
      </c>
      <c r="AB67" s="10">
        <f>+'A) Base RI'!U67</f>
        <v>13450</v>
      </c>
      <c r="AC67" s="10">
        <f>+'A) Base RI'!V67</f>
        <v>0</v>
      </c>
      <c r="AD67" s="10">
        <f>+'A) Base RI'!W67</f>
        <v>0</v>
      </c>
      <c r="AE67" s="10">
        <f>+'A) Base RI'!Y67</f>
        <v>56623.7</v>
      </c>
      <c r="AF67" s="10">
        <f>+'A) Base RI'!Z67</f>
        <v>0</v>
      </c>
      <c r="AG67" s="10">
        <f>+'A) Base RI'!AA67</f>
        <v>0</v>
      </c>
      <c r="AH67" s="10">
        <f>+'A) Base RI'!AB67</f>
        <v>222603.3</v>
      </c>
      <c r="AI67" s="10">
        <f>+'A) Base RI'!AC67</f>
        <v>125840</v>
      </c>
      <c r="AJ67" s="10">
        <f>+'A) Base RI'!AD67</f>
        <v>57737.5</v>
      </c>
      <c r="AK67" s="10">
        <f>+'A) Base RI'!AE67</f>
        <v>0</v>
      </c>
      <c r="AL67" s="10">
        <f>+'A) Base RI'!AF67</f>
        <v>0</v>
      </c>
      <c r="AM67" s="10">
        <f>+'A) Base RI'!AG67</f>
        <v>2381.4</v>
      </c>
      <c r="AN67" s="10">
        <f>+'A) Base RI'!AH67</f>
        <v>48179.6</v>
      </c>
      <c r="AO67" s="10">
        <f>+'A) Base RI'!AI67</f>
        <v>0</v>
      </c>
      <c r="AP67" s="10">
        <f>+'A) Base RI'!AJ67</f>
        <v>0</v>
      </c>
      <c r="AQ67" s="10">
        <f>+'A) Base RI'!AK67</f>
        <v>0</v>
      </c>
      <c r="AR67" s="10">
        <f>'A) Base RI'!AN67</f>
        <v>1726</v>
      </c>
    </row>
    <row r="68" spans="1:44" x14ac:dyDescent="0.25">
      <c r="A68" s="8">
        <f>'A) Base RI'!A68</f>
        <v>5497</v>
      </c>
      <c r="B68" s="34" t="str">
        <f>'A) Base RI'!B68</f>
        <v>Pompaples</v>
      </c>
      <c r="C68" s="10">
        <f>'A) Base RI'!C68+'A) Base RI'!D68</f>
        <v>1264856.72</v>
      </c>
      <c r="D68" s="10">
        <f>'A) Base RI'!AO68</f>
        <v>-16392.759999999998</v>
      </c>
      <c r="E68" s="33">
        <f>'A) Base RI'!AP68</f>
        <v>0</v>
      </c>
      <c r="F68" s="33">
        <f>'A) Base RI'!AQ68</f>
        <v>-3.03</v>
      </c>
      <c r="G68" s="2">
        <f t="shared" si="0"/>
        <v>1248460.93</v>
      </c>
      <c r="H68" s="10">
        <f>+'A) Base RI'!E68</f>
        <v>0</v>
      </c>
      <c r="I68" s="10">
        <f>+'A) Base RI'!F68</f>
        <v>0</v>
      </c>
      <c r="J68" s="10">
        <f>+'A) Base RI'!G68+'A) Base RI'!H68</f>
        <v>8219.15</v>
      </c>
      <c r="K68" s="10">
        <f>+'A) Base RI'!I68</f>
        <v>0</v>
      </c>
      <c r="L68" s="10">
        <f>+'A) Base RI'!J68</f>
        <v>61393.86</v>
      </c>
      <c r="M68" s="10">
        <f>+'A) Base RI'!K68</f>
        <v>3137</v>
      </c>
      <c r="N68" s="10">
        <f>+'A) Base RI'!Q68</f>
        <v>1962.3</v>
      </c>
      <c r="O68" s="10">
        <f t="shared" si="1"/>
        <v>112734.1</v>
      </c>
      <c r="P68" s="10">
        <f>+'A) Base RI'!L68</f>
        <v>112734.1</v>
      </c>
      <c r="Q68" s="36">
        <f>'A) Base RI'!AR68</f>
        <v>1</v>
      </c>
      <c r="R68" s="2">
        <f t="shared" si="2"/>
        <v>1435907.34</v>
      </c>
      <c r="S68" s="35">
        <f>+'A) Base RI'!AM68</f>
        <v>66</v>
      </c>
      <c r="T68" s="2">
        <f t="shared" si="3"/>
        <v>1320036.24</v>
      </c>
      <c r="U68" s="2">
        <f t="shared" si="4"/>
        <v>21756.171818181818</v>
      </c>
      <c r="V68" s="10">
        <f>+'A) Base RI'!O68</f>
        <v>219813.1</v>
      </c>
      <c r="W68" s="10">
        <f>+'A) Base RI'!P68</f>
        <v>102092.1</v>
      </c>
      <c r="X68" s="10">
        <f>+'A) Base RI'!R68</f>
        <v>36343.199999999997</v>
      </c>
      <c r="Y68" s="2">
        <f t="shared" si="5"/>
        <v>358248.4</v>
      </c>
      <c r="Z68" s="10">
        <f>+'A) Base RI'!N68</f>
        <v>241839.6</v>
      </c>
      <c r="AA68" s="10">
        <f>+'A) Base RI'!S68+'A) Base RI'!T68</f>
        <v>0</v>
      </c>
      <c r="AB68" s="10">
        <f>+'A) Base RI'!U68</f>
        <v>2575</v>
      </c>
      <c r="AC68" s="10">
        <f>+'A) Base RI'!V68</f>
        <v>0</v>
      </c>
      <c r="AD68" s="10">
        <f>+'A) Base RI'!W68</f>
        <v>0</v>
      </c>
      <c r="AE68" s="10">
        <f>+'A) Base RI'!Y68</f>
        <v>17619.55</v>
      </c>
      <c r="AF68" s="10">
        <f>+'A) Base RI'!Z68</f>
        <v>0</v>
      </c>
      <c r="AG68" s="10">
        <f>+'A) Base RI'!AA68</f>
        <v>86438.75</v>
      </c>
      <c r="AH68" s="10">
        <f>+'A) Base RI'!AB68</f>
        <v>0</v>
      </c>
      <c r="AI68" s="10">
        <f>+'A) Base RI'!AC68</f>
        <v>91561.600000000006</v>
      </c>
      <c r="AJ68" s="10">
        <f>+'A) Base RI'!AD68</f>
        <v>0</v>
      </c>
      <c r="AK68" s="10">
        <f>+'A) Base RI'!AE68</f>
        <v>0</v>
      </c>
      <c r="AL68" s="10">
        <f>+'A) Base RI'!AF68</f>
        <v>0</v>
      </c>
      <c r="AM68" s="10">
        <f>+'A) Base RI'!AG68</f>
        <v>0</v>
      </c>
      <c r="AN68" s="10">
        <f>+'A) Base RI'!AH68</f>
        <v>30793.3</v>
      </c>
      <c r="AO68" s="10">
        <f>+'A) Base RI'!AI68</f>
        <v>0</v>
      </c>
      <c r="AP68" s="10">
        <f>+'A) Base RI'!AJ68</f>
        <v>0</v>
      </c>
      <c r="AQ68" s="10">
        <f>+'A) Base RI'!AK68</f>
        <v>0</v>
      </c>
      <c r="AR68" s="10">
        <f>'A) Base RI'!AN68</f>
        <v>854</v>
      </c>
    </row>
    <row r="69" spans="1:44" x14ac:dyDescent="0.25">
      <c r="A69" s="8">
        <f>'A) Base RI'!A69</f>
        <v>5498</v>
      </c>
      <c r="B69" s="34" t="str">
        <f>'A) Base RI'!B69</f>
        <v>La Sarraz</v>
      </c>
      <c r="C69" s="10">
        <f>'A) Base RI'!C69+'A) Base RI'!D69</f>
        <v>4174714.6399999997</v>
      </c>
      <c r="D69" s="10">
        <f>'A) Base RI'!AO69</f>
        <v>-144753.57</v>
      </c>
      <c r="E69" s="33">
        <f>'A) Base RI'!AP69</f>
        <v>0</v>
      </c>
      <c r="F69" s="33">
        <f>'A) Base RI'!AQ69</f>
        <v>-118.26</v>
      </c>
      <c r="G69" s="2">
        <f t="shared" si="0"/>
        <v>4029842.81</v>
      </c>
      <c r="H69" s="10">
        <f>+'A) Base RI'!E69</f>
        <v>0</v>
      </c>
      <c r="I69" s="10">
        <f>+'A) Base RI'!F69</f>
        <v>0</v>
      </c>
      <c r="J69" s="10">
        <f>+'A) Base RI'!G69+'A) Base RI'!H69</f>
        <v>161706.94999999998</v>
      </c>
      <c r="K69" s="10">
        <f>+'A) Base RI'!I69</f>
        <v>0</v>
      </c>
      <c r="L69" s="10">
        <f>+'A) Base RI'!J69</f>
        <v>97882.77</v>
      </c>
      <c r="M69" s="10">
        <f>+'A) Base RI'!K69</f>
        <v>11990.15</v>
      </c>
      <c r="N69" s="10">
        <f>+'A) Base RI'!Q69</f>
        <v>60865.43</v>
      </c>
      <c r="O69" s="10">
        <f t="shared" si="1"/>
        <v>380916.05</v>
      </c>
      <c r="P69" s="10">
        <f>+'A) Base RI'!L69</f>
        <v>380916.05</v>
      </c>
      <c r="Q69" s="36">
        <f>'A) Base RI'!AR69</f>
        <v>1</v>
      </c>
      <c r="R69" s="2">
        <f t="shared" si="2"/>
        <v>4743204.16</v>
      </c>
      <c r="S69" s="35">
        <f>+'A) Base RI'!AM69</f>
        <v>66</v>
      </c>
      <c r="T69" s="2">
        <f t="shared" si="3"/>
        <v>4350297.96</v>
      </c>
      <c r="U69" s="2">
        <f t="shared" si="4"/>
        <v>71866.729696969705</v>
      </c>
      <c r="V69" s="10">
        <f>+'A) Base RI'!O69</f>
        <v>493460.3</v>
      </c>
      <c r="W69" s="10">
        <f>+'A) Base RI'!P69</f>
        <v>226173.75</v>
      </c>
      <c r="X69" s="10">
        <f>+'A) Base RI'!R69</f>
        <v>103377.75</v>
      </c>
      <c r="Y69" s="2">
        <f t="shared" si="5"/>
        <v>823011.8</v>
      </c>
      <c r="Z69" s="10">
        <f>+'A) Base RI'!N69</f>
        <v>66652.55</v>
      </c>
      <c r="AA69" s="10">
        <f>+'A) Base RI'!S69+'A) Base RI'!T69</f>
        <v>11199</v>
      </c>
      <c r="AB69" s="10">
        <f>+'A) Base RI'!U69</f>
        <v>18790</v>
      </c>
      <c r="AC69" s="10">
        <f>+'A) Base RI'!V69</f>
        <v>0</v>
      </c>
      <c r="AD69" s="10">
        <f>+'A) Base RI'!W69</f>
        <v>0</v>
      </c>
      <c r="AE69" s="10">
        <f>+'A) Base RI'!Y69</f>
        <v>14604.75</v>
      </c>
      <c r="AF69" s="10">
        <f>+'A) Base RI'!Z69</f>
        <v>0</v>
      </c>
      <c r="AG69" s="10">
        <f>+'A) Base RI'!AA69</f>
        <v>457275.95</v>
      </c>
      <c r="AH69" s="10">
        <f>+'A) Base RI'!AB69</f>
        <v>0</v>
      </c>
      <c r="AI69" s="10">
        <f>+'A) Base RI'!AC69</f>
        <v>281238.5</v>
      </c>
      <c r="AJ69" s="10">
        <f>+'A) Base RI'!AD69</f>
        <v>0</v>
      </c>
      <c r="AK69" s="10">
        <f>+'A) Base RI'!AE69</f>
        <v>0</v>
      </c>
      <c r="AL69" s="10">
        <f>+'A) Base RI'!AF69</f>
        <v>0</v>
      </c>
      <c r="AM69" s="10">
        <f>+'A) Base RI'!AG69</f>
        <v>0</v>
      </c>
      <c r="AN69" s="10">
        <f>+'A) Base RI'!AH69</f>
        <v>0</v>
      </c>
      <c r="AO69" s="10">
        <f>+'A) Base RI'!AI69</f>
        <v>0</v>
      </c>
      <c r="AP69" s="10">
        <f>+'A) Base RI'!AJ69</f>
        <v>0</v>
      </c>
      <c r="AQ69" s="10">
        <f>+'A) Base RI'!AK69</f>
        <v>0</v>
      </c>
      <c r="AR69" s="10">
        <f>'A) Base RI'!AN69</f>
        <v>2609</v>
      </c>
    </row>
    <row r="70" spans="1:44" x14ac:dyDescent="0.25">
      <c r="A70" s="8">
        <f>'A) Base RI'!A70</f>
        <v>5499</v>
      </c>
      <c r="B70" s="34" t="str">
        <f>'A) Base RI'!B70</f>
        <v>Senarclens</v>
      </c>
      <c r="C70" s="10">
        <f>'A) Base RI'!C70+'A) Base RI'!D70</f>
        <v>1249031.04</v>
      </c>
      <c r="D70" s="10">
        <f>'A) Base RI'!AO70</f>
        <v>-731.73</v>
      </c>
      <c r="E70" s="33">
        <f>'A) Base RI'!AP70</f>
        <v>0</v>
      </c>
      <c r="F70" s="33">
        <f>'A) Base RI'!AQ70</f>
        <v>-187.15</v>
      </c>
      <c r="G70" s="2">
        <f t="shared" si="0"/>
        <v>1248112.1600000001</v>
      </c>
      <c r="H70" s="10">
        <f>+'A) Base RI'!E70</f>
        <v>0</v>
      </c>
      <c r="I70" s="10">
        <f>+'A) Base RI'!F70</f>
        <v>0</v>
      </c>
      <c r="J70" s="10">
        <f>+'A) Base RI'!G70+'A) Base RI'!H70</f>
        <v>19339.399999999998</v>
      </c>
      <c r="K70" s="10">
        <f>+'A) Base RI'!I70</f>
        <v>0</v>
      </c>
      <c r="L70" s="10">
        <f>+'A) Base RI'!J70</f>
        <v>29859.84</v>
      </c>
      <c r="M70" s="10">
        <f>+'A) Base RI'!K70</f>
        <v>0</v>
      </c>
      <c r="N70" s="10">
        <f>+'A) Base RI'!Q70</f>
        <v>628.92999999999995</v>
      </c>
      <c r="O70" s="10">
        <f t="shared" si="1"/>
        <v>89021.8</v>
      </c>
      <c r="P70" s="10">
        <f>+'A) Base RI'!L70</f>
        <v>89021.8</v>
      </c>
      <c r="Q70" s="36">
        <f>'A) Base RI'!AR70</f>
        <v>1</v>
      </c>
      <c r="R70" s="2">
        <f t="shared" si="2"/>
        <v>1386962.1300000001</v>
      </c>
      <c r="S70" s="35">
        <f>+'A) Base RI'!AM70</f>
        <v>68.5</v>
      </c>
      <c r="T70" s="2">
        <f t="shared" si="3"/>
        <v>1297940.33</v>
      </c>
      <c r="U70" s="2">
        <f t="shared" si="4"/>
        <v>20247.622335766424</v>
      </c>
      <c r="V70" s="10">
        <f>+'A) Base RI'!O70</f>
        <v>219402.3</v>
      </c>
      <c r="W70" s="10">
        <f>+'A) Base RI'!P70</f>
        <v>91685</v>
      </c>
      <c r="X70" s="10">
        <f>+'A) Base RI'!R70</f>
        <v>33533.300000000003</v>
      </c>
      <c r="Y70" s="2">
        <f t="shared" si="5"/>
        <v>344620.6</v>
      </c>
      <c r="Z70" s="10">
        <f>+'A) Base RI'!N70</f>
        <v>17109.55</v>
      </c>
      <c r="AA70" s="10">
        <f>+'A) Base RI'!S70+'A) Base RI'!T70</f>
        <v>200</v>
      </c>
      <c r="AB70" s="10">
        <f>+'A) Base RI'!U70</f>
        <v>825</v>
      </c>
      <c r="AC70" s="10">
        <f>+'A) Base RI'!V70</f>
        <v>0</v>
      </c>
      <c r="AD70" s="10">
        <f>+'A) Base RI'!W70</f>
        <v>0</v>
      </c>
      <c r="AE70" s="10">
        <f>+'A) Base RI'!Y70</f>
        <v>2587.1999999999998</v>
      </c>
      <c r="AF70" s="10">
        <f>+'A) Base RI'!Z70</f>
        <v>0</v>
      </c>
      <c r="AG70" s="10">
        <f>+'A) Base RI'!AA70</f>
        <v>34620</v>
      </c>
      <c r="AH70" s="10">
        <f>+'A) Base RI'!AB70</f>
        <v>0</v>
      </c>
      <c r="AI70" s="10">
        <f>+'A) Base RI'!AC70</f>
        <v>41991.6</v>
      </c>
      <c r="AJ70" s="10">
        <f>+'A) Base RI'!AD70</f>
        <v>2587.1999999999998</v>
      </c>
      <c r="AK70" s="10">
        <f>+'A) Base RI'!AE70</f>
        <v>0</v>
      </c>
      <c r="AL70" s="10">
        <f>+'A) Base RI'!AF70</f>
        <v>0</v>
      </c>
      <c r="AM70" s="10">
        <f>+'A) Base RI'!AG70</f>
        <v>0</v>
      </c>
      <c r="AN70" s="10">
        <f>+'A) Base RI'!AH70</f>
        <v>0</v>
      </c>
      <c r="AO70" s="10">
        <f>+'A) Base RI'!AI70</f>
        <v>0</v>
      </c>
      <c r="AP70" s="10">
        <f>+'A) Base RI'!AJ70</f>
        <v>0</v>
      </c>
      <c r="AQ70" s="10">
        <f>+'A) Base RI'!AK70</f>
        <v>0</v>
      </c>
      <c r="AR70" s="10">
        <f>'A) Base RI'!AN70</f>
        <v>505</v>
      </c>
    </row>
    <row r="71" spans="1:44" x14ac:dyDescent="0.25">
      <c r="A71" s="8">
        <f>'A) Base RI'!A71</f>
        <v>5500</v>
      </c>
      <c r="B71" s="34" t="str">
        <f>'A) Base RI'!B71</f>
        <v>Sévery</v>
      </c>
      <c r="C71" s="10">
        <f>'A) Base RI'!C71+'A) Base RI'!D71</f>
        <v>625187.02</v>
      </c>
      <c r="D71" s="10">
        <f>'A) Base RI'!AO71</f>
        <v>-3626.87</v>
      </c>
      <c r="E71" s="33">
        <f>'A) Base RI'!AP71</f>
        <v>0</v>
      </c>
      <c r="F71" s="33">
        <f>'A) Base RI'!AQ71</f>
        <v>-2785.17</v>
      </c>
      <c r="G71" s="2">
        <f t="shared" si="0"/>
        <v>618774.98</v>
      </c>
      <c r="H71" s="10">
        <f>+'A) Base RI'!E71</f>
        <v>0</v>
      </c>
      <c r="I71" s="10">
        <f>+'A) Base RI'!F71</f>
        <v>0</v>
      </c>
      <c r="J71" s="10">
        <f>+'A) Base RI'!G71+'A) Base RI'!H71</f>
        <v>5188.7</v>
      </c>
      <c r="K71" s="10">
        <f>+'A) Base RI'!I71</f>
        <v>0</v>
      </c>
      <c r="L71" s="10">
        <f>+'A) Base RI'!J71</f>
        <v>1890.95</v>
      </c>
      <c r="M71" s="10">
        <f>+'A) Base RI'!K71</f>
        <v>153.94999999999999</v>
      </c>
      <c r="N71" s="10">
        <f>+'A) Base RI'!Q71</f>
        <v>5209.04</v>
      </c>
      <c r="O71" s="10">
        <f t="shared" si="1"/>
        <v>40254.416666666672</v>
      </c>
      <c r="P71" s="10">
        <f>+'A) Base RI'!L71</f>
        <v>48305.3</v>
      </c>
      <c r="Q71" s="36">
        <f>'A) Base RI'!AR71</f>
        <v>1.2</v>
      </c>
      <c r="R71" s="2">
        <f t="shared" si="2"/>
        <v>671472.03666666651</v>
      </c>
      <c r="S71" s="35">
        <f>+'A) Base RI'!AM71</f>
        <v>75</v>
      </c>
      <c r="T71" s="2">
        <f t="shared" si="3"/>
        <v>631063.66999999993</v>
      </c>
      <c r="U71" s="2">
        <f t="shared" si="4"/>
        <v>8952.9604888888862</v>
      </c>
      <c r="V71" s="10">
        <f>+'A) Base RI'!O71</f>
        <v>0</v>
      </c>
      <c r="W71" s="10">
        <f>+'A) Base RI'!P71</f>
        <v>20207</v>
      </c>
      <c r="X71" s="10">
        <f>+'A) Base RI'!R71</f>
        <v>10649.25</v>
      </c>
      <c r="Y71" s="2">
        <f t="shared" si="5"/>
        <v>30856.25</v>
      </c>
      <c r="Z71" s="10">
        <f>+'A) Base RI'!N71</f>
        <v>3276.4</v>
      </c>
      <c r="AA71" s="10">
        <f>+'A) Base RI'!S71+'A) Base RI'!T71</f>
        <v>228.85</v>
      </c>
      <c r="AB71" s="10">
        <f>+'A) Base RI'!U71</f>
        <v>1750</v>
      </c>
      <c r="AC71" s="10">
        <f>+'A) Base RI'!V71</f>
        <v>0</v>
      </c>
      <c r="AD71" s="10">
        <f>+'A) Base RI'!W71</f>
        <v>0</v>
      </c>
      <c r="AE71" s="10">
        <f>+'A) Base RI'!Y71</f>
        <v>2851.42</v>
      </c>
      <c r="AF71" s="10">
        <f>+'A) Base RI'!Z71</f>
        <v>0</v>
      </c>
      <c r="AG71" s="10">
        <f>+'A) Base RI'!AA71</f>
        <v>26558.2</v>
      </c>
      <c r="AH71" s="10">
        <f>+'A) Base RI'!AB71</f>
        <v>0</v>
      </c>
      <c r="AI71" s="10">
        <f>+'A) Base RI'!AC71</f>
        <v>21459.05</v>
      </c>
      <c r="AJ71" s="10">
        <f>+'A) Base RI'!AD71</f>
        <v>1555.33</v>
      </c>
      <c r="AK71" s="10">
        <f>+'A) Base RI'!AE71</f>
        <v>0</v>
      </c>
      <c r="AL71" s="10">
        <f>+'A) Base RI'!AF71</f>
        <v>0</v>
      </c>
      <c r="AM71" s="10">
        <f>+'A) Base RI'!AG71</f>
        <v>0</v>
      </c>
      <c r="AN71" s="10">
        <f>+'A) Base RI'!AH71</f>
        <v>0</v>
      </c>
      <c r="AO71" s="10">
        <f>+'A) Base RI'!AI71</f>
        <v>0</v>
      </c>
      <c r="AP71" s="10">
        <f>+'A) Base RI'!AJ71</f>
        <v>0</v>
      </c>
      <c r="AQ71" s="10">
        <f>+'A) Base RI'!AK71</f>
        <v>0</v>
      </c>
      <c r="AR71" s="10">
        <f>'A) Base RI'!AN71</f>
        <v>233</v>
      </c>
    </row>
    <row r="72" spans="1:44" x14ac:dyDescent="0.25">
      <c r="A72" s="8">
        <f>'A) Base RI'!A72</f>
        <v>5501</v>
      </c>
      <c r="B72" s="34" t="str">
        <f>'A) Base RI'!B72</f>
        <v>Sullens</v>
      </c>
      <c r="C72" s="10">
        <f>'A) Base RI'!C72+'A) Base RI'!D72</f>
        <v>2089289.9200000002</v>
      </c>
      <c r="D72" s="10">
        <f>'A) Base RI'!AO72</f>
        <v>-13526.11</v>
      </c>
      <c r="E72" s="33">
        <f>'A) Base RI'!AP72</f>
        <v>0</v>
      </c>
      <c r="F72" s="33">
        <f>'A) Base RI'!AQ72</f>
        <v>-738.64</v>
      </c>
      <c r="G72" s="2">
        <f t="shared" ref="G72:G135" si="6">SUM(C72:F72)</f>
        <v>2075025.1700000002</v>
      </c>
      <c r="H72" s="10">
        <f>+'A) Base RI'!E72</f>
        <v>0</v>
      </c>
      <c r="I72" s="10">
        <f>+'A) Base RI'!F72</f>
        <v>0</v>
      </c>
      <c r="J72" s="10">
        <f>+'A) Base RI'!G72+'A) Base RI'!H72</f>
        <v>48680.799999999996</v>
      </c>
      <c r="K72" s="10">
        <f>+'A) Base RI'!I72</f>
        <v>38474.65</v>
      </c>
      <c r="L72" s="10">
        <f>+'A) Base RI'!J72</f>
        <v>46297.19</v>
      </c>
      <c r="M72" s="10">
        <f>+'A) Base RI'!K72</f>
        <v>0</v>
      </c>
      <c r="N72" s="10">
        <f>+'A) Base RI'!Q72</f>
        <v>-1881.88</v>
      </c>
      <c r="O72" s="10">
        <f t="shared" ref="O72:O135" si="7">(P72/Q72)*1</f>
        <v>209166.45</v>
      </c>
      <c r="P72" s="10">
        <f>+'A) Base RI'!L72</f>
        <v>209166.45</v>
      </c>
      <c r="Q72" s="36">
        <f>'A) Base RI'!AR72</f>
        <v>1</v>
      </c>
      <c r="R72" s="2">
        <f t="shared" ref="R72:R135" si="8">SUM(G72:O72)</f>
        <v>2415762.3800000004</v>
      </c>
      <c r="S72" s="35">
        <f>+'A) Base RI'!AM72</f>
        <v>70</v>
      </c>
      <c r="T72" s="2">
        <f t="shared" ref="T72:T135" si="9">(G72+H72+J72+K72+L72+N72)</f>
        <v>2206595.9300000002</v>
      </c>
      <c r="U72" s="2">
        <f t="shared" ref="U72:U135" si="10">R72/S72</f>
        <v>34510.891142857145</v>
      </c>
      <c r="V72" s="10">
        <f>+'A) Base RI'!O72</f>
        <v>19752.2</v>
      </c>
      <c r="W72" s="10">
        <f>+'A) Base RI'!P72</f>
        <v>72985</v>
      </c>
      <c r="X72" s="10">
        <f>+'A) Base RI'!R72</f>
        <v>88206.85</v>
      </c>
      <c r="Y72" s="2">
        <f t="shared" ref="Y72:Y135" si="11">SUM(V72:X72)</f>
        <v>180944.05</v>
      </c>
      <c r="Z72" s="10">
        <f>+'A) Base RI'!N72</f>
        <v>62.3</v>
      </c>
      <c r="AA72" s="10">
        <f>+'A) Base RI'!S72+'A) Base RI'!T72</f>
        <v>0</v>
      </c>
      <c r="AB72" s="10">
        <f>+'A) Base RI'!U72</f>
        <v>3100</v>
      </c>
      <c r="AC72" s="10">
        <f>+'A) Base RI'!V72</f>
        <v>0</v>
      </c>
      <c r="AD72" s="10">
        <f>+'A) Base RI'!W72</f>
        <v>0</v>
      </c>
      <c r="AE72" s="10">
        <f>+'A) Base RI'!Y72</f>
        <v>112792</v>
      </c>
      <c r="AF72" s="10">
        <f>+'A) Base RI'!Z72</f>
        <v>1479</v>
      </c>
      <c r="AG72" s="10">
        <f>+'A) Base RI'!AA72</f>
        <v>126649.8</v>
      </c>
      <c r="AH72" s="10">
        <f>+'A) Base RI'!AB72</f>
        <v>0</v>
      </c>
      <c r="AI72" s="10">
        <f>+'A) Base RI'!AC72</f>
        <v>108297.05</v>
      </c>
      <c r="AJ72" s="10">
        <f>+'A) Base RI'!AD72</f>
        <v>149859</v>
      </c>
      <c r="AK72" s="10">
        <f>+'A) Base RI'!AE72</f>
        <v>1235.4000000000001</v>
      </c>
      <c r="AL72" s="10">
        <f>+'A) Base RI'!AF72</f>
        <v>0</v>
      </c>
      <c r="AM72" s="10">
        <f>+'A) Base RI'!AG72</f>
        <v>0</v>
      </c>
      <c r="AN72" s="10">
        <f>+'A) Base RI'!AH72</f>
        <v>0</v>
      </c>
      <c r="AO72" s="10">
        <f>+'A) Base RI'!AI72</f>
        <v>0</v>
      </c>
      <c r="AP72" s="10">
        <f>+'A) Base RI'!AJ72</f>
        <v>0</v>
      </c>
      <c r="AQ72" s="10">
        <f>+'A) Base RI'!AK72</f>
        <v>0</v>
      </c>
      <c r="AR72" s="10">
        <f>'A) Base RI'!AN72</f>
        <v>1005</v>
      </c>
    </row>
    <row r="73" spans="1:44" x14ac:dyDescent="0.25">
      <c r="A73" s="8">
        <f>'A) Base RI'!A73</f>
        <v>5503</v>
      </c>
      <c r="B73" s="34" t="str">
        <f>'A) Base RI'!B73</f>
        <v>Vufflens-la-Ville</v>
      </c>
      <c r="C73" s="10">
        <f>'A) Base RI'!C73+'A) Base RI'!D73</f>
        <v>3455208.1</v>
      </c>
      <c r="D73" s="10">
        <f>'A) Base RI'!AO73</f>
        <v>-2473.87</v>
      </c>
      <c r="E73" s="33">
        <f>'A) Base RI'!AP73</f>
        <v>0</v>
      </c>
      <c r="F73" s="33">
        <f>'A) Base RI'!AQ73</f>
        <v>-148.18</v>
      </c>
      <c r="G73" s="2">
        <f t="shared" si="6"/>
        <v>3452586.05</v>
      </c>
      <c r="H73" s="10">
        <f>+'A) Base RI'!E73</f>
        <v>0</v>
      </c>
      <c r="I73" s="10">
        <f>+'A) Base RI'!F73</f>
        <v>0</v>
      </c>
      <c r="J73" s="10">
        <f>+'A) Base RI'!G73+'A) Base RI'!H73</f>
        <v>734704</v>
      </c>
      <c r="K73" s="10">
        <f>+'A) Base RI'!I73</f>
        <v>0</v>
      </c>
      <c r="L73" s="10">
        <f>+'A) Base RI'!J73</f>
        <v>128569.27</v>
      </c>
      <c r="M73" s="10">
        <f>+'A) Base RI'!K73</f>
        <v>-6136.15</v>
      </c>
      <c r="N73" s="10">
        <f>+'A) Base RI'!Q73</f>
        <v>13016.97</v>
      </c>
      <c r="O73" s="10">
        <f t="shared" si="7"/>
        <v>332998.08333333337</v>
      </c>
      <c r="P73" s="10">
        <f>+'A) Base RI'!L73</f>
        <v>399597.7</v>
      </c>
      <c r="Q73" s="36">
        <f>'A) Base RI'!AR73</f>
        <v>1.2</v>
      </c>
      <c r="R73" s="2">
        <f t="shared" si="8"/>
        <v>4655738.2233333318</v>
      </c>
      <c r="S73" s="35">
        <f>+'A) Base RI'!AM73</f>
        <v>67</v>
      </c>
      <c r="T73" s="2">
        <f t="shared" si="9"/>
        <v>4328876.2899999991</v>
      </c>
      <c r="U73" s="2">
        <f t="shared" si="10"/>
        <v>69488.630199004954</v>
      </c>
      <c r="V73" s="10">
        <f>+'A) Base RI'!O73</f>
        <v>3019</v>
      </c>
      <c r="W73" s="10">
        <f>+'A) Base RI'!P73</f>
        <v>77268.3</v>
      </c>
      <c r="X73" s="10">
        <f>+'A) Base RI'!R73</f>
        <v>144206.95000000001</v>
      </c>
      <c r="Y73" s="2">
        <f t="shared" si="11"/>
        <v>224494.25</v>
      </c>
      <c r="Z73" s="10">
        <f>+'A) Base RI'!N73</f>
        <v>101099.1</v>
      </c>
      <c r="AA73" s="10">
        <f>+'A) Base RI'!S73+'A) Base RI'!T73</f>
        <v>0</v>
      </c>
      <c r="AB73" s="10">
        <f>+'A) Base RI'!U73</f>
        <v>5800</v>
      </c>
      <c r="AC73" s="10">
        <f>+'A) Base RI'!V73</f>
        <v>0</v>
      </c>
      <c r="AD73" s="10">
        <f>+'A) Base RI'!W73</f>
        <v>0</v>
      </c>
      <c r="AE73" s="10">
        <f>+'A) Base RI'!Y73</f>
        <v>46003.35</v>
      </c>
      <c r="AF73" s="10">
        <f>+'A) Base RI'!Z73</f>
        <v>0</v>
      </c>
      <c r="AG73" s="10">
        <f>+'A) Base RI'!AA73</f>
        <v>201033.95</v>
      </c>
      <c r="AH73" s="10">
        <f>+'A) Base RI'!AB73</f>
        <v>0</v>
      </c>
      <c r="AI73" s="10">
        <f>+'A) Base RI'!AC73</f>
        <v>146403.35</v>
      </c>
      <c r="AJ73" s="10">
        <f>+'A) Base RI'!AD73</f>
        <v>199575.4</v>
      </c>
      <c r="AK73" s="10">
        <f>+'A) Base RI'!AE73</f>
        <v>0</v>
      </c>
      <c r="AL73" s="10">
        <f>+'A) Base RI'!AF73</f>
        <v>0</v>
      </c>
      <c r="AM73" s="10">
        <f>+'A) Base RI'!AG73</f>
        <v>0</v>
      </c>
      <c r="AN73" s="10">
        <f>+'A) Base RI'!AH73</f>
        <v>0</v>
      </c>
      <c r="AO73" s="10">
        <f>+'A) Base RI'!AI73</f>
        <v>0</v>
      </c>
      <c r="AP73" s="10">
        <f>+'A) Base RI'!AJ73</f>
        <v>0</v>
      </c>
      <c r="AQ73" s="10">
        <f>+'A) Base RI'!AK73</f>
        <v>0</v>
      </c>
      <c r="AR73" s="10">
        <f>'A) Base RI'!AN73</f>
        <v>1284</v>
      </c>
    </row>
    <row r="74" spans="1:44" x14ac:dyDescent="0.25">
      <c r="A74" s="8">
        <f>'A) Base RI'!A74</f>
        <v>5511</v>
      </c>
      <c r="B74" s="34" t="str">
        <f>'A) Base RI'!B74</f>
        <v>Assens</v>
      </c>
      <c r="C74" s="10">
        <f>'A) Base RI'!C74+'A) Base RI'!D74</f>
        <v>2978705.41</v>
      </c>
      <c r="D74" s="10">
        <f>'A) Base RI'!AO74</f>
        <v>-27752.29</v>
      </c>
      <c r="E74" s="33">
        <f>'A) Base RI'!AP74</f>
        <v>0</v>
      </c>
      <c r="F74" s="33">
        <f>'A) Base RI'!AQ74</f>
        <v>-10194.09</v>
      </c>
      <c r="G74" s="2">
        <f t="shared" si="6"/>
        <v>2940759.0300000003</v>
      </c>
      <c r="H74" s="10">
        <f>+'A) Base RI'!E74</f>
        <v>0</v>
      </c>
      <c r="I74" s="10">
        <f>+'A) Base RI'!F74</f>
        <v>0</v>
      </c>
      <c r="J74" s="10">
        <f>+'A) Base RI'!G74+'A) Base RI'!H74</f>
        <v>289303.80000000005</v>
      </c>
      <c r="K74" s="10">
        <f>+'A) Base RI'!I74</f>
        <v>0</v>
      </c>
      <c r="L74" s="10">
        <f>+'A) Base RI'!J74</f>
        <v>16704.32</v>
      </c>
      <c r="M74" s="10">
        <f>+'A) Base RI'!K74</f>
        <v>775.3</v>
      </c>
      <c r="N74" s="10">
        <f>+'A) Base RI'!Q74</f>
        <v>0</v>
      </c>
      <c r="O74" s="10">
        <f t="shared" si="7"/>
        <v>222168.85</v>
      </c>
      <c r="P74" s="10">
        <f>+'A) Base RI'!L74</f>
        <v>222168.85</v>
      </c>
      <c r="Q74" s="36">
        <f>'A) Base RI'!AR74</f>
        <v>1</v>
      </c>
      <c r="R74" s="2">
        <f t="shared" si="8"/>
        <v>3469711.3</v>
      </c>
      <c r="S74" s="35">
        <f>+'A) Base RI'!AM74</f>
        <v>70</v>
      </c>
      <c r="T74" s="2">
        <f t="shared" si="9"/>
        <v>3246767.15</v>
      </c>
      <c r="U74" s="2">
        <f t="shared" si="10"/>
        <v>49567.304285714286</v>
      </c>
      <c r="V74" s="10">
        <f>+'A) Base RI'!O74</f>
        <v>0</v>
      </c>
      <c r="W74" s="10">
        <f>+'A) Base RI'!P74</f>
        <v>54389.5</v>
      </c>
      <c r="X74" s="10">
        <f>+'A) Base RI'!R74</f>
        <v>25055.599999999999</v>
      </c>
      <c r="Y74" s="2">
        <f t="shared" si="11"/>
        <v>79445.100000000006</v>
      </c>
      <c r="Z74" s="10">
        <f>+'A) Base RI'!N74</f>
        <v>15581.15</v>
      </c>
      <c r="AA74" s="10">
        <f>+'A) Base RI'!S74+'A) Base RI'!T74</f>
        <v>8073.5</v>
      </c>
      <c r="AB74" s="10">
        <f>+'A) Base RI'!U74</f>
        <v>11400</v>
      </c>
      <c r="AC74" s="10">
        <f>+'A) Base RI'!V74</f>
        <v>0</v>
      </c>
      <c r="AD74" s="10">
        <f>+'A) Base RI'!W74</f>
        <v>0</v>
      </c>
      <c r="AE74" s="10">
        <f>+'A) Base RI'!Y74</f>
        <v>82182.600000000006</v>
      </c>
      <c r="AF74" s="10">
        <f>+'A) Base RI'!Z74</f>
        <v>0</v>
      </c>
      <c r="AG74" s="10">
        <f>+'A) Base RI'!AA74</f>
        <v>248126</v>
      </c>
      <c r="AH74" s="10">
        <f>+'A) Base RI'!AB74</f>
        <v>0</v>
      </c>
      <c r="AI74" s="10">
        <f>+'A) Base RI'!AC74</f>
        <v>119379.35</v>
      </c>
      <c r="AJ74" s="10">
        <f>+'A) Base RI'!AD74</f>
        <v>89236.55</v>
      </c>
      <c r="AK74" s="10">
        <f>+'A) Base RI'!AE74</f>
        <v>0</v>
      </c>
      <c r="AL74" s="10">
        <f>+'A) Base RI'!AF74</f>
        <v>0</v>
      </c>
      <c r="AM74" s="10">
        <f>+'A) Base RI'!AG74</f>
        <v>0</v>
      </c>
      <c r="AN74" s="10">
        <f>+'A) Base RI'!AH74</f>
        <v>25927.95</v>
      </c>
      <c r="AO74" s="10">
        <f>+'A) Base RI'!AI74</f>
        <v>0</v>
      </c>
      <c r="AP74" s="10">
        <f>+'A) Base RI'!AJ74</f>
        <v>0</v>
      </c>
      <c r="AQ74" s="10">
        <f>+'A) Base RI'!AK74</f>
        <v>0</v>
      </c>
      <c r="AR74" s="10">
        <f>'A) Base RI'!AN74</f>
        <v>1070</v>
      </c>
    </row>
    <row r="75" spans="1:44" x14ac:dyDescent="0.25">
      <c r="A75" s="8">
        <f>'A) Base RI'!A75</f>
        <v>5512</v>
      </c>
      <c r="B75" s="34" t="str">
        <f>'A) Base RI'!B75</f>
        <v>Bercher</v>
      </c>
      <c r="C75" s="10">
        <f>'A) Base RI'!C75+'A) Base RI'!D75</f>
        <v>2628576.23</v>
      </c>
      <c r="D75" s="10">
        <f>'A) Base RI'!AO75</f>
        <v>-41053.599999999999</v>
      </c>
      <c r="E75" s="33">
        <f>'A) Base RI'!AP75</f>
        <v>0</v>
      </c>
      <c r="F75" s="33">
        <f>'A) Base RI'!AQ75</f>
        <v>-103.69</v>
      </c>
      <c r="G75" s="2">
        <f t="shared" si="6"/>
        <v>2587418.94</v>
      </c>
      <c r="H75" s="10">
        <f>+'A) Base RI'!E75</f>
        <v>0</v>
      </c>
      <c r="I75" s="10">
        <f>+'A) Base RI'!F75</f>
        <v>0</v>
      </c>
      <c r="J75" s="10">
        <f>+'A) Base RI'!G75+'A) Base RI'!H75</f>
        <v>127717.8</v>
      </c>
      <c r="K75" s="10">
        <f>+'A) Base RI'!I75</f>
        <v>0</v>
      </c>
      <c r="L75" s="10">
        <f>+'A) Base RI'!J75</f>
        <v>66454.080000000002</v>
      </c>
      <c r="M75" s="10">
        <f>+'A) Base RI'!K75</f>
        <v>-21.6999999999998</v>
      </c>
      <c r="N75" s="10">
        <f>+'A) Base RI'!Q75</f>
        <v>14432.19</v>
      </c>
      <c r="O75" s="10">
        <f t="shared" si="7"/>
        <v>229385.05</v>
      </c>
      <c r="P75" s="10">
        <f>+'A) Base RI'!L75</f>
        <v>229385.05</v>
      </c>
      <c r="Q75" s="36">
        <f>'A) Base RI'!AR75</f>
        <v>1</v>
      </c>
      <c r="R75" s="2">
        <f t="shared" si="8"/>
        <v>3025386.3599999994</v>
      </c>
      <c r="S75" s="35">
        <f>+'A) Base RI'!AM75</f>
        <v>79</v>
      </c>
      <c r="T75" s="2">
        <f t="shared" si="9"/>
        <v>2796023.01</v>
      </c>
      <c r="U75" s="2">
        <f t="shared" si="10"/>
        <v>38296.029873417712</v>
      </c>
      <c r="V75" s="10">
        <f>+'A) Base RI'!O75</f>
        <v>82469.5</v>
      </c>
      <c r="W75" s="10">
        <f>+'A) Base RI'!P75</f>
        <v>78988.850000000006</v>
      </c>
      <c r="X75" s="10">
        <f>+'A) Base RI'!R75</f>
        <v>63480.2</v>
      </c>
      <c r="Y75" s="2">
        <f t="shared" si="11"/>
        <v>224938.55</v>
      </c>
      <c r="Z75" s="10">
        <f>+'A) Base RI'!N75</f>
        <v>24678.6</v>
      </c>
      <c r="AA75" s="10">
        <f>+'A) Base RI'!S75+'A) Base RI'!T75</f>
        <v>7188.6</v>
      </c>
      <c r="AB75" s="10">
        <f>+'A) Base RI'!U75</f>
        <v>7650</v>
      </c>
      <c r="AC75" s="10">
        <f>+'A) Base RI'!V75</f>
        <v>0</v>
      </c>
      <c r="AD75" s="10">
        <f>+'A) Base RI'!W75</f>
        <v>0</v>
      </c>
      <c r="AE75" s="10">
        <f>+'A) Base RI'!Y75</f>
        <v>49398.1</v>
      </c>
      <c r="AF75" s="10">
        <f>+'A) Base RI'!Z75</f>
        <v>0</v>
      </c>
      <c r="AG75" s="10">
        <f>+'A) Base RI'!AA75</f>
        <v>385266.15</v>
      </c>
      <c r="AH75" s="10">
        <f>+'A) Base RI'!AB75</f>
        <v>0</v>
      </c>
      <c r="AI75" s="10">
        <f>+'A) Base RI'!AC75</f>
        <v>143954.57</v>
      </c>
      <c r="AJ75" s="10">
        <f>+'A) Base RI'!AD75</f>
        <v>52048.75</v>
      </c>
      <c r="AK75" s="10">
        <f>+'A) Base RI'!AE75</f>
        <v>0</v>
      </c>
      <c r="AL75" s="10">
        <f>+'A) Base RI'!AF75</f>
        <v>0</v>
      </c>
      <c r="AM75" s="10">
        <f>+'A) Base RI'!AG75</f>
        <v>0</v>
      </c>
      <c r="AN75" s="10">
        <f>+'A) Base RI'!AH75</f>
        <v>0</v>
      </c>
      <c r="AO75" s="10">
        <f>+'A) Base RI'!AI75</f>
        <v>0</v>
      </c>
      <c r="AP75" s="10">
        <f>+'A) Base RI'!AJ75</f>
        <v>0</v>
      </c>
      <c r="AQ75" s="10">
        <f>+'A) Base RI'!AK75</f>
        <v>0</v>
      </c>
      <c r="AR75" s="10">
        <f>'A) Base RI'!AN75</f>
        <v>1221</v>
      </c>
    </row>
    <row r="76" spans="1:44" x14ac:dyDescent="0.25">
      <c r="A76" s="8">
        <f>'A) Base RI'!A76</f>
        <v>5513</v>
      </c>
      <c r="B76" s="34" t="str">
        <f>'A) Base RI'!B76</f>
        <v>Bioley-Orjulaz</v>
      </c>
      <c r="C76" s="10">
        <f>'A) Base RI'!C76+'A) Base RI'!D76</f>
        <v>970176.98</v>
      </c>
      <c r="D76" s="10">
        <f>'A) Base RI'!AO76</f>
        <v>-2253.0100000000002</v>
      </c>
      <c r="E76" s="33">
        <f>'A) Base RI'!AP76</f>
        <v>0</v>
      </c>
      <c r="F76" s="33">
        <f>'A) Base RI'!AQ76</f>
        <v>-0.03</v>
      </c>
      <c r="G76" s="2">
        <f t="shared" si="6"/>
        <v>967923.94</v>
      </c>
      <c r="H76" s="10">
        <f>+'A) Base RI'!E76</f>
        <v>0</v>
      </c>
      <c r="I76" s="10">
        <f>+'A) Base RI'!F76</f>
        <v>0</v>
      </c>
      <c r="J76" s="10">
        <f>+'A) Base RI'!G76+'A) Base RI'!H76</f>
        <v>449660.80000000005</v>
      </c>
      <c r="K76" s="10">
        <f>+'A) Base RI'!I76</f>
        <v>0</v>
      </c>
      <c r="L76" s="10">
        <f>+'A) Base RI'!J76</f>
        <v>57238.25</v>
      </c>
      <c r="M76" s="10">
        <f>+'A) Base RI'!K76</f>
        <v>367</v>
      </c>
      <c r="N76" s="10">
        <f>+'A) Base RI'!Q76</f>
        <v>2822.24</v>
      </c>
      <c r="O76" s="10">
        <f t="shared" si="7"/>
        <v>103742.39999999999</v>
      </c>
      <c r="P76" s="10">
        <f>+'A) Base RI'!L76</f>
        <v>51871.199999999997</v>
      </c>
      <c r="Q76" s="36">
        <f>'A) Base RI'!AR76</f>
        <v>0.5</v>
      </c>
      <c r="R76" s="2">
        <f t="shared" si="8"/>
        <v>1581754.63</v>
      </c>
      <c r="S76" s="35">
        <f>+'A) Base RI'!AM76</f>
        <v>68</v>
      </c>
      <c r="T76" s="2">
        <f t="shared" si="9"/>
        <v>1477645.23</v>
      </c>
      <c r="U76" s="2">
        <f t="shared" si="10"/>
        <v>23261.0975</v>
      </c>
      <c r="V76" s="10">
        <f>+'A) Base RI'!O76</f>
        <v>266532.7</v>
      </c>
      <c r="W76" s="10">
        <f>+'A) Base RI'!P76</f>
        <v>69124</v>
      </c>
      <c r="X76" s="10">
        <f>+'A) Base RI'!R76</f>
        <v>35135.85</v>
      </c>
      <c r="Y76" s="2">
        <f t="shared" si="11"/>
        <v>370792.55</v>
      </c>
      <c r="Z76" s="10">
        <f>+'A) Base RI'!N76</f>
        <v>94419.55</v>
      </c>
      <c r="AA76" s="10">
        <f>+'A) Base RI'!S76+'A) Base RI'!T76</f>
        <v>896</v>
      </c>
      <c r="AB76" s="10">
        <f>+'A) Base RI'!U76</f>
        <v>5250</v>
      </c>
      <c r="AC76" s="10">
        <f>+'A) Base RI'!V76</f>
        <v>0</v>
      </c>
      <c r="AD76" s="10">
        <f>+'A) Base RI'!W76</f>
        <v>0</v>
      </c>
      <c r="AE76" s="10">
        <f>+'A) Base RI'!Y76</f>
        <v>45961.85</v>
      </c>
      <c r="AF76" s="10">
        <f>+'A) Base RI'!Z76</f>
        <v>0</v>
      </c>
      <c r="AG76" s="10">
        <f>+'A) Base RI'!AA76</f>
        <v>65966.75</v>
      </c>
      <c r="AH76" s="10">
        <f>+'A) Base RI'!AB76</f>
        <v>0</v>
      </c>
      <c r="AI76" s="10">
        <f>+'A) Base RI'!AC76</f>
        <v>38839.199999999997</v>
      </c>
      <c r="AJ76" s="10">
        <f>+'A) Base RI'!AD76</f>
        <v>35186.199999999997</v>
      </c>
      <c r="AK76" s="10">
        <f>+'A) Base RI'!AE76</f>
        <v>0</v>
      </c>
      <c r="AL76" s="10">
        <f>+'A) Base RI'!AF76</f>
        <v>0</v>
      </c>
      <c r="AM76" s="10">
        <f>+'A) Base RI'!AG76</f>
        <v>0</v>
      </c>
      <c r="AN76" s="10">
        <f>+'A) Base RI'!AH76</f>
        <v>0</v>
      </c>
      <c r="AO76" s="10">
        <f>+'A) Base RI'!AI76</f>
        <v>0</v>
      </c>
      <c r="AP76" s="10">
        <f>+'A) Base RI'!AJ76</f>
        <v>0</v>
      </c>
      <c r="AQ76" s="10">
        <f>+'A) Base RI'!AK76</f>
        <v>0</v>
      </c>
      <c r="AR76" s="10">
        <f>'A) Base RI'!AN76</f>
        <v>499</v>
      </c>
    </row>
    <row r="77" spans="1:44" x14ac:dyDescent="0.25">
      <c r="A77" s="8">
        <f>'A) Base RI'!A77</f>
        <v>5514</v>
      </c>
      <c r="B77" s="34" t="str">
        <f>'A) Base RI'!B77</f>
        <v>Bottens</v>
      </c>
      <c r="C77" s="10">
        <f>'A) Base RI'!C77+'A) Base RI'!D77</f>
        <v>2489128.5299999998</v>
      </c>
      <c r="D77" s="10">
        <f>'A) Base RI'!AO77</f>
        <v>-19074.3</v>
      </c>
      <c r="E77" s="33">
        <f>'A) Base RI'!AP77</f>
        <v>0</v>
      </c>
      <c r="F77" s="33">
        <f>'A) Base RI'!AQ77</f>
        <v>-24.26</v>
      </c>
      <c r="G77" s="2">
        <f t="shared" si="6"/>
        <v>2470029.9700000002</v>
      </c>
      <c r="H77" s="10">
        <f>+'A) Base RI'!E77</f>
        <v>0</v>
      </c>
      <c r="I77" s="10">
        <f>+'A) Base RI'!F77</f>
        <v>0</v>
      </c>
      <c r="J77" s="10">
        <f>+'A) Base RI'!G77+'A) Base RI'!H77</f>
        <v>35320.5</v>
      </c>
      <c r="K77" s="10">
        <f>+'A) Base RI'!I77</f>
        <v>34069.5</v>
      </c>
      <c r="L77" s="10">
        <f>+'A) Base RI'!J77</f>
        <v>74958.11</v>
      </c>
      <c r="M77" s="10">
        <f>+'A) Base RI'!K77</f>
        <v>6533</v>
      </c>
      <c r="N77" s="10">
        <f>+'A) Base RI'!Q77</f>
        <v>2673.4</v>
      </c>
      <c r="O77" s="10">
        <f t="shared" si="7"/>
        <v>208983.95</v>
      </c>
      <c r="P77" s="10">
        <f>+'A) Base RI'!L77</f>
        <v>208983.95</v>
      </c>
      <c r="Q77" s="36">
        <f>'A) Base RI'!AR77</f>
        <v>1</v>
      </c>
      <c r="R77" s="2">
        <f t="shared" si="8"/>
        <v>2832568.43</v>
      </c>
      <c r="S77" s="35">
        <f>+'A) Base RI'!AM77</f>
        <v>69</v>
      </c>
      <c r="T77" s="2">
        <f t="shared" si="9"/>
        <v>2617051.48</v>
      </c>
      <c r="U77" s="2">
        <f t="shared" si="10"/>
        <v>41051.716376811593</v>
      </c>
      <c r="V77" s="10">
        <f>+'A) Base RI'!O77</f>
        <v>34382.5</v>
      </c>
      <c r="W77" s="10">
        <f>+'A) Base RI'!P77</f>
        <v>41746.199999999997</v>
      </c>
      <c r="X77" s="10">
        <f>+'A) Base RI'!R77</f>
        <v>43207.35</v>
      </c>
      <c r="Y77" s="2">
        <f t="shared" si="11"/>
        <v>119336.04999999999</v>
      </c>
      <c r="Z77" s="10">
        <f>+'A) Base RI'!N77</f>
        <v>8743.1</v>
      </c>
      <c r="AA77" s="10">
        <f>+'A) Base RI'!S77+'A) Base RI'!T77</f>
        <v>2004.3</v>
      </c>
      <c r="AB77" s="10">
        <f>+'A) Base RI'!U77</f>
        <v>8280</v>
      </c>
      <c r="AC77" s="10">
        <f>+'A) Base RI'!V77</f>
        <v>0</v>
      </c>
      <c r="AD77" s="10">
        <f>+'A) Base RI'!W77</f>
        <v>0</v>
      </c>
      <c r="AE77" s="10">
        <f>+'A) Base RI'!Y77</f>
        <v>79186.5</v>
      </c>
      <c r="AF77" s="10">
        <f>+'A) Base RI'!Z77</f>
        <v>0</v>
      </c>
      <c r="AG77" s="10">
        <f>+'A) Base RI'!AA77</f>
        <v>285768.59999999998</v>
      </c>
      <c r="AH77" s="10">
        <f>+'A) Base RI'!AB77</f>
        <v>0</v>
      </c>
      <c r="AI77" s="10">
        <f>+'A) Base RI'!AC77</f>
        <v>134546.65</v>
      </c>
      <c r="AJ77" s="10">
        <f>+'A) Base RI'!AD77</f>
        <v>52740.41</v>
      </c>
      <c r="AK77" s="10">
        <f>+'A) Base RI'!AE77</f>
        <v>0</v>
      </c>
      <c r="AL77" s="10">
        <f>+'A) Base RI'!AF77</f>
        <v>0</v>
      </c>
      <c r="AM77" s="10">
        <f>+'A) Base RI'!AG77</f>
        <v>0</v>
      </c>
      <c r="AN77" s="10">
        <f>+'A) Base RI'!AH77</f>
        <v>33584.65</v>
      </c>
      <c r="AO77" s="10">
        <f>+'A) Base RI'!AI77</f>
        <v>0</v>
      </c>
      <c r="AP77" s="10">
        <f>+'A) Base RI'!AJ77</f>
        <v>0</v>
      </c>
      <c r="AQ77" s="10">
        <f>+'A) Base RI'!AK77</f>
        <v>0</v>
      </c>
      <c r="AR77" s="10">
        <f>'A) Base RI'!AN77</f>
        <v>1263</v>
      </c>
    </row>
    <row r="78" spans="1:44" x14ac:dyDescent="0.25">
      <c r="A78" s="8">
        <f>'A) Base RI'!A78</f>
        <v>5515</v>
      </c>
      <c r="B78" s="34" t="str">
        <f>'A) Base RI'!B78</f>
        <v>Bretigny-sur-Morrens</v>
      </c>
      <c r="C78" s="10">
        <f>'A) Base RI'!C78+'A) Base RI'!D78</f>
        <v>1799177.6800000002</v>
      </c>
      <c r="D78" s="10">
        <f>'A) Base RI'!AO78</f>
        <v>-1885.34</v>
      </c>
      <c r="E78" s="33">
        <f>'A) Base RI'!AP78</f>
        <v>-1684.5</v>
      </c>
      <c r="F78" s="33">
        <f>'A) Base RI'!AQ78</f>
        <v>0</v>
      </c>
      <c r="G78" s="2">
        <f t="shared" si="6"/>
        <v>1795607.84</v>
      </c>
      <c r="H78" s="10">
        <f>+'A) Base RI'!E78</f>
        <v>0</v>
      </c>
      <c r="I78" s="10">
        <f>+'A) Base RI'!F78</f>
        <v>0</v>
      </c>
      <c r="J78" s="10">
        <f>+'A) Base RI'!G78+'A) Base RI'!H78</f>
        <v>9172.9500000000007</v>
      </c>
      <c r="K78" s="10">
        <f>+'A) Base RI'!I78</f>
        <v>0</v>
      </c>
      <c r="L78" s="10">
        <f>+'A) Base RI'!J78</f>
        <v>70431.5</v>
      </c>
      <c r="M78" s="10">
        <f>+'A) Base RI'!K78</f>
        <v>2000.55</v>
      </c>
      <c r="N78" s="10">
        <f>+'A) Base RI'!Q78</f>
        <v>0</v>
      </c>
      <c r="O78" s="10">
        <f t="shared" si="7"/>
        <v>147887.15</v>
      </c>
      <c r="P78" s="10">
        <f>+'A) Base RI'!L78</f>
        <v>147887.15</v>
      </c>
      <c r="Q78" s="36">
        <f>'A) Base RI'!AR78</f>
        <v>1</v>
      </c>
      <c r="R78" s="2">
        <f t="shared" si="8"/>
        <v>2025099.99</v>
      </c>
      <c r="S78" s="35">
        <f>+'A) Base RI'!AM78</f>
        <v>73</v>
      </c>
      <c r="T78" s="2">
        <f t="shared" si="9"/>
        <v>1875212.29</v>
      </c>
      <c r="U78" s="2">
        <f t="shared" si="10"/>
        <v>27741.095753424659</v>
      </c>
      <c r="V78" s="10">
        <f>+'A) Base RI'!O78</f>
        <v>0</v>
      </c>
      <c r="W78" s="10">
        <f>+'A) Base RI'!P78</f>
        <v>77005.45</v>
      </c>
      <c r="X78" s="10">
        <f>+'A) Base RI'!R78</f>
        <v>28531.7</v>
      </c>
      <c r="Y78" s="2">
        <f t="shared" si="11"/>
        <v>105537.15</v>
      </c>
      <c r="Z78" s="10">
        <f>+'A) Base RI'!N78</f>
        <v>9818.5</v>
      </c>
      <c r="AA78" s="10">
        <f>+'A) Base RI'!S78+'A) Base RI'!T78</f>
        <v>937</v>
      </c>
      <c r="AB78" s="10">
        <f>+'A) Base RI'!U78</f>
        <v>5715</v>
      </c>
      <c r="AC78" s="10">
        <f>+'A) Base RI'!V78</f>
        <v>0</v>
      </c>
      <c r="AD78" s="10">
        <f>+'A) Base RI'!W78</f>
        <v>0</v>
      </c>
      <c r="AE78" s="10">
        <f>+'A) Base RI'!Y78</f>
        <v>105556.5</v>
      </c>
      <c r="AF78" s="10">
        <f>+'A) Base RI'!Z78</f>
        <v>0</v>
      </c>
      <c r="AG78" s="10">
        <f>+'A) Base RI'!AA78</f>
        <v>205887.5</v>
      </c>
      <c r="AH78" s="10">
        <f>+'A) Base RI'!AB78</f>
        <v>0</v>
      </c>
      <c r="AI78" s="10">
        <f>+'A) Base RI'!AC78</f>
        <v>77290</v>
      </c>
      <c r="AJ78" s="10">
        <f>+'A) Base RI'!AD78</f>
        <v>39557.4</v>
      </c>
      <c r="AK78" s="10">
        <f>+'A) Base RI'!AE78</f>
        <v>0</v>
      </c>
      <c r="AL78" s="10">
        <f>+'A) Base RI'!AF78</f>
        <v>0</v>
      </c>
      <c r="AM78" s="10">
        <f>+'A) Base RI'!AG78</f>
        <v>0</v>
      </c>
      <c r="AN78" s="10">
        <f>+'A) Base RI'!AH78</f>
        <v>0</v>
      </c>
      <c r="AO78" s="10">
        <f>+'A) Base RI'!AI78</f>
        <v>0</v>
      </c>
      <c r="AP78" s="10">
        <f>+'A) Base RI'!AJ78</f>
        <v>0</v>
      </c>
      <c r="AQ78" s="10">
        <f>+'A) Base RI'!AK78</f>
        <v>0</v>
      </c>
      <c r="AR78" s="10">
        <f>'A) Base RI'!AN78</f>
        <v>825</v>
      </c>
    </row>
    <row r="79" spans="1:44" x14ac:dyDescent="0.25">
      <c r="A79" s="8">
        <f>'A) Base RI'!A79</f>
        <v>5516</v>
      </c>
      <c r="B79" s="34" t="str">
        <f>'A) Base RI'!B79</f>
        <v>Cugy</v>
      </c>
      <c r="C79" s="10">
        <f>'A) Base RI'!C79+'A) Base RI'!D79</f>
        <v>6892410.4399999995</v>
      </c>
      <c r="D79" s="10">
        <f>'A) Base RI'!AO79</f>
        <v>-59831.1</v>
      </c>
      <c r="E79" s="33">
        <f>'A) Base RI'!AP79</f>
        <v>0</v>
      </c>
      <c r="F79" s="33">
        <f>'A) Base RI'!AQ79</f>
        <v>-845.74</v>
      </c>
      <c r="G79" s="2">
        <f t="shared" si="6"/>
        <v>6831733.5999999996</v>
      </c>
      <c r="H79" s="10">
        <f>+'A) Base RI'!E79</f>
        <v>0</v>
      </c>
      <c r="I79" s="10">
        <f>+'A) Base RI'!F79</f>
        <v>0</v>
      </c>
      <c r="J79" s="10">
        <f>+'A) Base RI'!G79+'A) Base RI'!H79</f>
        <v>249296.55</v>
      </c>
      <c r="K79" s="10">
        <f>+'A) Base RI'!I79</f>
        <v>804.55</v>
      </c>
      <c r="L79" s="10">
        <f>+'A) Base RI'!J79</f>
        <v>129530.09</v>
      </c>
      <c r="M79" s="10">
        <f>+'A) Base RI'!K79</f>
        <v>24513.4</v>
      </c>
      <c r="N79" s="10">
        <f>+'A) Base RI'!Q79</f>
        <v>11379.02</v>
      </c>
      <c r="O79" s="10">
        <f t="shared" si="7"/>
        <v>551009.1</v>
      </c>
      <c r="P79" s="10">
        <f>+'A) Base RI'!L79</f>
        <v>551009.1</v>
      </c>
      <c r="Q79" s="36">
        <f>'A) Base RI'!AR79</f>
        <v>1</v>
      </c>
      <c r="R79" s="2">
        <f t="shared" si="8"/>
        <v>7798266.3099999987</v>
      </c>
      <c r="S79" s="35">
        <f>+'A) Base RI'!AM79</f>
        <v>70</v>
      </c>
      <c r="T79" s="2">
        <f t="shared" si="9"/>
        <v>7222743.8099999987</v>
      </c>
      <c r="U79" s="2">
        <f t="shared" si="10"/>
        <v>111403.80442857141</v>
      </c>
      <c r="V79" s="10">
        <f>+'A) Base RI'!O79</f>
        <v>97960.9</v>
      </c>
      <c r="W79" s="10">
        <f>+'A) Base RI'!P79</f>
        <v>201189.5</v>
      </c>
      <c r="X79" s="10">
        <f>+'A) Base RI'!R79</f>
        <v>252965.2</v>
      </c>
      <c r="Y79" s="2">
        <f t="shared" si="11"/>
        <v>552115.60000000009</v>
      </c>
      <c r="Z79" s="10">
        <f>+'A) Base RI'!N79</f>
        <v>100206.7</v>
      </c>
      <c r="AA79" s="10">
        <f>+'A) Base RI'!S79+'A) Base RI'!T79</f>
        <v>500</v>
      </c>
      <c r="AB79" s="10">
        <f>+'A) Base RI'!U79</f>
        <v>13050</v>
      </c>
      <c r="AC79" s="10">
        <f>+'A) Base RI'!V79</f>
        <v>0</v>
      </c>
      <c r="AD79" s="10">
        <f>+'A) Base RI'!W79</f>
        <v>0</v>
      </c>
      <c r="AE79" s="10">
        <f>+'A) Base RI'!Y79</f>
        <v>195862.5</v>
      </c>
      <c r="AF79" s="10">
        <f>+'A) Base RI'!Z79</f>
        <v>0</v>
      </c>
      <c r="AG79" s="10">
        <f>+'A) Base RI'!AA79</f>
        <v>598954.15</v>
      </c>
      <c r="AH79" s="10">
        <f>+'A) Base RI'!AB79</f>
        <v>0</v>
      </c>
      <c r="AI79" s="10">
        <f>+'A) Base RI'!AC79</f>
        <v>273865.55</v>
      </c>
      <c r="AJ79" s="10">
        <f>+'A) Base RI'!AD79</f>
        <v>141162.79999999999</v>
      </c>
      <c r="AK79" s="10">
        <f>+'A) Base RI'!AE79</f>
        <v>0</v>
      </c>
      <c r="AL79" s="10">
        <f>+'A) Base RI'!AF79</f>
        <v>0</v>
      </c>
      <c r="AM79" s="10">
        <f>+'A) Base RI'!AG79</f>
        <v>0</v>
      </c>
      <c r="AN79" s="10">
        <f>+'A) Base RI'!AH79</f>
        <v>72524.149999999994</v>
      </c>
      <c r="AO79" s="10">
        <f>+'A) Base RI'!AI79</f>
        <v>0</v>
      </c>
      <c r="AP79" s="10">
        <f>+'A) Base RI'!AJ79</f>
        <v>0</v>
      </c>
      <c r="AQ79" s="10">
        <f>+'A) Base RI'!AK79</f>
        <v>0</v>
      </c>
      <c r="AR79" s="10">
        <f>'A) Base RI'!AN79</f>
        <v>2744</v>
      </c>
    </row>
    <row r="80" spans="1:44" x14ac:dyDescent="0.25">
      <c r="A80" s="8">
        <f>'A) Base RI'!A80</f>
        <v>5518</v>
      </c>
      <c r="B80" s="34" t="str">
        <f>'A) Base RI'!B80</f>
        <v>Echallens</v>
      </c>
      <c r="C80" s="10">
        <f>'A) Base RI'!C80+'A) Base RI'!D80</f>
        <v>11580868.83</v>
      </c>
      <c r="D80" s="10">
        <f>'A) Base RI'!AO80</f>
        <v>-198416.91</v>
      </c>
      <c r="E80" s="33">
        <f>'A) Base RI'!AP80</f>
        <v>0</v>
      </c>
      <c r="F80" s="33">
        <f>'A) Base RI'!AQ80</f>
        <v>-51.45</v>
      </c>
      <c r="G80" s="2">
        <f t="shared" si="6"/>
        <v>11382400.470000001</v>
      </c>
      <c r="H80" s="10">
        <f>+'A) Base RI'!E80</f>
        <v>0</v>
      </c>
      <c r="I80" s="10">
        <f>+'A) Base RI'!F80</f>
        <v>0</v>
      </c>
      <c r="J80" s="10">
        <f>+'A) Base RI'!G80+'A) Base RI'!H80</f>
        <v>1523647.75</v>
      </c>
      <c r="K80" s="10">
        <f>+'A) Base RI'!I80</f>
        <v>0</v>
      </c>
      <c r="L80" s="10">
        <f>+'A) Base RI'!J80</f>
        <v>252557.19</v>
      </c>
      <c r="M80" s="10">
        <f>+'A) Base RI'!K80</f>
        <v>62484.55</v>
      </c>
      <c r="N80" s="10">
        <f>+'A) Base RI'!Q80</f>
        <v>116075.32</v>
      </c>
      <c r="O80" s="10">
        <f t="shared" si="7"/>
        <v>992100.1</v>
      </c>
      <c r="P80" s="10">
        <f>+'A) Base RI'!L80</f>
        <v>992100.1</v>
      </c>
      <c r="Q80" s="36">
        <f>'A) Base RI'!AR80</f>
        <v>1</v>
      </c>
      <c r="R80" s="2">
        <f t="shared" si="8"/>
        <v>14329265.380000001</v>
      </c>
      <c r="S80" s="35">
        <f>+'A) Base RI'!AM80</f>
        <v>74</v>
      </c>
      <c r="T80" s="2">
        <f t="shared" si="9"/>
        <v>13274680.73</v>
      </c>
      <c r="U80" s="2">
        <f t="shared" si="10"/>
        <v>193638.72135135136</v>
      </c>
      <c r="V80" s="10">
        <f>+'A) Base RI'!O80</f>
        <v>398441.4</v>
      </c>
      <c r="W80" s="10">
        <f>+'A) Base RI'!P80</f>
        <v>276105.95</v>
      </c>
      <c r="X80" s="10">
        <f>+'A) Base RI'!R80</f>
        <v>-126575.55</v>
      </c>
      <c r="Y80" s="2">
        <f t="shared" si="11"/>
        <v>547971.80000000005</v>
      </c>
      <c r="Z80" s="10">
        <f>+'A) Base RI'!N80</f>
        <v>149387.6</v>
      </c>
      <c r="AA80" s="10">
        <f>+'A) Base RI'!S80+'A) Base RI'!T80</f>
        <v>38507.949999999997</v>
      </c>
      <c r="AB80" s="10">
        <f>+'A) Base RI'!U80</f>
        <v>18970</v>
      </c>
      <c r="AC80" s="10">
        <f>+'A) Base RI'!V80</f>
        <v>0</v>
      </c>
      <c r="AD80" s="10">
        <f>+'A) Base RI'!W80</f>
        <v>1067.8</v>
      </c>
      <c r="AE80" s="10">
        <f>+'A) Base RI'!Y80</f>
        <v>128452.2</v>
      </c>
      <c r="AF80" s="10">
        <f>+'A) Base RI'!Z80</f>
        <v>0</v>
      </c>
      <c r="AG80" s="10">
        <f>+'A) Base RI'!AA80</f>
        <v>1028814.15</v>
      </c>
      <c r="AH80" s="10">
        <f>+'A) Base RI'!AB80</f>
        <v>0</v>
      </c>
      <c r="AI80" s="10">
        <f>+'A) Base RI'!AC80</f>
        <v>335960.7</v>
      </c>
      <c r="AJ80" s="10">
        <f>+'A) Base RI'!AD80</f>
        <v>67310.45</v>
      </c>
      <c r="AK80" s="10">
        <f>+'A) Base RI'!AE80</f>
        <v>0</v>
      </c>
      <c r="AL80" s="10">
        <f>+'A) Base RI'!AF80</f>
        <v>0</v>
      </c>
      <c r="AM80" s="10">
        <f>+'A) Base RI'!AG80</f>
        <v>0</v>
      </c>
      <c r="AN80" s="10">
        <f>+'A) Base RI'!AH80</f>
        <v>0</v>
      </c>
      <c r="AO80" s="10">
        <f>+'A) Base RI'!AI80</f>
        <v>0</v>
      </c>
      <c r="AP80" s="10">
        <f>+'A) Base RI'!AJ80</f>
        <v>0</v>
      </c>
      <c r="AQ80" s="10">
        <f>+'A) Base RI'!AK80</f>
        <v>0</v>
      </c>
      <c r="AR80" s="10">
        <f>'A) Base RI'!AN80</f>
        <v>5728</v>
      </c>
    </row>
    <row r="81" spans="1:44" x14ac:dyDescent="0.25">
      <c r="A81" s="8">
        <f>'A) Base RI'!A81</f>
        <v>5520</v>
      </c>
      <c r="B81" s="34" t="str">
        <f>'A) Base RI'!B81</f>
        <v>Essertines-sur-Yverdon</v>
      </c>
      <c r="C81" s="10">
        <f>'A) Base RI'!C81+'A) Base RI'!D81</f>
        <v>2133326.84</v>
      </c>
      <c r="D81" s="10">
        <f>'A) Base RI'!AO81</f>
        <v>-9716.3799999999992</v>
      </c>
      <c r="E81" s="33">
        <f>'A) Base RI'!AP81</f>
        <v>0</v>
      </c>
      <c r="F81" s="33">
        <f>'A) Base RI'!AQ81</f>
        <v>-50.93</v>
      </c>
      <c r="G81" s="2">
        <f t="shared" si="6"/>
        <v>2123559.5299999998</v>
      </c>
      <c r="H81" s="10">
        <f>+'A) Base RI'!E81</f>
        <v>0</v>
      </c>
      <c r="I81" s="10">
        <f>+'A) Base RI'!F81</f>
        <v>0</v>
      </c>
      <c r="J81" s="10">
        <f>+'A) Base RI'!G81+'A) Base RI'!H81</f>
        <v>11417.5</v>
      </c>
      <c r="K81" s="10">
        <f>+'A) Base RI'!I81</f>
        <v>0</v>
      </c>
      <c r="L81" s="10">
        <f>+'A) Base RI'!J81</f>
        <v>23467.29</v>
      </c>
      <c r="M81" s="10">
        <f>+'A) Base RI'!K81</f>
        <v>1728.25</v>
      </c>
      <c r="N81" s="10">
        <f>+'A) Base RI'!Q81</f>
        <v>4509.1099999999997</v>
      </c>
      <c r="O81" s="10">
        <f t="shared" si="7"/>
        <v>173096.2</v>
      </c>
      <c r="P81" s="10">
        <f>+'A) Base RI'!L81</f>
        <v>173096.2</v>
      </c>
      <c r="Q81" s="36">
        <f>'A) Base RI'!AR81</f>
        <v>1</v>
      </c>
      <c r="R81" s="2">
        <f t="shared" si="8"/>
        <v>2337777.88</v>
      </c>
      <c r="S81" s="35">
        <f>+'A) Base RI'!AM81</f>
        <v>73</v>
      </c>
      <c r="T81" s="2">
        <f t="shared" si="9"/>
        <v>2162953.4299999997</v>
      </c>
      <c r="U81" s="2">
        <f t="shared" si="10"/>
        <v>32024.354520547942</v>
      </c>
      <c r="V81" s="10">
        <f>+'A) Base RI'!O81</f>
        <v>19373.5</v>
      </c>
      <c r="W81" s="10">
        <f>+'A) Base RI'!P81</f>
        <v>150701.25</v>
      </c>
      <c r="X81" s="10">
        <f>+'A) Base RI'!R81</f>
        <v>26267.4</v>
      </c>
      <c r="Y81" s="2">
        <f t="shared" si="11"/>
        <v>196342.15</v>
      </c>
      <c r="Z81" s="10">
        <f>+'A) Base RI'!N81</f>
        <v>11219.05</v>
      </c>
      <c r="AA81" s="10">
        <f>+'A) Base RI'!S81+'A) Base RI'!T81</f>
        <v>896.9</v>
      </c>
      <c r="AB81" s="10">
        <f>+'A) Base RI'!U81</f>
        <v>10425</v>
      </c>
      <c r="AC81" s="10">
        <f>+'A) Base RI'!V81</f>
        <v>0</v>
      </c>
      <c r="AD81" s="10">
        <f>+'A) Base RI'!W81</f>
        <v>0</v>
      </c>
      <c r="AE81" s="10">
        <f>+'A) Base RI'!Y81</f>
        <v>34989.5</v>
      </c>
      <c r="AF81" s="10">
        <f>+'A) Base RI'!Z81</f>
        <v>62226.3</v>
      </c>
      <c r="AG81" s="10">
        <f>+'A) Base RI'!AA81</f>
        <v>90474.5</v>
      </c>
      <c r="AH81" s="10">
        <f>+'A) Base RI'!AB81</f>
        <v>0</v>
      </c>
      <c r="AI81" s="10">
        <f>+'A) Base RI'!AC81</f>
        <v>63726.75</v>
      </c>
      <c r="AJ81" s="10">
        <f>+'A) Base RI'!AD81</f>
        <v>43476</v>
      </c>
      <c r="AK81" s="10">
        <f>+'A) Base RI'!AE81</f>
        <v>31158.05</v>
      </c>
      <c r="AL81" s="10">
        <f>+'A) Base RI'!AF81</f>
        <v>0</v>
      </c>
      <c r="AM81" s="10">
        <f>+'A) Base RI'!AG81</f>
        <v>0</v>
      </c>
      <c r="AN81" s="10">
        <f>+'A) Base RI'!AH81</f>
        <v>0</v>
      </c>
      <c r="AO81" s="10">
        <f>+'A) Base RI'!AI81</f>
        <v>0</v>
      </c>
      <c r="AP81" s="10">
        <f>+'A) Base RI'!AJ81</f>
        <v>0</v>
      </c>
      <c r="AQ81" s="10">
        <f>+'A) Base RI'!AK81</f>
        <v>0</v>
      </c>
      <c r="AR81" s="10">
        <f>'A) Base RI'!AN81</f>
        <v>981</v>
      </c>
    </row>
    <row r="82" spans="1:44" x14ac:dyDescent="0.25">
      <c r="A82" s="8">
        <f>'A) Base RI'!A82</f>
        <v>5521</v>
      </c>
      <c r="B82" s="34" t="str">
        <f>'A) Base RI'!B82</f>
        <v>Etagnières</v>
      </c>
      <c r="C82" s="10">
        <f>'A) Base RI'!C82+'A) Base RI'!D82</f>
        <v>2575751.86</v>
      </c>
      <c r="D82" s="10">
        <f>'A) Base RI'!AO82</f>
        <v>-16530.7</v>
      </c>
      <c r="E82" s="33">
        <f>'A) Base RI'!AP82</f>
        <v>0</v>
      </c>
      <c r="F82" s="33">
        <f>'A) Base RI'!AQ82</f>
        <v>-4.3600000000000003</v>
      </c>
      <c r="G82" s="2">
        <f t="shared" si="6"/>
        <v>2559216.7999999998</v>
      </c>
      <c r="H82" s="10">
        <f>+'A) Base RI'!E82</f>
        <v>0</v>
      </c>
      <c r="I82" s="10">
        <f>+'A) Base RI'!F82</f>
        <v>0</v>
      </c>
      <c r="J82" s="10">
        <f>+'A) Base RI'!G82+'A) Base RI'!H82</f>
        <v>151376.80000000002</v>
      </c>
      <c r="K82" s="10">
        <f>+'A) Base RI'!I82</f>
        <v>0</v>
      </c>
      <c r="L82" s="10">
        <f>+'A) Base RI'!J82</f>
        <v>84184.09</v>
      </c>
      <c r="M82" s="10">
        <f>+'A) Base RI'!K82</f>
        <v>10733.75</v>
      </c>
      <c r="N82" s="10">
        <f>+'A) Base RI'!Q82</f>
        <v>10436.26</v>
      </c>
      <c r="O82" s="10">
        <f t="shared" si="7"/>
        <v>234159.1</v>
      </c>
      <c r="P82" s="10">
        <f>+'A) Base RI'!L82</f>
        <v>234159.1</v>
      </c>
      <c r="Q82" s="36">
        <f>'A) Base RI'!AR82</f>
        <v>1</v>
      </c>
      <c r="R82" s="2">
        <f t="shared" si="8"/>
        <v>3050106.7999999993</v>
      </c>
      <c r="S82" s="35">
        <f>+'A) Base RI'!AM82</f>
        <v>73</v>
      </c>
      <c r="T82" s="2">
        <f t="shared" si="9"/>
        <v>2805213.9499999993</v>
      </c>
      <c r="U82" s="2">
        <f t="shared" si="10"/>
        <v>41782.284931506838</v>
      </c>
      <c r="V82" s="10">
        <f>+'A) Base RI'!O82</f>
        <v>0</v>
      </c>
      <c r="W82" s="10">
        <f>+'A) Base RI'!P82</f>
        <v>119350</v>
      </c>
      <c r="X82" s="10">
        <f>+'A) Base RI'!R82</f>
        <v>28604.7</v>
      </c>
      <c r="Y82" s="2">
        <f t="shared" si="11"/>
        <v>147954.70000000001</v>
      </c>
      <c r="Z82" s="10">
        <f>+'A) Base RI'!N82</f>
        <v>49840.9</v>
      </c>
      <c r="AA82" s="10">
        <f>+'A) Base RI'!S82+'A) Base RI'!T82</f>
        <v>0</v>
      </c>
      <c r="AB82" s="10">
        <f>+'A) Base RI'!U82</f>
        <v>0</v>
      </c>
      <c r="AC82" s="10">
        <f>+'A) Base RI'!V82</f>
        <v>0</v>
      </c>
      <c r="AD82" s="10">
        <f>+'A) Base RI'!W82</f>
        <v>0</v>
      </c>
      <c r="AE82" s="10">
        <f>+'A) Base RI'!Y82</f>
        <v>24290</v>
      </c>
      <c r="AF82" s="10">
        <f>+'A) Base RI'!Z82</f>
        <v>960</v>
      </c>
      <c r="AG82" s="10">
        <f>+'A) Base RI'!AA82</f>
        <v>208164</v>
      </c>
      <c r="AH82" s="10">
        <f>+'A) Base RI'!AB82</f>
        <v>0</v>
      </c>
      <c r="AI82" s="10">
        <f>+'A) Base RI'!AC82</f>
        <v>103567.75</v>
      </c>
      <c r="AJ82" s="10">
        <f>+'A) Base RI'!AD82</f>
        <v>0</v>
      </c>
      <c r="AK82" s="10">
        <f>+'A) Base RI'!AE82</f>
        <v>0</v>
      </c>
      <c r="AL82" s="10">
        <f>+'A) Base RI'!AF82</f>
        <v>0</v>
      </c>
      <c r="AM82" s="10">
        <f>+'A) Base RI'!AG82</f>
        <v>0</v>
      </c>
      <c r="AN82" s="10">
        <f>+'A) Base RI'!AH82</f>
        <v>32978.5</v>
      </c>
      <c r="AO82" s="10">
        <f>+'A) Base RI'!AI82</f>
        <v>0</v>
      </c>
      <c r="AP82" s="10">
        <f>+'A) Base RI'!AJ82</f>
        <v>0</v>
      </c>
      <c r="AQ82" s="10">
        <f>+'A) Base RI'!AK82</f>
        <v>0</v>
      </c>
      <c r="AR82" s="10">
        <f>'A) Base RI'!AN82</f>
        <v>1119</v>
      </c>
    </row>
    <row r="83" spans="1:44" x14ac:dyDescent="0.25">
      <c r="A83" s="8">
        <f>'A) Base RI'!A83</f>
        <v>5522</v>
      </c>
      <c r="B83" s="34" t="str">
        <f>'A) Base RI'!B83</f>
        <v>Fey</v>
      </c>
      <c r="C83" s="10">
        <f>'A) Base RI'!C83+'A) Base RI'!D83</f>
        <v>1371384</v>
      </c>
      <c r="D83" s="10">
        <f>'A) Base RI'!AO83</f>
        <v>-13047.43</v>
      </c>
      <c r="E83" s="33">
        <f>'A) Base RI'!AP83</f>
        <v>0</v>
      </c>
      <c r="F83" s="33">
        <f>'A) Base RI'!AQ83</f>
        <v>-2.46</v>
      </c>
      <c r="G83" s="2">
        <f t="shared" si="6"/>
        <v>1358334.11</v>
      </c>
      <c r="H83" s="10">
        <f>+'A) Base RI'!E83</f>
        <v>0</v>
      </c>
      <c r="I83" s="10">
        <f>+'A) Base RI'!F83</f>
        <v>0</v>
      </c>
      <c r="J83" s="10">
        <f>+'A) Base RI'!G83+'A) Base RI'!H83</f>
        <v>51467.65</v>
      </c>
      <c r="K83" s="10">
        <f>+'A) Base RI'!I83</f>
        <v>0</v>
      </c>
      <c r="L83" s="10">
        <f>+'A) Base RI'!J83</f>
        <v>8454.81</v>
      </c>
      <c r="M83" s="10">
        <f>+'A) Base RI'!K83</f>
        <v>1287.9000000000001</v>
      </c>
      <c r="N83" s="10">
        <f>+'A) Base RI'!Q83</f>
        <v>0</v>
      </c>
      <c r="O83" s="10">
        <f t="shared" si="7"/>
        <v>119536.9</v>
      </c>
      <c r="P83" s="10">
        <f>+'A) Base RI'!L83</f>
        <v>119536.9</v>
      </c>
      <c r="Q83" s="36">
        <f>'A) Base RI'!AR83</f>
        <v>1</v>
      </c>
      <c r="R83" s="2">
        <f t="shared" si="8"/>
        <v>1539081.3699999999</v>
      </c>
      <c r="S83" s="35">
        <f>+'A) Base RI'!AM83</f>
        <v>75</v>
      </c>
      <c r="T83" s="2">
        <f t="shared" si="9"/>
        <v>1418256.57</v>
      </c>
      <c r="U83" s="2">
        <f t="shared" si="10"/>
        <v>20521.084933333332</v>
      </c>
      <c r="V83" s="10">
        <f>+'A) Base RI'!O83</f>
        <v>9107.9</v>
      </c>
      <c r="W83" s="10">
        <f>+'A) Base RI'!P83</f>
        <v>33578.65</v>
      </c>
      <c r="X83" s="10">
        <f>+'A) Base RI'!R83</f>
        <v>91475.45</v>
      </c>
      <c r="Y83" s="2">
        <f t="shared" si="11"/>
        <v>134162</v>
      </c>
      <c r="Z83" s="10">
        <f>+'A) Base RI'!N83</f>
        <v>6207.7</v>
      </c>
      <c r="AA83" s="10">
        <f>+'A) Base RI'!S83+'A) Base RI'!T83</f>
        <v>1050</v>
      </c>
      <c r="AB83" s="10">
        <f>+'A) Base RI'!U83</f>
        <v>2662.5</v>
      </c>
      <c r="AC83" s="10">
        <f>+'A) Base RI'!V83</f>
        <v>0</v>
      </c>
      <c r="AD83" s="10">
        <f>+'A) Base RI'!W83</f>
        <v>0</v>
      </c>
      <c r="AE83" s="10">
        <f>+'A) Base RI'!Y83</f>
        <v>14000</v>
      </c>
      <c r="AF83" s="10">
        <f>+'A) Base RI'!Z83</f>
        <v>0</v>
      </c>
      <c r="AG83" s="10">
        <f>+'A) Base RI'!AA83</f>
        <v>69347.8</v>
      </c>
      <c r="AH83" s="10">
        <f>+'A) Base RI'!AB83</f>
        <v>0</v>
      </c>
      <c r="AI83" s="10">
        <f>+'A) Base RI'!AC83</f>
        <v>30910</v>
      </c>
      <c r="AJ83" s="10">
        <f>+'A) Base RI'!AD83</f>
        <v>27202</v>
      </c>
      <c r="AK83" s="10">
        <f>+'A) Base RI'!AE83</f>
        <v>0</v>
      </c>
      <c r="AL83" s="10">
        <f>+'A) Base RI'!AF83</f>
        <v>0</v>
      </c>
      <c r="AM83" s="10">
        <f>+'A) Base RI'!AG83</f>
        <v>0</v>
      </c>
      <c r="AN83" s="10">
        <f>+'A) Base RI'!AH83</f>
        <v>0</v>
      </c>
      <c r="AO83" s="10">
        <f>+'A) Base RI'!AI83</f>
        <v>0</v>
      </c>
      <c r="AP83" s="10">
        <f>+'A) Base RI'!AJ83</f>
        <v>0</v>
      </c>
      <c r="AQ83" s="10">
        <f>+'A) Base RI'!AK83</f>
        <v>0</v>
      </c>
      <c r="AR83" s="10">
        <f>'A) Base RI'!AN83</f>
        <v>703</v>
      </c>
    </row>
    <row r="84" spans="1:44" x14ac:dyDescent="0.25">
      <c r="A84" s="8">
        <f>'A) Base RI'!A84</f>
        <v>5523</v>
      </c>
      <c r="B84" s="34" t="str">
        <f>'A) Base RI'!B84</f>
        <v>Froideville</v>
      </c>
      <c r="C84" s="10">
        <f>'A) Base RI'!C84+'A) Base RI'!D84</f>
        <v>5783403.3899999997</v>
      </c>
      <c r="D84" s="10">
        <f>'A) Base RI'!AO84</f>
        <v>-88741.32</v>
      </c>
      <c r="E84" s="33">
        <f>'A) Base RI'!AP84</f>
        <v>0</v>
      </c>
      <c r="F84" s="33">
        <f>'A) Base RI'!AQ84</f>
        <v>-25.02</v>
      </c>
      <c r="G84" s="2">
        <f t="shared" si="6"/>
        <v>5694637.0499999998</v>
      </c>
      <c r="H84" s="10">
        <f>+'A) Base RI'!E84</f>
        <v>0</v>
      </c>
      <c r="I84" s="10">
        <f>+'A) Base RI'!F84</f>
        <v>13870</v>
      </c>
      <c r="J84" s="10">
        <f>+'A) Base RI'!G84+'A) Base RI'!H84</f>
        <v>34467.699999999997</v>
      </c>
      <c r="K84" s="10">
        <f>+'A) Base RI'!I84</f>
        <v>27098.55</v>
      </c>
      <c r="L84" s="10">
        <f>+'A) Base RI'!J84</f>
        <v>98193.44</v>
      </c>
      <c r="M84" s="10">
        <f>+'A) Base RI'!K84</f>
        <v>17825.5</v>
      </c>
      <c r="N84" s="10">
        <f>+'A) Base RI'!Q84</f>
        <v>14774.32</v>
      </c>
      <c r="O84" s="10">
        <f t="shared" si="7"/>
        <v>472096</v>
      </c>
      <c r="P84" s="10">
        <f>+'A) Base RI'!L84</f>
        <v>590120</v>
      </c>
      <c r="Q84" s="36">
        <f>'A) Base RI'!AR84</f>
        <v>1.25</v>
      </c>
      <c r="R84" s="2">
        <f t="shared" si="8"/>
        <v>6372962.5600000005</v>
      </c>
      <c r="S84" s="35">
        <f>+'A) Base RI'!AM84</f>
        <v>76</v>
      </c>
      <c r="T84" s="2">
        <f t="shared" si="9"/>
        <v>5869171.0600000005</v>
      </c>
      <c r="U84" s="2">
        <f t="shared" si="10"/>
        <v>83854.770526315799</v>
      </c>
      <c r="V84" s="10">
        <f>+'A) Base RI'!O84</f>
        <v>3244.3</v>
      </c>
      <c r="W84" s="10">
        <f>+'A) Base RI'!P84</f>
        <v>187832.35</v>
      </c>
      <c r="X84" s="10">
        <f>+'A) Base RI'!R84</f>
        <v>96751.75</v>
      </c>
      <c r="Y84" s="2">
        <f t="shared" si="11"/>
        <v>287828.40000000002</v>
      </c>
      <c r="Z84" s="10">
        <f>+'A) Base RI'!N84</f>
        <v>1694.9</v>
      </c>
      <c r="AA84" s="10">
        <f>+'A) Base RI'!S84+'A) Base RI'!T84</f>
        <v>3734.1</v>
      </c>
      <c r="AB84" s="10">
        <f>+'A) Base RI'!U84</f>
        <v>13762.5</v>
      </c>
      <c r="AC84" s="10">
        <f>+'A) Base RI'!V84</f>
        <v>0</v>
      </c>
      <c r="AD84" s="10">
        <f>+'A) Base RI'!W84</f>
        <v>0</v>
      </c>
      <c r="AE84" s="10">
        <f>+'A) Base RI'!Y84</f>
        <v>149432.6</v>
      </c>
      <c r="AF84" s="10">
        <f>+'A) Base RI'!Z84</f>
        <v>1548</v>
      </c>
      <c r="AG84" s="10">
        <f>+'A) Base RI'!AA84</f>
        <v>532466.35</v>
      </c>
      <c r="AH84" s="10">
        <f>+'A) Base RI'!AB84</f>
        <v>0</v>
      </c>
      <c r="AI84" s="10">
        <f>+'A) Base RI'!AC84</f>
        <v>149953.70000000001</v>
      </c>
      <c r="AJ84" s="10">
        <f>+'A) Base RI'!AD84</f>
        <v>95721.65</v>
      </c>
      <c r="AK84" s="10">
        <f>+'A) Base RI'!AE84</f>
        <v>2545</v>
      </c>
      <c r="AL84" s="10">
        <f>+'A) Base RI'!AF84</f>
        <v>0</v>
      </c>
      <c r="AM84" s="10">
        <f>+'A) Base RI'!AG84</f>
        <v>0</v>
      </c>
      <c r="AN84" s="10">
        <f>+'A) Base RI'!AH84</f>
        <v>53680.35</v>
      </c>
      <c r="AO84" s="10">
        <f>+'A) Base RI'!AI84</f>
        <v>0</v>
      </c>
      <c r="AP84" s="10">
        <f>+'A) Base RI'!AJ84</f>
        <v>0</v>
      </c>
      <c r="AQ84" s="10">
        <f>+'A) Base RI'!AK84</f>
        <v>0</v>
      </c>
      <c r="AR84" s="10">
        <f>'A) Base RI'!AN84</f>
        <v>2561</v>
      </c>
    </row>
    <row r="85" spans="1:44" x14ac:dyDescent="0.25">
      <c r="A85" s="8">
        <f>'A) Base RI'!A85</f>
        <v>5527</v>
      </c>
      <c r="B85" s="34" t="str">
        <f>'A) Base RI'!B85</f>
        <v>Morrens</v>
      </c>
      <c r="C85" s="10">
        <f>'A) Base RI'!C85+'A) Base RI'!D85</f>
        <v>2545629.6800000002</v>
      </c>
      <c r="D85" s="10">
        <f>'A) Base RI'!AO85</f>
        <v>-17636.34</v>
      </c>
      <c r="E85" s="33">
        <f>'A) Base RI'!AP85</f>
        <v>-4377.1000000000004</v>
      </c>
      <c r="F85" s="33">
        <f>'A) Base RI'!AQ85</f>
        <v>-22.1</v>
      </c>
      <c r="G85" s="2">
        <f t="shared" si="6"/>
        <v>2523594.14</v>
      </c>
      <c r="H85" s="10">
        <f>+'A) Base RI'!E85</f>
        <v>0</v>
      </c>
      <c r="I85" s="10">
        <f>+'A) Base RI'!F85</f>
        <v>0</v>
      </c>
      <c r="J85" s="10">
        <f>+'A) Base RI'!G85+'A) Base RI'!H85</f>
        <v>17620.099999999999</v>
      </c>
      <c r="K85" s="10">
        <f>+'A) Base RI'!I85</f>
        <v>0</v>
      </c>
      <c r="L85" s="10">
        <f>+'A) Base RI'!J85</f>
        <v>61320.45</v>
      </c>
      <c r="M85" s="10">
        <f>+'A) Base RI'!K85</f>
        <v>2321.0500000000002</v>
      </c>
      <c r="N85" s="10">
        <f>+'A) Base RI'!Q85</f>
        <v>2646.04</v>
      </c>
      <c r="O85" s="10">
        <f t="shared" si="7"/>
        <v>214518.65</v>
      </c>
      <c r="P85" s="10">
        <f>+'A) Base RI'!L85</f>
        <v>214518.65</v>
      </c>
      <c r="Q85" s="36">
        <f>'A) Base RI'!AR85</f>
        <v>1</v>
      </c>
      <c r="R85" s="2">
        <f t="shared" si="8"/>
        <v>2822020.43</v>
      </c>
      <c r="S85" s="35">
        <f>+'A) Base RI'!AM85</f>
        <v>71</v>
      </c>
      <c r="T85" s="2">
        <f t="shared" si="9"/>
        <v>2605180.7300000004</v>
      </c>
      <c r="U85" s="2">
        <f t="shared" si="10"/>
        <v>39746.766619718313</v>
      </c>
      <c r="V85" s="10">
        <f>+'A) Base RI'!O85</f>
        <v>0</v>
      </c>
      <c r="W85" s="10">
        <f>+'A) Base RI'!P85</f>
        <v>73497.7</v>
      </c>
      <c r="X85" s="10">
        <f>+'A) Base RI'!R85</f>
        <v>83651</v>
      </c>
      <c r="Y85" s="2">
        <f t="shared" si="11"/>
        <v>157148.70000000001</v>
      </c>
      <c r="Z85" s="10">
        <f>+'A) Base RI'!N85</f>
        <v>10589.6</v>
      </c>
      <c r="AA85" s="10">
        <f>+'A) Base RI'!S85+'A) Base RI'!T85</f>
        <v>1677.55</v>
      </c>
      <c r="AB85" s="10">
        <f>+'A) Base RI'!U85</f>
        <v>10750</v>
      </c>
      <c r="AC85" s="10">
        <f>+'A) Base RI'!V85</f>
        <v>0</v>
      </c>
      <c r="AD85" s="10">
        <f>+'A) Base RI'!W85</f>
        <v>0</v>
      </c>
      <c r="AE85" s="10">
        <f>+'A) Base RI'!Y85</f>
        <v>8216.5</v>
      </c>
      <c r="AF85" s="10">
        <f>+'A) Base RI'!Z85</f>
        <v>0</v>
      </c>
      <c r="AG85" s="10">
        <f>+'A) Base RI'!AA85</f>
        <v>118250.05</v>
      </c>
      <c r="AH85" s="10">
        <f>+'A) Base RI'!AB85</f>
        <v>0</v>
      </c>
      <c r="AI85" s="10">
        <f>+'A) Base RI'!AC85</f>
        <v>82204.350000000006</v>
      </c>
      <c r="AJ85" s="10">
        <f>+'A) Base RI'!AD85</f>
        <v>9232.35</v>
      </c>
      <c r="AK85" s="10">
        <f>+'A) Base RI'!AE85</f>
        <v>0</v>
      </c>
      <c r="AL85" s="10">
        <f>+'A) Base RI'!AF85</f>
        <v>0</v>
      </c>
      <c r="AM85" s="10">
        <f>+'A) Base RI'!AG85</f>
        <v>0</v>
      </c>
      <c r="AN85" s="10">
        <f>+'A) Base RI'!AH85</f>
        <v>29403.8</v>
      </c>
      <c r="AO85" s="10">
        <f>+'A) Base RI'!AI85</f>
        <v>0</v>
      </c>
      <c r="AP85" s="10">
        <f>+'A) Base RI'!AJ85</f>
        <v>0</v>
      </c>
      <c r="AQ85" s="10">
        <f>+'A) Base RI'!AK85</f>
        <v>0</v>
      </c>
      <c r="AR85" s="10">
        <f>'A) Base RI'!AN85</f>
        <v>1092</v>
      </c>
    </row>
    <row r="86" spans="1:44" x14ac:dyDescent="0.25">
      <c r="A86" s="8">
        <f>'A) Base RI'!A86</f>
        <v>5529</v>
      </c>
      <c r="B86" s="34" t="str">
        <f>'A) Base RI'!B86</f>
        <v>Oulens-sous-Echallens</v>
      </c>
      <c r="C86" s="10">
        <f>'A) Base RI'!C86+'A) Base RI'!D86</f>
        <v>1285169.9100000001</v>
      </c>
      <c r="D86" s="10">
        <f>'A) Base RI'!AO86</f>
        <v>-13674.43</v>
      </c>
      <c r="E86" s="33">
        <f>'A) Base RI'!AP86</f>
        <v>0</v>
      </c>
      <c r="F86" s="33">
        <f>'A) Base RI'!AQ86</f>
        <v>-0.17</v>
      </c>
      <c r="G86" s="2">
        <f t="shared" si="6"/>
        <v>1271495.3100000003</v>
      </c>
      <c r="H86" s="10">
        <f>+'A) Base RI'!E86</f>
        <v>0</v>
      </c>
      <c r="I86" s="10">
        <f>+'A) Base RI'!F86</f>
        <v>0</v>
      </c>
      <c r="J86" s="10">
        <f>+'A) Base RI'!G86+'A) Base RI'!H86</f>
        <v>12520.55</v>
      </c>
      <c r="K86" s="10">
        <f>+'A) Base RI'!I86</f>
        <v>0</v>
      </c>
      <c r="L86" s="10">
        <f>+'A) Base RI'!J86</f>
        <v>44743.28</v>
      </c>
      <c r="M86" s="10">
        <f>+'A) Base RI'!K86</f>
        <v>2543.75</v>
      </c>
      <c r="N86" s="10">
        <f>+'A) Base RI'!Q86</f>
        <v>0</v>
      </c>
      <c r="O86" s="10">
        <f t="shared" si="7"/>
        <v>102971.15</v>
      </c>
      <c r="P86" s="10">
        <f>+'A) Base RI'!L86</f>
        <v>102971.15</v>
      </c>
      <c r="Q86" s="36">
        <f>'A) Base RI'!AR86</f>
        <v>1</v>
      </c>
      <c r="R86" s="2">
        <f t="shared" si="8"/>
        <v>1434274.0400000003</v>
      </c>
      <c r="S86" s="35">
        <f>+'A) Base RI'!AM86</f>
        <v>71</v>
      </c>
      <c r="T86" s="2">
        <f t="shared" si="9"/>
        <v>1328759.1400000004</v>
      </c>
      <c r="U86" s="2">
        <f t="shared" si="10"/>
        <v>20201.042816901412</v>
      </c>
      <c r="V86" s="10">
        <f>+'A) Base RI'!O86</f>
        <v>2507.8000000000002</v>
      </c>
      <c r="W86" s="10">
        <f>+'A) Base RI'!P86</f>
        <v>59757.65</v>
      </c>
      <c r="X86" s="10">
        <f>+'A) Base RI'!R86</f>
        <v>43417.25</v>
      </c>
      <c r="Y86" s="2">
        <f t="shared" si="11"/>
        <v>105682.70000000001</v>
      </c>
      <c r="Z86" s="10">
        <f>+'A) Base RI'!N86</f>
        <v>0</v>
      </c>
      <c r="AA86" s="10">
        <f>+'A) Base RI'!S86+'A) Base RI'!T86</f>
        <v>0</v>
      </c>
      <c r="AB86" s="10">
        <f>+'A) Base RI'!U86</f>
        <v>3320</v>
      </c>
      <c r="AC86" s="10">
        <f>+'A) Base RI'!V86</f>
        <v>0</v>
      </c>
      <c r="AD86" s="10">
        <f>+'A) Base RI'!W86</f>
        <v>0</v>
      </c>
      <c r="AE86" s="10">
        <f>+'A) Base RI'!Y86</f>
        <v>43752</v>
      </c>
      <c r="AF86" s="10">
        <f>+'A) Base RI'!Z86</f>
        <v>0</v>
      </c>
      <c r="AG86" s="10">
        <f>+'A) Base RI'!AA86</f>
        <v>24206.6</v>
      </c>
      <c r="AH86" s="10">
        <f>+'A) Base RI'!AB86</f>
        <v>0</v>
      </c>
      <c r="AI86" s="10">
        <f>+'A) Base RI'!AC86</f>
        <v>42249.45</v>
      </c>
      <c r="AJ86" s="10">
        <f>+'A) Base RI'!AD86</f>
        <v>26256</v>
      </c>
      <c r="AK86" s="10">
        <f>+'A) Base RI'!AE86</f>
        <v>0</v>
      </c>
      <c r="AL86" s="10">
        <f>+'A) Base RI'!AF86</f>
        <v>0</v>
      </c>
      <c r="AM86" s="10">
        <f>+'A) Base RI'!AG86</f>
        <v>0</v>
      </c>
      <c r="AN86" s="10">
        <f>+'A) Base RI'!AH86</f>
        <v>0</v>
      </c>
      <c r="AO86" s="10">
        <f>+'A) Base RI'!AI86</f>
        <v>0</v>
      </c>
      <c r="AP86" s="10">
        <f>+'A) Base RI'!AJ86</f>
        <v>0</v>
      </c>
      <c r="AQ86" s="10">
        <f>+'A) Base RI'!AK86</f>
        <v>0</v>
      </c>
      <c r="AR86" s="10">
        <f>'A) Base RI'!AN86</f>
        <v>577</v>
      </c>
    </row>
    <row r="87" spans="1:44" x14ac:dyDescent="0.25">
      <c r="A87" s="8">
        <f>'A) Base RI'!A87</f>
        <v>5530</v>
      </c>
      <c r="B87" s="34" t="str">
        <f>'A) Base RI'!B87</f>
        <v>Pailly</v>
      </c>
      <c r="C87" s="10">
        <f>'A) Base RI'!C87+'A) Base RI'!D87</f>
        <v>1100372.8</v>
      </c>
      <c r="D87" s="10">
        <f>'A) Base RI'!AO87</f>
        <v>-2379.5700000000002</v>
      </c>
      <c r="E87" s="33">
        <f>'A) Base RI'!AP87</f>
        <v>-2402.85</v>
      </c>
      <c r="F87" s="33">
        <f>'A) Base RI'!AQ87</f>
        <v>0</v>
      </c>
      <c r="G87" s="2">
        <f t="shared" si="6"/>
        <v>1095590.3799999999</v>
      </c>
      <c r="H87" s="10">
        <f>+'A) Base RI'!E87</f>
        <v>0</v>
      </c>
      <c r="I87" s="10">
        <f>+'A) Base RI'!F87</f>
        <v>0</v>
      </c>
      <c r="J87" s="10">
        <f>+'A) Base RI'!G87+'A) Base RI'!H87</f>
        <v>132091.70000000001</v>
      </c>
      <c r="K87" s="10">
        <f>+'A) Base RI'!I87</f>
        <v>0</v>
      </c>
      <c r="L87" s="10">
        <f>+'A) Base RI'!J87</f>
        <v>16837.580000000002</v>
      </c>
      <c r="M87" s="10">
        <f>+'A) Base RI'!K87</f>
        <v>37.5</v>
      </c>
      <c r="N87" s="10">
        <f>+'A) Base RI'!Q87</f>
        <v>0</v>
      </c>
      <c r="O87" s="10">
        <f t="shared" si="7"/>
        <v>77331.074999999997</v>
      </c>
      <c r="P87" s="10">
        <f>+'A) Base RI'!L87</f>
        <v>92797.29</v>
      </c>
      <c r="Q87" s="36">
        <f>'A) Base RI'!AR87</f>
        <v>1.2</v>
      </c>
      <c r="R87" s="2">
        <f t="shared" si="8"/>
        <v>1321888.2349999999</v>
      </c>
      <c r="S87" s="35">
        <f>+'A) Base RI'!AM87</f>
        <v>77.5</v>
      </c>
      <c r="T87" s="2">
        <f t="shared" si="9"/>
        <v>1244519.6599999999</v>
      </c>
      <c r="U87" s="2">
        <f t="shared" si="10"/>
        <v>17056.622387096773</v>
      </c>
      <c r="V87" s="10">
        <f>+'A) Base RI'!O87</f>
        <v>48871.4</v>
      </c>
      <c r="W87" s="10">
        <f>+'A) Base RI'!P87</f>
        <v>32528.1</v>
      </c>
      <c r="X87" s="10">
        <f>+'A) Base RI'!R87</f>
        <v>19063.75</v>
      </c>
      <c r="Y87" s="2">
        <f t="shared" si="11"/>
        <v>100463.25</v>
      </c>
      <c r="Z87" s="10">
        <f>+'A) Base RI'!N87</f>
        <v>2846.5</v>
      </c>
      <c r="AA87" s="10">
        <f>+'A) Base RI'!S87+'A) Base RI'!T87</f>
        <v>0</v>
      </c>
      <c r="AB87" s="10">
        <f>+'A) Base RI'!U87</f>
        <v>2490</v>
      </c>
      <c r="AC87" s="10">
        <f>+'A) Base RI'!V87</f>
        <v>0</v>
      </c>
      <c r="AD87" s="10">
        <f>+'A) Base RI'!W87</f>
        <v>0</v>
      </c>
      <c r="AE87" s="10">
        <f>+'A) Base RI'!Y87</f>
        <v>13898.25</v>
      </c>
      <c r="AF87" s="10">
        <f>+'A) Base RI'!Z87</f>
        <v>0</v>
      </c>
      <c r="AG87" s="10">
        <f>+'A) Base RI'!AA87</f>
        <v>150605.25</v>
      </c>
      <c r="AH87" s="10">
        <f>+'A) Base RI'!AB87</f>
        <v>0</v>
      </c>
      <c r="AI87" s="10">
        <f>+'A) Base RI'!AC87</f>
        <v>41991.45</v>
      </c>
      <c r="AJ87" s="10">
        <f>+'A) Base RI'!AD87</f>
        <v>7157.7</v>
      </c>
      <c r="AK87" s="10">
        <f>+'A) Base RI'!AE87</f>
        <v>0</v>
      </c>
      <c r="AL87" s="10">
        <f>+'A) Base RI'!AF87</f>
        <v>0</v>
      </c>
      <c r="AM87" s="10">
        <f>+'A) Base RI'!AG87</f>
        <v>0</v>
      </c>
      <c r="AN87" s="10">
        <f>+'A) Base RI'!AH87</f>
        <v>0</v>
      </c>
      <c r="AO87" s="10">
        <f>+'A) Base RI'!AI87</f>
        <v>0</v>
      </c>
      <c r="AP87" s="10">
        <f>+'A) Base RI'!AJ87</f>
        <v>0</v>
      </c>
      <c r="AQ87" s="10">
        <f>+'A) Base RI'!AK87</f>
        <v>0</v>
      </c>
      <c r="AR87" s="10">
        <f>'A) Base RI'!AN87</f>
        <v>543</v>
      </c>
    </row>
    <row r="88" spans="1:44" x14ac:dyDescent="0.25">
      <c r="A88" s="8">
        <f>'A) Base RI'!A88</f>
        <v>5531</v>
      </c>
      <c r="B88" s="34" t="str">
        <f>'A) Base RI'!B88</f>
        <v>Penthéréaz</v>
      </c>
      <c r="C88" s="10">
        <f>'A) Base RI'!C88+'A) Base RI'!D88</f>
        <v>938148.87000000011</v>
      </c>
      <c r="D88" s="10">
        <f>'A) Base RI'!AO88</f>
        <v>-109.27</v>
      </c>
      <c r="E88" s="33">
        <f>'A) Base RI'!AP88</f>
        <v>0</v>
      </c>
      <c r="F88" s="33">
        <f>'A) Base RI'!AQ88</f>
        <v>-54.63</v>
      </c>
      <c r="G88" s="2">
        <f t="shared" si="6"/>
        <v>937984.97000000009</v>
      </c>
      <c r="H88" s="10">
        <f>+'A) Base RI'!E88</f>
        <v>0</v>
      </c>
      <c r="I88" s="10">
        <f>+'A) Base RI'!F88</f>
        <v>0</v>
      </c>
      <c r="J88" s="10">
        <f>+'A) Base RI'!G88+'A) Base RI'!H88</f>
        <v>5931.4500000000007</v>
      </c>
      <c r="K88" s="10">
        <f>+'A) Base RI'!I88</f>
        <v>0</v>
      </c>
      <c r="L88" s="10">
        <f>+'A) Base RI'!J88</f>
        <v>8482.7800000000007</v>
      </c>
      <c r="M88" s="10">
        <f>+'A) Base RI'!K88</f>
        <v>854</v>
      </c>
      <c r="N88" s="10">
        <f>+'A) Base RI'!Q88</f>
        <v>0</v>
      </c>
      <c r="O88" s="10">
        <f t="shared" si="7"/>
        <v>71258.850000000006</v>
      </c>
      <c r="P88" s="10">
        <f>+'A) Base RI'!L88</f>
        <v>71258.850000000006</v>
      </c>
      <c r="Q88" s="36">
        <f>'A) Base RI'!AR88</f>
        <v>1</v>
      </c>
      <c r="R88" s="2">
        <f t="shared" si="8"/>
        <v>1024512.05</v>
      </c>
      <c r="S88" s="35">
        <f>+'A) Base RI'!AM88</f>
        <v>78</v>
      </c>
      <c r="T88" s="2">
        <f t="shared" si="9"/>
        <v>952399.20000000007</v>
      </c>
      <c r="U88" s="2">
        <f t="shared" si="10"/>
        <v>13134.769871794872</v>
      </c>
      <c r="V88" s="10">
        <f>+'A) Base RI'!O88</f>
        <v>0</v>
      </c>
      <c r="W88" s="10">
        <f>+'A) Base RI'!P88</f>
        <v>25232.7</v>
      </c>
      <c r="X88" s="10">
        <f>+'A) Base RI'!R88</f>
        <v>23416.7</v>
      </c>
      <c r="Y88" s="2">
        <f t="shared" si="11"/>
        <v>48649.4</v>
      </c>
      <c r="Z88" s="10">
        <f>+'A) Base RI'!N88</f>
        <v>14930.3</v>
      </c>
      <c r="AA88" s="10">
        <f>+'A) Base RI'!S88+'A) Base RI'!T88</f>
        <v>0</v>
      </c>
      <c r="AB88" s="10">
        <f>+'A) Base RI'!U88</f>
        <v>4050</v>
      </c>
      <c r="AC88" s="10">
        <f>+'A) Base RI'!V88</f>
        <v>0</v>
      </c>
      <c r="AD88" s="10">
        <f>+'A) Base RI'!W88</f>
        <v>0</v>
      </c>
      <c r="AE88" s="10">
        <f>+'A) Base RI'!Y88</f>
        <v>61600</v>
      </c>
      <c r="AF88" s="10">
        <f>+'A) Base RI'!Z88</f>
        <v>0</v>
      </c>
      <c r="AG88" s="10">
        <f>+'A) Base RI'!AA88</f>
        <v>89772.5</v>
      </c>
      <c r="AH88" s="10">
        <f>+'A) Base RI'!AB88</f>
        <v>0</v>
      </c>
      <c r="AI88" s="10">
        <f>+'A) Base RI'!AC88</f>
        <v>29337.5</v>
      </c>
      <c r="AJ88" s="10">
        <f>+'A) Base RI'!AD88</f>
        <v>12884.75</v>
      </c>
      <c r="AK88" s="10">
        <f>+'A) Base RI'!AE88</f>
        <v>0</v>
      </c>
      <c r="AL88" s="10">
        <f>+'A) Base RI'!AF88</f>
        <v>0</v>
      </c>
      <c r="AM88" s="10">
        <f>+'A) Base RI'!AG88</f>
        <v>0</v>
      </c>
      <c r="AN88" s="10">
        <f>+'A) Base RI'!AH88</f>
        <v>0</v>
      </c>
      <c r="AO88" s="10">
        <f>+'A) Base RI'!AI88</f>
        <v>0</v>
      </c>
      <c r="AP88" s="10">
        <f>+'A) Base RI'!AJ88</f>
        <v>0</v>
      </c>
      <c r="AQ88" s="10">
        <f>+'A) Base RI'!AK88</f>
        <v>0</v>
      </c>
      <c r="AR88" s="10">
        <f>'A) Base RI'!AN88</f>
        <v>418</v>
      </c>
    </row>
    <row r="89" spans="1:44" x14ac:dyDescent="0.25">
      <c r="A89" s="8">
        <f>'A) Base RI'!A89</f>
        <v>5533</v>
      </c>
      <c r="B89" s="34" t="str">
        <f>'A) Base RI'!B89</f>
        <v>Poliez-Pittet</v>
      </c>
      <c r="C89" s="10">
        <f>'A) Base RI'!C89+'A) Base RI'!D89</f>
        <v>1685474.63</v>
      </c>
      <c r="D89" s="10">
        <f>'A) Base RI'!AO89</f>
        <v>-10746.98</v>
      </c>
      <c r="E89" s="33">
        <f>'A) Base RI'!AP89</f>
        <v>0</v>
      </c>
      <c r="F89" s="33">
        <f>'A) Base RI'!AQ89</f>
        <v>-15.75</v>
      </c>
      <c r="G89" s="2">
        <f t="shared" si="6"/>
        <v>1674711.9</v>
      </c>
      <c r="H89" s="10">
        <f>+'A) Base RI'!E89</f>
        <v>0</v>
      </c>
      <c r="I89" s="10">
        <f>+'A) Base RI'!F89</f>
        <v>0</v>
      </c>
      <c r="J89" s="10">
        <f>+'A) Base RI'!G89+'A) Base RI'!H89</f>
        <v>112504</v>
      </c>
      <c r="K89" s="10">
        <f>+'A) Base RI'!I89</f>
        <v>0</v>
      </c>
      <c r="L89" s="10">
        <f>+'A) Base RI'!J89</f>
        <v>60560.08</v>
      </c>
      <c r="M89" s="10">
        <f>+'A) Base RI'!K89</f>
        <v>8480</v>
      </c>
      <c r="N89" s="10">
        <f>+'A) Base RI'!Q89</f>
        <v>0</v>
      </c>
      <c r="O89" s="10">
        <f t="shared" si="7"/>
        <v>134789.75000000003</v>
      </c>
      <c r="P89" s="10">
        <f>+'A) Base RI'!L89</f>
        <v>80873.850000000006</v>
      </c>
      <c r="Q89" s="36">
        <f>'A) Base RI'!AR89</f>
        <v>0.6</v>
      </c>
      <c r="R89" s="2">
        <f t="shared" si="8"/>
        <v>1991045.73</v>
      </c>
      <c r="S89" s="35">
        <f>+'A) Base RI'!AM89</f>
        <v>71</v>
      </c>
      <c r="T89" s="2">
        <f t="shared" si="9"/>
        <v>1847775.98</v>
      </c>
      <c r="U89" s="2">
        <f t="shared" si="10"/>
        <v>28042.897605633803</v>
      </c>
      <c r="V89" s="10">
        <f>+'A) Base RI'!O89</f>
        <v>0</v>
      </c>
      <c r="W89" s="10">
        <f>+'A) Base RI'!P89</f>
        <v>19047.849999999999</v>
      </c>
      <c r="X89" s="10">
        <f>+'A) Base RI'!R89</f>
        <v>16820.95</v>
      </c>
      <c r="Y89" s="2">
        <f t="shared" si="11"/>
        <v>35868.800000000003</v>
      </c>
      <c r="Z89" s="10">
        <f>+'A) Base RI'!N89</f>
        <v>2712.4</v>
      </c>
      <c r="AA89" s="10">
        <f>+'A) Base RI'!S89+'A) Base RI'!T89</f>
        <v>1354</v>
      </c>
      <c r="AB89" s="10">
        <f>+'A) Base RI'!U89</f>
        <v>6850</v>
      </c>
      <c r="AC89" s="10">
        <f>+'A) Base RI'!V89</f>
        <v>0</v>
      </c>
      <c r="AD89" s="10">
        <f>+'A) Base RI'!W89</f>
        <v>0</v>
      </c>
      <c r="AE89" s="10">
        <f>+'A) Base RI'!Y89</f>
        <v>39154.65</v>
      </c>
      <c r="AF89" s="10">
        <f>+'A) Base RI'!Z89</f>
        <v>0</v>
      </c>
      <c r="AG89" s="10">
        <f>+'A) Base RI'!AA89</f>
        <v>100557</v>
      </c>
      <c r="AH89" s="10">
        <f>+'A) Base RI'!AB89</f>
        <v>0</v>
      </c>
      <c r="AI89" s="10">
        <f>+'A) Base RI'!AC89</f>
        <v>39738</v>
      </c>
      <c r="AJ89" s="10">
        <f>+'A) Base RI'!AD89</f>
        <v>41074.400000000001</v>
      </c>
      <c r="AK89" s="10">
        <f>+'A) Base RI'!AE89</f>
        <v>0</v>
      </c>
      <c r="AL89" s="10">
        <f>+'A) Base RI'!AF89</f>
        <v>0</v>
      </c>
      <c r="AM89" s="10">
        <f>+'A) Base RI'!AG89</f>
        <v>0</v>
      </c>
      <c r="AN89" s="10">
        <f>+'A) Base RI'!AH89</f>
        <v>0</v>
      </c>
      <c r="AO89" s="10">
        <f>+'A) Base RI'!AI89</f>
        <v>0</v>
      </c>
      <c r="AP89" s="10">
        <f>+'A) Base RI'!AJ89</f>
        <v>0</v>
      </c>
      <c r="AQ89" s="10">
        <f>+'A) Base RI'!AK89</f>
        <v>0</v>
      </c>
      <c r="AR89" s="10">
        <f>'A) Base RI'!AN89</f>
        <v>849</v>
      </c>
    </row>
    <row r="90" spans="1:44" x14ac:dyDescent="0.25">
      <c r="A90" s="8">
        <f>'A) Base RI'!A90</f>
        <v>5534</v>
      </c>
      <c r="B90" s="34" t="str">
        <f>'A) Base RI'!B90</f>
        <v>Rueyres</v>
      </c>
      <c r="C90" s="10">
        <f>'A) Base RI'!C90+'A) Base RI'!D90</f>
        <v>523340.80000000005</v>
      </c>
      <c r="D90" s="10">
        <f>'A) Base RI'!AO90</f>
        <v>-3260.55</v>
      </c>
      <c r="E90" s="33">
        <f>'A) Base RI'!AP90</f>
        <v>0</v>
      </c>
      <c r="F90" s="33">
        <f>'A) Base RI'!AQ90</f>
        <v>0</v>
      </c>
      <c r="G90" s="2">
        <f t="shared" si="6"/>
        <v>520080.25000000006</v>
      </c>
      <c r="H90" s="10">
        <f>+'A) Base RI'!E90</f>
        <v>0</v>
      </c>
      <c r="I90" s="10">
        <f>+'A) Base RI'!F90</f>
        <v>0</v>
      </c>
      <c r="J90" s="10">
        <f>+'A) Base RI'!G90+'A) Base RI'!H90</f>
        <v>98779.3</v>
      </c>
      <c r="K90" s="10">
        <f>+'A) Base RI'!I90</f>
        <v>0</v>
      </c>
      <c r="L90" s="10">
        <f>+'A) Base RI'!J90</f>
        <v>18340.5</v>
      </c>
      <c r="M90" s="10">
        <f>+'A) Base RI'!K90</f>
        <v>1598.75</v>
      </c>
      <c r="N90" s="10">
        <f>+'A) Base RI'!Q90</f>
        <v>0</v>
      </c>
      <c r="O90" s="10">
        <f t="shared" si="7"/>
        <v>70912</v>
      </c>
      <c r="P90" s="10">
        <f>+'A) Base RI'!L90</f>
        <v>70912</v>
      </c>
      <c r="Q90" s="36">
        <f>'A) Base RI'!AR90</f>
        <v>1</v>
      </c>
      <c r="R90" s="2">
        <f t="shared" si="8"/>
        <v>709710.8</v>
      </c>
      <c r="S90" s="35">
        <f>+'A) Base RI'!AM90</f>
        <v>73</v>
      </c>
      <c r="T90" s="2">
        <f t="shared" si="9"/>
        <v>637200.05000000005</v>
      </c>
      <c r="U90" s="2">
        <f t="shared" si="10"/>
        <v>9722.0657534246584</v>
      </c>
      <c r="V90" s="10">
        <f>+'A) Base RI'!O90</f>
        <v>0</v>
      </c>
      <c r="W90" s="10">
        <f>+'A) Base RI'!P90</f>
        <v>7428.3</v>
      </c>
      <c r="X90" s="10">
        <f>+'A) Base RI'!R90</f>
        <v>0</v>
      </c>
      <c r="Y90" s="2">
        <f t="shared" si="11"/>
        <v>7428.3</v>
      </c>
      <c r="Z90" s="10">
        <f>+'A) Base RI'!N90</f>
        <v>26152.25</v>
      </c>
      <c r="AA90" s="10">
        <f>+'A) Base RI'!S90+'A) Base RI'!T90</f>
        <v>574</v>
      </c>
      <c r="AB90" s="10">
        <f>+'A) Base RI'!U90</f>
        <v>800</v>
      </c>
      <c r="AC90" s="10">
        <f>+'A) Base RI'!V90</f>
        <v>0</v>
      </c>
      <c r="AD90" s="10">
        <f>+'A) Base RI'!W90</f>
        <v>0</v>
      </c>
      <c r="AE90" s="10">
        <f>+'A) Base RI'!Y90</f>
        <v>0</v>
      </c>
      <c r="AF90" s="10">
        <f>+'A) Base RI'!Z90</f>
        <v>0</v>
      </c>
      <c r="AG90" s="10">
        <f>+'A) Base RI'!AA90</f>
        <v>13041.5</v>
      </c>
      <c r="AH90" s="10">
        <f>+'A) Base RI'!AB90</f>
        <v>0</v>
      </c>
      <c r="AI90" s="10">
        <f>+'A) Base RI'!AC90</f>
        <v>12335</v>
      </c>
      <c r="AJ90" s="10">
        <f>+'A) Base RI'!AD90</f>
        <v>0</v>
      </c>
      <c r="AK90" s="10">
        <f>+'A) Base RI'!AE90</f>
        <v>0</v>
      </c>
      <c r="AL90" s="10">
        <f>+'A) Base RI'!AF90</f>
        <v>0</v>
      </c>
      <c r="AM90" s="10">
        <f>+'A) Base RI'!AG90</f>
        <v>0</v>
      </c>
      <c r="AN90" s="10">
        <f>+'A) Base RI'!AH90</f>
        <v>0</v>
      </c>
      <c r="AO90" s="10">
        <f>+'A) Base RI'!AI90</f>
        <v>0</v>
      </c>
      <c r="AP90" s="10">
        <f>+'A) Base RI'!AJ90</f>
        <v>44719.7</v>
      </c>
      <c r="AQ90" s="10">
        <f>+'A) Base RI'!AK90</f>
        <v>0</v>
      </c>
      <c r="AR90" s="10">
        <f>'A) Base RI'!AN90</f>
        <v>257</v>
      </c>
    </row>
    <row r="91" spans="1:44" x14ac:dyDescent="0.25">
      <c r="A91" s="8">
        <f>'A) Base RI'!A91</f>
        <v>5535</v>
      </c>
      <c r="B91" s="34" t="str">
        <f>'A) Base RI'!B91</f>
        <v>Saint-Barthélemy</v>
      </c>
      <c r="C91" s="10">
        <f>'A) Base RI'!C91+'A) Base RI'!D91</f>
        <v>1634334.17</v>
      </c>
      <c r="D91" s="10">
        <f>'A) Base RI'!AO91</f>
        <v>-13799.23</v>
      </c>
      <c r="E91" s="33">
        <f>'A) Base RI'!AP91</f>
        <v>0</v>
      </c>
      <c r="F91" s="33">
        <f>'A) Base RI'!AQ91</f>
        <v>-2.39</v>
      </c>
      <c r="G91" s="2">
        <f t="shared" si="6"/>
        <v>1620532.55</v>
      </c>
      <c r="H91" s="10">
        <f>+'A) Base RI'!E91</f>
        <v>0</v>
      </c>
      <c r="I91" s="10">
        <f>+'A) Base RI'!F91</f>
        <v>0</v>
      </c>
      <c r="J91" s="10">
        <f>+'A) Base RI'!G91+'A) Base RI'!H91</f>
        <v>26531.7</v>
      </c>
      <c r="K91" s="10">
        <f>+'A) Base RI'!I91</f>
        <v>0</v>
      </c>
      <c r="L91" s="10">
        <f>+'A) Base RI'!J91</f>
        <v>6673.58</v>
      </c>
      <c r="M91" s="10">
        <f>+'A) Base RI'!K91</f>
        <v>2254.3000000000002</v>
      </c>
      <c r="N91" s="10">
        <f>+'A) Base RI'!Q91</f>
        <v>2086.3000000000002</v>
      </c>
      <c r="O91" s="10">
        <f t="shared" si="7"/>
        <v>137110.29999999999</v>
      </c>
      <c r="P91" s="10">
        <f>+'A) Base RI'!L91</f>
        <v>137110.29999999999</v>
      </c>
      <c r="Q91" s="36">
        <f>'A) Base RI'!AR91</f>
        <v>1</v>
      </c>
      <c r="R91" s="2">
        <f t="shared" si="8"/>
        <v>1795188.7300000002</v>
      </c>
      <c r="S91" s="35">
        <f>+'A) Base RI'!AM91</f>
        <v>77</v>
      </c>
      <c r="T91" s="2">
        <f t="shared" si="9"/>
        <v>1655824.1300000001</v>
      </c>
      <c r="U91" s="2">
        <f t="shared" si="10"/>
        <v>23314.139350649355</v>
      </c>
      <c r="V91" s="10">
        <f>+'A) Base RI'!O91</f>
        <v>0</v>
      </c>
      <c r="W91" s="10">
        <f>+'A) Base RI'!P91</f>
        <v>14032.6</v>
      </c>
      <c r="X91" s="10">
        <f>+'A) Base RI'!R91</f>
        <v>18069.7</v>
      </c>
      <c r="Y91" s="2">
        <f t="shared" si="11"/>
        <v>32102.300000000003</v>
      </c>
      <c r="Z91" s="10">
        <f>+'A) Base RI'!N91</f>
        <v>34037.4</v>
      </c>
      <c r="AA91" s="10">
        <f>+'A) Base RI'!S91+'A) Base RI'!T91</f>
        <v>645</v>
      </c>
      <c r="AB91" s="10">
        <f>+'A) Base RI'!U91</f>
        <v>7275</v>
      </c>
      <c r="AC91" s="10">
        <f>+'A) Base RI'!V91</f>
        <v>0</v>
      </c>
      <c r="AD91" s="10">
        <f>+'A) Base RI'!W91</f>
        <v>0</v>
      </c>
      <c r="AE91" s="10">
        <f>+'A) Base RI'!Y91</f>
        <v>10500</v>
      </c>
      <c r="AF91" s="10">
        <f>+'A) Base RI'!Z91</f>
        <v>0</v>
      </c>
      <c r="AG91" s="10">
        <f>+'A) Base RI'!AA91</f>
        <v>125913</v>
      </c>
      <c r="AH91" s="10">
        <f>+'A) Base RI'!AB91</f>
        <v>0</v>
      </c>
      <c r="AI91" s="10">
        <f>+'A) Base RI'!AC91</f>
        <v>57632</v>
      </c>
      <c r="AJ91" s="10">
        <f>+'A) Base RI'!AD91</f>
        <v>16900</v>
      </c>
      <c r="AK91" s="10">
        <f>+'A) Base RI'!AE91</f>
        <v>0</v>
      </c>
      <c r="AL91" s="10">
        <f>+'A) Base RI'!AF91</f>
        <v>0</v>
      </c>
      <c r="AM91" s="10">
        <f>+'A) Base RI'!AG91</f>
        <v>0</v>
      </c>
      <c r="AN91" s="10">
        <f>+'A) Base RI'!AH91</f>
        <v>0</v>
      </c>
      <c r="AO91" s="10">
        <f>+'A) Base RI'!AI91</f>
        <v>0</v>
      </c>
      <c r="AP91" s="10">
        <f>+'A) Base RI'!AJ91</f>
        <v>0</v>
      </c>
      <c r="AQ91" s="10">
        <f>+'A) Base RI'!AK91</f>
        <v>0</v>
      </c>
      <c r="AR91" s="10">
        <f>'A) Base RI'!AN91</f>
        <v>769</v>
      </c>
    </row>
    <row r="92" spans="1:44" x14ac:dyDescent="0.25">
      <c r="A92" s="8">
        <f>'A) Base RI'!A92</f>
        <v>5537</v>
      </c>
      <c r="B92" s="34" t="str">
        <f>'A) Base RI'!B92</f>
        <v>Villars-le-Terroir</v>
      </c>
      <c r="C92" s="10">
        <f>'A) Base RI'!C92+'A) Base RI'!D92</f>
        <v>2215346.63</v>
      </c>
      <c r="D92" s="10">
        <f>'A) Base RI'!AO92</f>
        <v>-30080.9</v>
      </c>
      <c r="E92" s="33">
        <f>'A) Base RI'!AP92</f>
        <v>0</v>
      </c>
      <c r="F92" s="33">
        <f>'A) Base RI'!AQ92</f>
        <v>0</v>
      </c>
      <c r="G92" s="2">
        <f t="shared" si="6"/>
        <v>2185265.73</v>
      </c>
      <c r="H92" s="10">
        <f>+'A) Base RI'!E92</f>
        <v>0</v>
      </c>
      <c r="I92" s="10">
        <f>+'A) Base RI'!F92</f>
        <v>6069.55</v>
      </c>
      <c r="J92" s="10">
        <f>+'A) Base RI'!G92+'A) Base RI'!H92</f>
        <v>44890.400000000001</v>
      </c>
      <c r="K92" s="10">
        <f>+'A) Base RI'!I92</f>
        <v>0</v>
      </c>
      <c r="L92" s="10">
        <f>+'A) Base RI'!J92</f>
        <v>38117.97</v>
      </c>
      <c r="M92" s="10">
        <f>+'A) Base RI'!K92</f>
        <v>1103.75</v>
      </c>
      <c r="N92" s="10">
        <f>+'A) Base RI'!Q92</f>
        <v>-7364.15</v>
      </c>
      <c r="O92" s="10">
        <f t="shared" si="7"/>
        <v>197770</v>
      </c>
      <c r="P92" s="10">
        <f>+'A) Base RI'!L92</f>
        <v>158216</v>
      </c>
      <c r="Q92" s="36">
        <f>'A) Base RI'!AR92</f>
        <v>0.8</v>
      </c>
      <c r="R92" s="2">
        <f t="shared" si="8"/>
        <v>2465853.25</v>
      </c>
      <c r="S92" s="35">
        <f>+'A) Base RI'!AM92</f>
        <v>73</v>
      </c>
      <c r="T92" s="2">
        <f t="shared" si="9"/>
        <v>2260909.9500000002</v>
      </c>
      <c r="U92" s="2">
        <f t="shared" si="10"/>
        <v>33778.811643835616</v>
      </c>
      <c r="V92" s="10">
        <f>+'A) Base RI'!O92</f>
        <v>2120.5</v>
      </c>
      <c r="W92" s="10">
        <f>+'A) Base RI'!P92</f>
        <v>91281.600000000006</v>
      </c>
      <c r="X92" s="10">
        <f>+'A) Base RI'!R92</f>
        <v>51227.6</v>
      </c>
      <c r="Y92" s="2">
        <f t="shared" si="11"/>
        <v>144629.70000000001</v>
      </c>
      <c r="Z92" s="10">
        <f>+'A) Base RI'!N92</f>
        <v>954.05</v>
      </c>
      <c r="AA92" s="10">
        <f>+'A) Base RI'!S92+'A) Base RI'!T92</f>
        <v>75</v>
      </c>
      <c r="AB92" s="10">
        <f>+'A) Base RI'!U92</f>
        <v>7085</v>
      </c>
      <c r="AC92" s="10">
        <f>+'A) Base RI'!V92</f>
        <v>675</v>
      </c>
      <c r="AD92" s="10">
        <f>+'A) Base RI'!W92</f>
        <v>0</v>
      </c>
      <c r="AE92" s="10">
        <f>+'A) Base RI'!Y92</f>
        <v>43516.6</v>
      </c>
      <c r="AF92" s="10">
        <f>+'A) Base RI'!Z92</f>
        <v>0</v>
      </c>
      <c r="AG92" s="10">
        <f>+'A) Base RI'!AA92</f>
        <v>213876.12</v>
      </c>
      <c r="AH92" s="10">
        <f>+'A) Base RI'!AB92</f>
        <v>0</v>
      </c>
      <c r="AI92" s="10">
        <f>+'A) Base RI'!AC92</f>
        <v>117056.46</v>
      </c>
      <c r="AJ92" s="10">
        <f>+'A) Base RI'!AD92</f>
        <v>43377.7</v>
      </c>
      <c r="AK92" s="10">
        <f>+'A) Base RI'!AE92</f>
        <v>0</v>
      </c>
      <c r="AL92" s="10">
        <f>+'A) Base RI'!AF92</f>
        <v>0</v>
      </c>
      <c r="AM92" s="10">
        <f>+'A) Base RI'!AG92</f>
        <v>0</v>
      </c>
      <c r="AN92" s="10">
        <f>+'A) Base RI'!AH92</f>
        <v>0</v>
      </c>
      <c r="AO92" s="10">
        <f>+'A) Base RI'!AI92</f>
        <v>0</v>
      </c>
      <c r="AP92" s="10">
        <f>+'A) Base RI'!AJ92</f>
        <v>0</v>
      </c>
      <c r="AQ92" s="10">
        <f>+'A) Base RI'!AK92</f>
        <v>0</v>
      </c>
      <c r="AR92" s="10">
        <f>'A) Base RI'!AN92</f>
        <v>1150</v>
      </c>
    </row>
    <row r="93" spans="1:44" x14ac:dyDescent="0.25">
      <c r="A93" s="8">
        <f>'A) Base RI'!A93</f>
        <v>5539</v>
      </c>
      <c r="B93" s="34" t="str">
        <f>'A) Base RI'!B93</f>
        <v>Vuarrens</v>
      </c>
      <c r="C93" s="10">
        <f>'A) Base RI'!C93+'A) Base RI'!D93</f>
        <v>1816647.9700000002</v>
      </c>
      <c r="D93" s="10">
        <f>'A) Base RI'!AO93</f>
        <v>-21512.86</v>
      </c>
      <c r="E93" s="33">
        <f>'A) Base RI'!AP93</f>
        <v>0</v>
      </c>
      <c r="F93" s="33">
        <f>'A) Base RI'!AQ93</f>
        <v>-40.229999999999997</v>
      </c>
      <c r="G93" s="2">
        <f t="shared" si="6"/>
        <v>1795094.8800000001</v>
      </c>
      <c r="H93" s="10">
        <f>+'A) Base RI'!E93</f>
        <v>0</v>
      </c>
      <c r="I93" s="10">
        <f>+'A) Base RI'!F93</f>
        <v>0</v>
      </c>
      <c r="J93" s="10">
        <f>+'A) Base RI'!G93+'A) Base RI'!H93</f>
        <v>10257.6</v>
      </c>
      <c r="K93" s="10">
        <f>+'A) Base RI'!I93</f>
        <v>0</v>
      </c>
      <c r="L93" s="10">
        <f>+'A) Base RI'!J93</f>
        <v>9088.7000000000007</v>
      </c>
      <c r="M93" s="10">
        <f>+'A) Base RI'!K93</f>
        <v>3239.7</v>
      </c>
      <c r="N93" s="10">
        <f>+'A) Base RI'!Q93</f>
        <v>34053.21</v>
      </c>
      <c r="O93" s="10">
        <f t="shared" si="7"/>
        <v>170415.4375</v>
      </c>
      <c r="P93" s="10">
        <f>+'A) Base RI'!L93</f>
        <v>136332.35</v>
      </c>
      <c r="Q93" s="36">
        <f>'A) Base RI'!AR93</f>
        <v>0.8</v>
      </c>
      <c r="R93" s="2">
        <f t="shared" si="8"/>
        <v>2022149.5275000001</v>
      </c>
      <c r="S93" s="35">
        <f>+'A) Base RI'!AM93</f>
        <v>75</v>
      </c>
      <c r="T93" s="2">
        <f t="shared" si="9"/>
        <v>1848494.3900000001</v>
      </c>
      <c r="U93" s="2">
        <f t="shared" si="10"/>
        <v>26961.993700000003</v>
      </c>
      <c r="V93" s="10">
        <f>+'A) Base RI'!O93</f>
        <v>11461.3</v>
      </c>
      <c r="W93" s="10">
        <f>+'A) Base RI'!P93</f>
        <v>44306.15</v>
      </c>
      <c r="X93" s="10">
        <f>+'A) Base RI'!R93</f>
        <v>18892.55</v>
      </c>
      <c r="Y93" s="2">
        <f t="shared" si="11"/>
        <v>74660</v>
      </c>
      <c r="Z93" s="10">
        <f>+'A) Base RI'!N93</f>
        <v>34768.85</v>
      </c>
      <c r="AA93" s="10">
        <f>+'A) Base RI'!S93+'A) Base RI'!T93</f>
        <v>200</v>
      </c>
      <c r="AB93" s="10">
        <f>+'A) Base RI'!U93</f>
        <v>6800</v>
      </c>
      <c r="AC93" s="10">
        <f>+'A) Base RI'!V93</f>
        <v>0</v>
      </c>
      <c r="AD93" s="10">
        <f>+'A) Base RI'!W93</f>
        <v>0</v>
      </c>
      <c r="AE93" s="10">
        <f>+'A) Base RI'!Y93</f>
        <v>16030.1</v>
      </c>
      <c r="AF93" s="10">
        <f>+'A) Base RI'!Z93</f>
        <v>0</v>
      </c>
      <c r="AG93" s="10">
        <f>+'A) Base RI'!AA93</f>
        <v>309772.55</v>
      </c>
      <c r="AH93" s="10">
        <f>+'A) Base RI'!AB93</f>
        <v>0</v>
      </c>
      <c r="AI93" s="10">
        <f>+'A) Base RI'!AC93</f>
        <v>60710</v>
      </c>
      <c r="AJ93" s="10">
        <f>+'A) Base RI'!AD93</f>
        <v>9945</v>
      </c>
      <c r="AK93" s="10">
        <f>+'A) Base RI'!AE93</f>
        <v>0</v>
      </c>
      <c r="AL93" s="10">
        <f>+'A) Base RI'!AF93</f>
        <v>0</v>
      </c>
      <c r="AM93" s="10">
        <f>+'A) Base RI'!AG93</f>
        <v>0</v>
      </c>
      <c r="AN93" s="10">
        <f>+'A) Base RI'!AH93</f>
        <v>21003.5</v>
      </c>
      <c r="AO93" s="10">
        <f>+'A) Base RI'!AI93</f>
        <v>0</v>
      </c>
      <c r="AP93" s="10">
        <f>+'A) Base RI'!AJ93</f>
        <v>0</v>
      </c>
      <c r="AQ93" s="10">
        <f>+'A) Base RI'!AK93</f>
        <v>0</v>
      </c>
      <c r="AR93" s="10">
        <f>'A) Base RI'!AN93</f>
        <v>1003</v>
      </c>
    </row>
    <row r="94" spans="1:44" x14ac:dyDescent="0.25">
      <c r="A94" s="8">
        <f>'A) Base RI'!A94</f>
        <v>5540</v>
      </c>
      <c r="B94" s="34" t="str">
        <f>'A) Base RI'!B94</f>
        <v>Montilliez</v>
      </c>
      <c r="C94" s="10">
        <f>'A) Base RI'!C94+'A) Base RI'!D94</f>
        <v>3811905.13</v>
      </c>
      <c r="D94" s="10">
        <f>'A) Base RI'!AO94</f>
        <v>-19340.84</v>
      </c>
      <c r="E94" s="33">
        <f>'A) Base RI'!AP94</f>
        <v>-32732</v>
      </c>
      <c r="F94" s="33">
        <f>'A) Base RI'!AQ94</f>
        <v>-118.95</v>
      </c>
      <c r="G94" s="2">
        <f t="shared" si="6"/>
        <v>3759713.34</v>
      </c>
      <c r="H94" s="10">
        <f>+'A) Base RI'!E94</f>
        <v>0</v>
      </c>
      <c r="I94" s="10">
        <f>+'A) Base RI'!F94</f>
        <v>0</v>
      </c>
      <c r="J94" s="10">
        <f>+'A) Base RI'!G94+'A) Base RI'!H94</f>
        <v>113103.29999999999</v>
      </c>
      <c r="K94" s="10">
        <f>+'A) Base RI'!I94</f>
        <v>0</v>
      </c>
      <c r="L94" s="10">
        <f>+'A) Base RI'!J94</f>
        <v>67914.2</v>
      </c>
      <c r="M94" s="10">
        <f>+'A) Base RI'!K94</f>
        <v>6081.85</v>
      </c>
      <c r="N94" s="10">
        <f>+'A) Base RI'!Q94</f>
        <v>2204.2800000000002</v>
      </c>
      <c r="O94" s="10">
        <f t="shared" si="7"/>
        <v>308503.875</v>
      </c>
      <c r="P94" s="10">
        <f>+'A) Base RI'!L94</f>
        <v>246803.1</v>
      </c>
      <c r="Q94" s="36">
        <f>'A) Base RI'!AR94</f>
        <v>0.8</v>
      </c>
      <c r="R94" s="2">
        <f t="shared" si="8"/>
        <v>4257520.8449999997</v>
      </c>
      <c r="S94" s="35">
        <f>+'A) Base RI'!AM94</f>
        <v>74</v>
      </c>
      <c r="T94" s="2">
        <f t="shared" si="9"/>
        <v>3942935.1199999996</v>
      </c>
      <c r="U94" s="2">
        <f t="shared" si="10"/>
        <v>57534.065472972972</v>
      </c>
      <c r="V94" s="10">
        <f>+'A) Base RI'!O94</f>
        <v>15898.9</v>
      </c>
      <c r="W94" s="10">
        <f>+'A) Base RI'!P94</f>
        <v>152128.95000000001</v>
      </c>
      <c r="X94" s="10">
        <f>+'A) Base RI'!R94</f>
        <v>41705.800000000003</v>
      </c>
      <c r="Y94" s="2">
        <f t="shared" si="11"/>
        <v>209733.65000000002</v>
      </c>
      <c r="Z94" s="10">
        <f>+'A) Base RI'!N94</f>
        <v>2349.8000000000002</v>
      </c>
      <c r="AA94" s="10">
        <f>+'A) Base RI'!S94+'A) Base RI'!T94</f>
        <v>2830.3</v>
      </c>
      <c r="AB94" s="10">
        <f>+'A) Base RI'!U94</f>
        <v>12850</v>
      </c>
      <c r="AC94" s="10">
        <f>+'A) Base RI'!V94</f>
        <v>0</v>
      </c>
      <c r="AD94" s="10">
        <f>+'A) Base RI'!W94</f>
        <v>0</v>
      </c>
      <c r="AE94" s="10">
        <f>+'A) Base RI'!Y94</f>
        <v>58955.35</v>
      </c>
      <c r="AF94" s="10">
        <f>+'A) Base RI'!Z94</f>
        <v>0</v>
      </c>
      <c r="AG94" s="10">
        <f>+'A) Base RI'!AA94</f>
        <v>155003.54999999999</v>
      </c>
      <c r="AH94" s="10">
        <f>+'A) Base RI'!AB94</f>
        <v>0</v>
      </c>
      <c r="AI94" s="10">
        <f>+'A) Base RI'!AC94</f>
        <v>117963.75</v>
      </c>
      <c r="AJ94" s="10">
        <f>+'A) Base RI'!AD94</f>
        <v>39762.15</v>
      </c>
      <c r="AK94" s="10">
        <f>+'A) Base RI'!AE94</f>
        <v>0</v>
      </c>
      <c r="AL94" s="10">
        <f>+'A) Base RI'!AF94</f>
        <v>0</v>
      </c>
      <c r="AM94" s="10">
        <f>+'A) Base RI'!AG94</f>
        <v>0</v>
      </c>
      <c r="AN94" s="10">
        <f>+'A) Base RI'!AH94</f>
        <v>0</v>
      </c>
      <c r="AO94" s="10">
        <f>+'A) Base RI'!AI94</f>
        <v>0</v>
      </c>
      <c r="AP94" s="10">
        <f>+'A) Base RI'!AJ94</f>
        <v>0</v>
      </c>
      <c r="AQ94" s="10">
        <f>+'A) Base RI'!AK94</f>
        <v>0</v>
      </c>
      <c r="AR94" s="10">
        <f>'A) Base RI'!AN94</f>
        <v>1731</v>
      </c>
    </row>
    <row r="95" spans="1:44" x14ac:dyDescent="0.25">
      <c r="A95" s="8">
        <f>'A) Base RI'!A95</f>
        <v>5541</v>
      </c>
      <c r="B95" s="34" t="str">
        <f>'A) Base RI'!B95</f>
        <v>Goumoëns</v>
      </c>
      <c r="C95" s="10">
        <f>'A) Base RI'!C95+'A) Base RI'!D95</f>
        <v>2700894.9899999998</v>
      </c>
      <c r="D95" s="10">
        <f>'A) Base RI'!AO95</f>
        <v>-18125.009999999998</v>
      </c>
      <c r="E95" s="33">
        <f>'A) Base RI'!AP95</f>
        <v>0</v>
      </c>
      <c r="F95" s="33">
        <f>'A) Base RI'!AQ95</f>
        <v>-2.44</v>
      </c>
      <c r="G95" s="2">
        <f t="shared" si="6"/>
        <v>2682767.54</v>
      </c>
      <c r="H95" s="10">
        <f>+'A) Base RI'!E95</f>
        <v>0</v>
      </c>
      <c r="I95" s="10">
        <f>+'A) Base RI'!F95</f>
        <v>0</v>
      </c>
      <c r="J95" s="10">
        <f>+'A) Base RI'!G95+'A) Base RI'!H95</f>
        <v>85622.75</v>
      </c>
      <c r="K95" s="10">
        <f>+'A) Base RI'!I95</f>
        <v>0</v>
      </c>
      <c r="L95" s="10">
        <f>+'A) Base RI'!J95</f>
        <v>38121.31</v>
      </c>
      <c r="M95" s="10">
        <f>+'A) Base RI'!K95</f>
        <v>1170.1500000000001</v>
      </c>
      <c r="N95" s="10">
        <f>+'A) Base RI'!Q95</f>
        <v>0</v>
      </c>
      <c r="O95" s="10">
        <f t="shared" si="7"/>
        <v>192791.35</v>
      </c>
      <c r="P95" s="10">
        <f>+'A) Base RI'!L95</f>
        <v>192791.35</v>
      </c>
      <c r="Q95" s="36">
        <f>'A) Base RI'!AR95</f>
        <v>1</v>
      </c>
      <c r="R95" s="2">
        <f t="shared" si="8"/>
        <v>3000473.1</v>
      </c>
      <c r="S95" s="35">
        <f>+'A) Base RI'!AM95</f>
        <v>77</v>
      </c>
      <c r="T95" s="2">
        <f t="shared" si="9"/>
        <v>2806511.6</v>
      </c>
      <c r="U95" s="2">
        <f t="shared" si="10"/>
        <v>38967.18311688312</v>
      </c>
      <c r="V95" s="10">
        <f>+'A) Base RI'!O95</f>
        <v>56271.9</v>
      </c>
      <c r="W95" s="10">
        <f>+'A) Base RI'!P95</f>
        <v>35585.4</v>
      </c>
      <c r="X95" s="10">
        <f>+'A) Base RI'!R95</f>
        <v>48023.45</v>
      </c>
      <c r="Y95" s="2">
        <f t="shared" si="11"/>
        <v>139880.75</v>
      </c>
      <c r="Z95" s="10">
        <f>+'A) Base RI'!N95</f>
        <v>7197</v>
      </c>
      <c r="AA95" s="10">
        <f>+'A) Base RI'!S95+'A) Base RI'!T95</f>
        <v>0</v>
      </c>
      <c r="AB95" s="10">
        <f>+'A) Base RI'!U95</f>
        <v>6550</v>
      </c>
      <c r="AC95" s="10">
        <f>+'A) Base RI'!V95</f>
        <v>0</v>
      </c>
      <c r="AD95" s="10">
        <f>+'A) Base RI'!W95</f>
        <v>0</v>
      </c>
      <c r="AE95" s="10">
        <f>+'A) Base RI'!Y95</f>
        <v>17809.400000000001</v>
      </c>
      <c r="AF95" s="10">
        <f>+'A) Base RI'!Z95</f>
        <v>0</v>
      </c>
      <c r="AG95" s="10">
        <f>+'A) Base RI'!AA95</f>
        <v>58910.6</v>
      </c>
      <c r="AH95" s="10">
        <f>+'A) Base RI'!AB95</f>
        <v>0</v>
      </c>
      <c r="AI95" s="10">
        <f>+'A) Base RI'!AC95</f>
        <v>65316.7</v>
      </c>
      <c r="AJ95" s="10">
        <f>+'A) Base RI'!AD95</f>
        <v>11088.95</v>
      </c>
      <c r="AK95" s="10">
        <f>+'A) Base RI'!AE95</f>
        <v>0</v>
      </c>
      <c r="AL95" s="10">
        <f>+'A) Base RI'!AF95</f>
        <v>0</v>
      </c>
      <c r="AM95" s="10">
        <f>+'A) Base RI'!AG95</f>
        <v>0</v>
      </c>
      <c r="AN95" s="10">
        <f>+'A) Base RI'!AH95</f>
        <v>0</v>
      </c>
      <c r="AO95" s="10">
        <f>+'A) Base RI'!AI95</f>
        <v>0</v>
      </c>
      <c r="AP95" s="10">
        <f>+'A) Base RI'!AJ95</f>
        <v>0</v>
      </c>
      <c r="AQ95" s="10">
        <f>+'A) Base RI'!AK95</f>
        <v>0</v>
      </c>
      <c r="AR95" s="10">
        <f>'A) Base RI'!AN95</f>
        <v>1110</v>
      </c>
    </row>
    <row r="96" spans="1:44" x14ac:dyDescent="0.25">
      <c r="A96" s="8">
        <f>'A) Base RI'!A96</f>
        <v>5551</v>
      </c>
      <c r="B96" s="34" t="str">
        <f>'A) Base RI'!B96</f>
        <v>Bonvillars</v>
      </c>
      <c r="C96" s="10">
        <f>'A) Base RI'!C96+'A) Base RI'!D96</f>
        <v>906449.27</v>
      </c>
      <c r="D96" s="10">
        <f>'A) Base RI'!AO96</f>
        <v>-89.15</v>
      </c>
      <c r="E96" s="33">
        <f>'A) Base RI'!AP96</f>
        <v>0</v>
      </c>
      <c r="F96" s="33">
        <f>'A) Base RI'!AQ96</f>
        <v>-251.57</v>
      </c>
      <c r="G96" s="2">
        <f t="shared" si="6"/>
        <v>906108.55</v>
      </c>
      <c r="H96" s="10">
        <f>+'A) Base RI'!E96</f>
        <v>0</v>
      </c>
      <c r="I96" s="10">
        <f>+'A) Base RI'!F96</f>
        <v>0</v>
      </c>
      <c r="J96" s="10">
        <f>+'A) Base RI'!G96+'A) Base RI'!H96</f>
        <v>21577.9</v>
      </c>
      <c r="K96" s="10">
        <f>+'A) Base RI'!I96</f>
        <v>0</v>
      </c>
      <c r="L96" s="10">
        <f>+'A) Base RI'!J96</f>
        <v>4440.8999999999996</v>
      </c>
      <c r="M96" s="10">
        <f>+'A) Base RI'!K96</f>
        <v>5013.6000000000004</v>
      </c>
      <c r="N96" s="10">
        <f>+'A) Base RI'!Q96</f>
        <v>0</v>
      </c>
      <c r="O96" s="10">
        <f t="shared" si="7"/>
        <v>103441.8</v>
      </c>
      <c r="P96" s="10">
        <f>+'A) Base RI'!L96</f>
        <v>103441.8</v>
      </c>
      <c r="Q96" s="36">
        <f>'A) Base RI'!AR96</f>
        <v>1</v>
      </c>
      <c r="R96" s="2">
        <f t="shared" si="8"/>
        <v>1040582.7500000001</v>
      </c>
      <c r="S96" s="35">
        <f>+'A) Base RI'!AM96</f>
        <v>55</v>
      </c>
      <c r="T96" s="2">
        <f t="shared" si="9"/>
        <v>932127.35000000009</v>
      </c>
      <c r="U96" s="2">
        <f t="shared" si="10"/>
        <v>18919.686363636367</v>
      </c>
      <c r="V96" s="10">
        <f>+'A) Base RI'!O96</f>
        <v>0</v>
      </c>
      <c r="W96" s="10">
        <f>+'A) Base RI'!P96</f>
        <v>100674.4</v>
      </c>
      <c r="X96" s="10">
        <f>+'A) Base RI'!R96</f>
        <v>15155.5</v>
      </c>
      <c r="Y96" s="2">
        <f t="shared" si="11"/>
        <v>115829.9</v>
      </c>
      <c r="Z96" s="10">
        <f>+'A) Base RI'!N96</f>
        <v>10619.35</v>
      </c>
      <c r="AA96" s="10">
        <f>+'A) Base RI'!S96+'A) Base RI'!T96</f>
        <v>0</v>
      </c>
      <c r="AB96" s="10">
        <f>+'A) Base RI'!U96</f>
        <v>3208.35</v>
      </c>
      <c r="AC96" s="10">
        <f>+'A) Base RI'!V96</f>
        <v>0</v>
      </c>
      <c r="AD96" s="10">
        <f>+'A) Base RI'!W96</f>
        <v>0</v>
      </c>
      <c r="AE96" s="10">
        <f>+'A) Base RI'!Y96</f>
        <v>4446.8999999999996</v>
      </c>
      <c r="AF96" s="10">
        <f>+'A) Base RI'!Z96</f>
        <v>37348.5</v>
      </c>
      <c r="AG96" s="10">
        <f>+'A) Base RI'!AA96</f>
        <v>40293.300000000003</v>
      </c>
      <c r="AH96" s="10">
        <f>+'A) Base RI'!AB96</f>
        <v>0</v>
      </c>
      <c r="AI96" s="10">
        <f>+'A) Base RI'!AC96</f>
        <v>28778.5</v>
      </c>
      <c r="AJ96" s="10">
        <f>+'A) Base RI'!AD96</f>
        <v>4941</v>
      </c>
      <c r="AK96" s="10">
        <f>+'A) Base RI'!AE96</f>
        <v>0</v>
      </c>
      <c r="AL96" s="10">
        <f>+'A) Base RI'!AF96</f>
        <v>0</v>
      </c>
      <c r="AM96" s="10">
        <f>+'A) Base RI'!AG96</f>
        <v>2196</v>
      </c>
      <c r="AN96" s="10">
        <f>+'A) Base RI'!AH96</f>
        <v>0</v>
      </c>
      <c r="AO96" s="10">
        <f>+'A) Base RI'!AI96</f>
        <v>0</v>
      </c>
      <c r="AP96" s="10">
        <f>+'A) Base RI'!AJ96</f>
        <v>0</v>
      </c>
      <c r="AQ96" s="10">
        <f>+'A) Base RI'!AK96</f>
        <v>0</v>
      </c>
      <c r="AR96" s="10">
        <f>'A) Base RI'!AN96</f>
        <v>495</v>
      </c>
    </row>
    <row r="97" spans="1:44" x14ac:dyDescent="0.25">
      <c r="A97" s="8">
        <f>'A) Base RI'!A97</f>
        <v>5552</v>
      </c>
      <c r="B97" s="34" t="str">
        <f>'A) Base RI'!B97</f>
        <v>Bullet</v>
      </c>
      <c r="C97" s="10">
        <f>'A) Base RI'!C97+'A) Base RI'!D97</f>
        <v>1086532.56</v>
      </c>
      <c r="D97" s="10">
        <f>'A) Base RI'!AO97</f>
        <v>-6636.37</v>
      </c>
      <c r="E97" s="33">
        <f>'A) Base RI'!AP97</f>
        <v>0</v>
      </c>
      <c r="F97" s="33">
        <f>'A) Base RI'!AQ97</f>
        <v>-2.21</v>
      </c>
      <c r="G97" s="2">
        <f t="shared" si="6"/>
        <v>1079893.98</v>
      </c>
      <c r="H97" s="10">
        <f>+'A) Base RI'!E97</f>
        <v>0</v>
      </c>
      <c r="I97" s="10">
        <f>+'A) Base RI'!F97</f>
        <v>0</v>
      </c>
      <c r="J97" s="10">
        <f>+'A) Base RI'!G97+'A) Base RI'!H97</f>
        <v>28782.45</v>
      </c>
      <c r="K97" s="10">
        <f>+'A) Base RI'!I97</f>
        <v>18158.48</v>
      </c>
      <c r="L97" s="10">
        <f>+'A) Base RI'!J97</f>
        <v>16042.29</v>
      </c>
      <c r="M97" s="10">
        <f>+'A) Base RI'!K97</f>
        <v>1528.9</v>
      </c>
      <c r="N97" s="10">
        <f>+'A) Base RI'!Q97</f>
        <v>459.57</v>
      </c>
      <c r="O97" s="10">
        <f t="shared" si="7"/>
        <v>112420.6</v>
      </c>
      <c r="P97" s="10">
        <f>+'A) Base RI'!L97</f>
        <v>112420.6</v>
      </c>
      <c r="Q97" s="36">
        <f>'A) Base RI'!AR97</f>
        <v>1</v>
      </c>
      <c r="R97" s="2">
        <f t="shared" si="8"/>
        <v>1257286.27</v>
      </c>
      <c r="S97" s="35">
        <f>+'A) Base RI'!AM97</f>
        <v>70</v>
      </c>
      <c r="T97" s="2">
        <f t="shared" si="9"/>
        <v>1143336.77</v>
      </c>
      <c r="U97" s="2">
        <f t="shared" si="10"/>
        <v>17961.232428571428</v>
      </c>
      <c r="V97" s="10">
        <f>+'A) Base RI'!O97</f>
        <v>16432.599999999999</v>
      </c>
      <c r="W97" s="10">
        <f>+'A) Base RI'!P97</f>
        <v>55621.95</v>
      </c>
      <c r="X97" s="10">
        <f>+'A) Base RI'!R97</f>
        <v>19506.400000000001</v>
      </c>
      <c r="Y97" s="2">
        <f t="shared" si="11"/>
        <v>91560.949999999983</v>
      </c>
      <c r="Z97" s="10">
        <f>+'A) Base RI'!N97</f>
        <v>44648.35</v>
      </c>
      <c r="AA97" s="10">
        <f>+'A) Base RI'!S97+'A) Base RI'!T97</f>
        <v>364.9</v>
      </c>
      <c r="AB97" s="10">
        <f>+'A) Base RI'!U97</f>
        <v>5400</v>
      </c>
      <c r="AC97" s="10">
        <f>+'A) Base RI'!V97</f>
        <v>0</v>
      </c>
      <c r="AD97" s="10">
        <f>+'A) Base RI'!W97</f>
        <v>0</v>
      </c>
      <c r="AE97" s="10">
        <f>+'A) Base RI'!Y97</f>
        <v>18000</v>
      </c>
      <c r="AF97" s="10">
        <f>+'A) Base RI'!Z97</f>
        <v>0</v>
      </c>
      <c r="AG97" s="10">
        <f>+'A) Base RI'!AA97</f>
        <v>102018.5</v>
      </c>
      <c r="AH97" s="10">
        <f>+'A) Base RI'!AB97</f>
        <v>0</v>
      </c>
      <c r="AI97" s="10">
        <f>+'A) Base RI'!AC97</f>
        <v>72643.100000000006</v>
      </c>
      <c r="AJ97" s="10">
        <f>+'A) Base RI'!AD97</f>
        <v>13888.7</v>
      </c>
      <c r="AK97" s="10">
        <f>+'A) Base RI'!AE97</f>
        <v>0</v>
      </c>
      <c r="AL97" s="10">
        <f>+'A) Base RI'!AF97</f>
        <v>0</v>
      </c>
      <c r="AM97" s="10">
        <f>+'A) Base RI'!AG97</f>
        <v>64783.45</v>
      </c>
      <c r="AN97" s="10">
        <f>+'A) Base RI'!AH97</f>
        <v>23175.5</v>
      </c>
      <c r="AO97" s="10">
        <f>+'A) Base RI'!AI97</f>
        <v>0</v>
      </c>
      <c r="AP97" s="10">
        <f>+'A) Base RI'!AJ97</f>
        <v>0</v>
      </c>
      <c r="AQ97" s="10">
        <f>+'A) Base RI'!AK97</f>
        <v>0</v>
      </c>
      <c r="AR97" s="10">
        <f>'A) Base RI'!AN97</f>
        <v>644</v>
      </c>
    </row>
    <row r="98" spans="1:44" x14ac:dyDescent="0.25">
      <c r="A98" s="8">
        <f>'A) Base RI'!A98</f>
        <v>5553</v>
      </c>
      <c r="B98" s="34" t="str">
        <f>'A) Base RI'!B98</f>
        <v>Champagne</v>
      </c>
      <c r="C98" s="10">
        <f>'A) Base RI'!C98+'A) Base RI'!D98</f>
        <v>1897336.58</v>
      </c>
      <c r="D98" s="10">
        <f>'A) Base RI'!AO98</f>
        <v>-22312.42</v>
      </c>
      <c r="E98" s="33">
        <f>'A) Base RI'!AP98</f>
        <v>0</v>
      </c>
      <c r="F98" s="33">
        <f>'A) Base RI'!AQ98</f>
        <v>-453.75</v>
      </c>
      <c r="G98" s="2">
        <f t="shared" si="6"/>
        <v>1874570.4100000001</v>
      </c>
      <c r="H98" s="10">
        <f>+'A) Base RI'!E98</f>
        <v>0</v>
      </c>
      <c r="I98" s="10">
        <f>+'A) Base RI'!F98</f>
        <v>0</v>
      </c>
      <c r="J98" s="10">
        <f>+'A) Base RI'!G98+'A) Base RI'!H98</f>
        <v>99699.099999999991</v>
      </c>
      <c r="K98" s="10">
        <f>+'A) Base RI'!I98</f>
        <v>0</v>
      </c>
      <c r="L98" s="10">
        <f>+'A) Base RI'!J98</f>
        <v>44721.53</v>
      </c>
      <c r="M98" s="10">
        <f>+'A) Base RI'!K98</f>
        <v>18615.5</v>
      </c>
      <c r="N98" s="10">
        <f>+'A) Base RI'!Q98</f>
        <v>0</v>
      </c>
      <c r="O98" s="10">
        <f t="shared" si="7"/>
        <v>205121.6</v>
      </c>
      <c r="P98" s="10">
        <f>+'A) Base RI'!L98</f>
        <v>205121.6</v>
      </c>
      <c r="Q98" s="36">
        <f>'A) Base RI'!AR98</f>
        <v>1</v>
      </c>
      <c r="R98" s="2">
        <f t="shared" si="8"/>
        <v>2242728.14</v>
      </c>
      <c r="S98" s="35">
        <f>+'A) Base RI'!AM98</f>
        <v>65</v>
      </c>
      <c r="T98" s="2">
        <f t="shared" si="9"/>
        <v>2018991.0400000003</v>
      </c>
      <c r="U98" s="2">
        <f t="shared" si="10"/>
        <v>34503.509846153851</v>
      </c>
      <c r="V98" s="10">
        <f>+'A) Base RI'!O98</f>
        <v>5573.9</v>
      </c>
      <c r="W98" s="10">
        <f>+'A) Base RI'!P98</f>
        <v>110224.3</v>
      </c>
      <c r="X98" s="10">
        <f>+'A) Base RI'!R98</f>
        <v>18822.400000000001</v>
      </c>
      <c r="Y98" s="2">
        <f t="shared" si="11"/>
        <v>134620.6</v>
      </c>
      <c r="Z98" s="10">
        <f>+'A) Base RI'!N98</f>
        <v>128249.75</v>
      </c>
      <c r="AA98" s="10">
        <f>+'A) Base RI'!S98+'A) Base RI'!T98</f>
        <v>100</v>
      </c>
      <c r="AB98" s="10">
        <f>+'A) Base RI'!U98</f>
        <v>5700</v>
      </c>
      <c r="AC98" s="10">
        <f>+'A) Base RI'!V98</f>
        <v>827.9</v>
      </c>
      <c r="AD98" s="10">
        <f>+'A) Base RI'!W98</f>
        <v>0</v>
      </c>
      <c r="AE98" s="10">
        <f>+'A) Base RI'!Y98</f>
        <v>13314.1</v>
      </c>
      <c r="AF98" s="10">
        <f>+'A) Base RI'!Z98</f>
        <v>0</v>
      </c>
      <c r="AG98" s="10">
        <f>+'A) Base RI'!AA98</f>
        <v>133699.70000000001</v>
      </c>
      <c r="AH98" s="10">
        <f>+'A) Base RI'!AB98</f>
        <v>0</v>
      </c>
      <c r="AI98" s="10">
        <f>+'A) Base RI'!AC98</f>
        <v>59693.9</v>
      </c>
      <c r="AJ98" s="10">
        <f>+'A) Base RI'!AD98</f>
        <v>17683.400000000001</v>
      </c>
      <c r="AK98" s="10">
        <f>+'A) Base RI'!AE98</f>
        <v>0</v>
      </c>
      <c r="AL98" s="10">
        <f>+'A) Base RI'!AF98</f>
        <v>0</v>
      </c>
      <c r="AM98" s="10">
        <f>+'A) Base RI'!AG98</f>
        <v>0</v>
      </c>
      <c r="AN98" s="10">
        <f>+'A) Base RI'!AH98</f>
        <v>80340.149999999994</v>
      </c>
      <c r="AO98" s="10">
        <f>+'A) Base RI'!AI98</f>
        <v>0</v>
      </c>
      <c r="AP98" s="10">
        <f>+'A) Base RI'!AJ98</f>
        <v>0</v>
      </c>
      <c r="AQ98" s="10">
        <f>+'A) Base RI'!AK98</f>
        <v>0</v>
      </c>
      <c r="AR98" s="10">
        <f>'A) Base RI'!AN98</f>
        <v>1027</v>
      </c>
    </row>
    <row r="99" spans="1:44" x14ac:dyDescent="0.25">
      <c r="A99" s="8">
        <f>'A) Base RI'!A99</f>
        <v>5554</v>
      </c>
      <c r="B99" s="34" t="str">
        <f>'A) Base RI'!B99</f>
        <v>Concise</v>
      </c>
      <c r="C99" s="10">
        <f>'A) Base RI'!C99+'A) Base RI'!D99</f>
        <v>2145060.29</v>
      </c>
      <c r="D99" s="10">
        <f>'A) Base RI'!AO99</f>
        <v>-34091.85</v>
      </c>
      <c r="E99" s="33">
        <f>'A) Base RI'!AP99</f>
        <v>0</v>
      </c>
      <c r="F99" s="33">
        <f>'A) Base RI'!AQ99</f>
        <v>-915.76</v>
      </c>
      <c r="G99" s="2">
        <f t="shared" si="6"/>
        <v>2110052.6800000002</v>
      </c>
      <c r="H99" s="10">
        <f>+'A) Base RI'!E99</f>
        <v>0</v>
      </c>
      <c r="I99" s="10">
        <f>+'A) Base RI'!F99</f>
        <v>0</v>
      </c>
      <c r="J99" s="10">
        <f>+'A) Base RI'!G99+'A) Base RI'!H99</f>
        <v>11084.35</v>
      </c>
      <c r="K99" s="10">
        <f>+'A) Base RI'!I99</f>
        <v>0</v>
      </c>
      <c r="L99" s="10">
        <f>+'A) Base RI'!J99</f>
        <v>39776.75</v>
      </c>
      <c r="M99" s="10">
        <f>+'A) Base RI'!K99</f>
        <v>6538.85</v>
      </c>
      <c r="N99" s="10">
        <f>+'A) Base RI'!Q99</f>
        <v>43217.08</v>
      </c>
      <c r="O99" s="10">
        <f t="shared" si="7"/>
        <v>167391.5</v>
      </c>
      <c r="P99" s="10">
        <f>+'A) Base RI'!L99</f>
        <v>167391.5</v>
      </c>
      <c r="Q99" s="36">
        <f>'A) Base RI'!AR99</f>
        <v>1</v>
      </c>
      <c r="R99" s="2">
        <f t="shared" si="8"/>
        <v>2378061.2100000004</v>
      </c>
      <c r="S99" s="35">
        <f>+'A) Base RI'!AM99</f>
        <v>75</v>
      </c>
      <c r="T99" s="2">
        <f t="shared" si="9"/>
        <v>2204130.8600000003</v>
      </c>
      <c r="U99" s="2">
        <f t="shared" si="10"/>
        <v>31707.482800000005</v>
      </c>
      <c r="V99" s="10">
        <f>+'A) Base RI'!O99</f>
        <v>24244.400000000001</v>
      </c>
      <c r="W99" s="10">
        <f>+'A) Base RI'!P99</f>
        <v>52994.6</v>
      </c>
      <c r="X99" s="10">
        <f>+'A) Base RI'!R99</f>
        <v>40015.1</v>
      </c>
      <c r="Y99" s="2">
        <f t="shared" si="11"/>
        <v>117254.1</v>
      </c>
      <c r="Z99" s="10">
        <f>+'A) Base RI'!N99</f>
        <v>1585.3</v>
      </c>
      <c r="AA99" s="10">
        <f>+'A) Base RI'!S99+'A) Base RI'!T99</f>
        <v>1377.25</v>
      </c>
      <c r="AB99" s="10">
        <f>+'A) Base RI'!U99</f>
        <v>5400</v>
      </c>
      <c r="AC99" s="10">
        <f>+'A) Base RI'!V99</f>
        <v>0</v>
      </c>
      <c r="AD99" s="10">
        <f>+'A) Base RI'!W99</f>
        <v>331.2</v>
      </c>
      <c r="AE99" s="10">
        <f>+'A) Base RI'!Y99</f>
        <v>1380</v>
      </c>
      <c r="AF99" s="10">
        <f>+'A) Base RI'!Z99</f>
        <v>49114</v>
      </c>
      <c r="AG99" s="10">
        <f>+'A) Base RI'!AA99</f>
        <v>120750</v>
      </c>
      <c r="AH99" s="10">
        <f>+'A) Base RI'!AB99</f>
        <v>0</v>
      </c>
      <c r="AI99" s="10">
        <f>+'A) Base RI'!AC99</f>
        <v>56082.9</v>
      </c>
      <c r="AJ99" s="10">
        <f>+'A) Base RI'!AD99</f>
        <v>2875</v>
      </c>
      <c r="AK99" s="10">
        <f>+'A) Base RI'!AE99</f>
        <v>119890</v>
      </c>
      <c r="AL99" s="10">
        <f>+'A) Base RI'!AF99</f>
        <v>0</v>
      </c>
      <c r="AM99" s="10">
        <f>+'A) Base RI'!AG99</f>
        <v>37146.949999999997</v>
      </c>
      <c r="AN99" s="10">
        <f>+'A) Base RI'!AH99</f>
        <v>28331.05</v>
      </c>
      <c r="AO99" s="10">
        <f>+'A) Base RI'!AI99</f>
        <v>0</v>
      </c>
      <c r="AP99" s="10">
        <f>+'A) Base RI'!AJ99</f>
        <v>0</v>
      </c>
      <c r="AQ99" s="10">
        <f>+'A) Base RI'!AK99</f>
        <v>0</v>
      </c>
      <c r="AR99" s="10">
        <f>'A) Base RI'!AN99</f>
        <v>969</v>
      </c>
    </row>
    <row r="100" spans="1:44" x14ac:dyDescent="0.25">
      <c r="A100" s="8">
        <f>'A) Base RI'!A100</f>
        <v>5555</v>
      </c>
      <c r="B100" s="34" t="str">
        <f>'A) Base RI'!B100</f>
        <v>Corcelles-près-Concise</v>
      </c>
      <c r="C100" s="10">
        <f>'A) Base RI'!C100+'A) Base RI'!D100</f>
        <v>854508.48</v>
      </c>
      <c r="D100" s="10">
        <f>'A) Base RI'!AO100</f>
        <v>-8875.9500000000007</v>
      </c>
      <c r="E100" s="33">
        <f>'A) Base RI'!AP100</f>
        <v>0</v>
      </c>
      <c r="F100" s="33">
        <f>'A) Base RI'!AQ100</f>
        <v>-0.86</v>
      </c>
      <c r="G100" s="2">
        <f t="shared" si="6"/>
        <v>845631.67</v>
      </c>
      <c r="H100" s="10">
        <f>+'A) Base RI'!E100</f>
        <v>0</v>
      </c>
      <c r="I100" s="10">
        <f>+'A) Base RI'!F100</f>
        <v>0</v>
      </c>
      <c r="J100" s="10">
        <f>+'A) Base RI'!G100+'A) Base RI'!H100</f>
        <v>10826</v>
      </c>
      <c r="K100" s="10">
        <f>+'A) Base RI'!I100</f>
        <v>0</v>
      </c>
      <c r="L100" s="10">
        <f>+'A) Base RI'!J100</f>
        <v>25954.69</v>
      </c>
      <c r="M100" s="10">
        <f>+'A) Base RI'!K100</f>
        <v>1829.1</v>
      </c>
      <c r="N100" s="10">
        <f>+'A) Base RI'!Q100</f>
        <v>3049.2</v>
      </c>
      <c r="O100" s="10">
        <f t="shared" si="7"/>
        <v>81681.25</v>
      </c>
      <c r="P100" s="10">
        <f>+'A) Base RI'!L100</f>
        <v>81681.25</v>
      </c>
      <c r="Q100" s="36">
        <f>'A) Base RI'!AR100</f>
        <v>1</v>
      </c>
      <c r="R100" s="2">
        <f t="shared" si="8"/>
        <v>968971.90999999992</v>
      </c>
      <c r="S100" s="35">
        <f>+'A) Base RI'!AM100</f>
        <v>71</v>
      </c>
      <c r="T100" s="2">
        <f t="shared" si="9"/>
        <v>885461.55999999994</v>
      </c>
      <c r="U100" s="2">
        <f t="shared" si="10"/>
        <v>13647.491690140843</v>
      </c>
      <c r="V100" s="10">
        <f>+'A) Base RI'!O100</f>
        <v>1530.3</v>
      </c>
      <c r="W100" s="10">
        <f>+'A) Base RI'!P100</f>
        <v>60753.05</v>
      </c>
      <c r="X100" s="10">
        <f>+'A) Base RI'!R100</f>
        <v>56927.35</v>
      </c>
      <c r="Y100" s="2">
        <f t="shared" si="11"/>
        <v>119210.70000000001</v>
      </c>
      <c r="Z100" s="10">
        <f>+'A) Base RI'!N100</f>
        <v>7825.5</v>
      </c>
      <c r="AA100" s="10">
        <f>+'A) Base RI'!S100+'A) Base RI'!T100</f>
        <v>0</v>
      </c>
      <c r="AB100" s="10">
        <f>+'A) Base RI'!U100</f>
        <v>1680</v>
      </c>
      <c r="AC100" s="10">
        <f>+'A) Base RI'!V100</f>
        <v>0</v>
      </c>
      <c r="AD100" s="10">
        <f>+'A) Base RI'!W100</f>
        <v>0</v>
      </c>
      <c r="AE100" s="10">
        <f>+'A) Base RI'!Y100</f>
        <v>5196</v>
      </c>
      <c r="AF100" s="10">
        <f>+'A) Base RI'!Z100</f>
        <v>0</v>
      </c>
      <c r="AG100" s="10">
        <f>+'A) Base RI'!AA100</f>
        <v>93514.7</v>
      </c>
      <c r="AH100" s="10">
        <f>+'A) Base RI'!AB100</f>
        <v>0</v>
      </c>
      <c r="AI100" s="10">
        <f>+'A) Base RI'!AC100</f>
        <v>19914.2</v>
      </c>
      <c r="AJ100" s="10">
        <f>+'A) Base RI'!AD100</f>
        <v>8660</v>
      </c>
      <c r="AK100" s="10">
        <f>+'A) Base RI'!AE100</f>
        <v>0</v>
      </c>
      <c r="AL100" s="10">
        <f>+'A) Base RI'!AF100</f>
        <v>0</v>
      </c>
      <c r="AM100" s="10">
        <f>+'A) Base RI'!AG100</f>
        <v>10472.6</v>
      </c>
      <c r="AN100" s="10">
        <f>+'A) Base RI'!AH100</f>
        <v>4700</v>
      </c>
      <c r="AO100" s="10">
        <f>+'A) Base RI'!AI100</f>
        <v>0</v>
      </c>
      <c r="AP100" s="10">
        <f>+'A) Base RI'!AJ100</f>
        <v>0</v>
      </c>
      <c r="AQ100" s="10">
        <f>+'A) Base RI'!AK100</f>
        <v>0</v>
      </c>
      <c r="AR100" s="10">
        <f>'A) Base RI'!AN100</f>
        <v>377</v>
      </c>
    </row>
    <row r="101" spans="1:44" x14ac:dyDescent="0.25">
      <c r="A101" s="8">
        <f>'A) Base RI'!A101</f>
        <v>5556</v>
      </c>
      <c r="B101" s="34" t="str">
        <f>'A) Base RI'!B101</f>
        <v>Fiez</v>
      </c>
      <c r="C101" s="10">
        <f>'A) Base RI'!C101+'A) Base RI'!D101</f>
        <v>817431.87</v>
      </c>
      <c r="D101" s="10">
        <f>'A) Base RI'!AO101</f>
        <v>-1314</v>
      </c>
      <c r="E101" s="33">
        <f>'A) Base RI'!AP101</f>
        <v>0</v>
      </c>
      <c r="F101" s="33">
        <f>'A) Base RI'!AQ101</f>
        <v>-0.12</v>
      </c>
      <c r="G101" s="2">
        <f t="shared" si="6"/>
        <v>816117.75</v>
      </c>
      <c r="H101" s="10">
        <f>+'A) Base RI'!E101</f>
        <v>0</v>
      </c>
      <c r="I101" s="10">
        <f>+'A) Base RI'!F101</f>
        <v>2200</v>
      </c>
      <c r="J101" s="10">
        <f>+'A) Base RI'!G101+'A) Base RI'!H101</f>
        <v>1270.0500000000002</v>
      </c>
      <c r="K101" s="10">
        <f>+'A) Base RI'!I101</f>
        <v>0</v>
      </c>
      <c r="L101" s="10">
        <f>+'A) Base RI'!J101</f>
        <v>5726.85</v>
      </c>
      <c r="M101" s="10">
        <f>+'A) Base RI'!K101</f>
        <v>519.15</v>
      </c>
      <c r="N101" s="10">
        <f>+'A) Base RI'!Q101</f>
        <v>0</v>
      </c>
      <c r="O101" s="10">
        <f t="shared" si="7"/>
        <v>65123.166666666672</v>
      </c>
      <c r="P101" s="10">
        <f>+'A) Base RI'!L101</f>
        <v>78147.8</v>
      </c>
      <c r="Q101" s="36">
        <f>'A) Base RI'!AR101</f>
        <v>1.2</v>
      </c>
      <c r="R101" s="2">
        <f t="shared" si="8"/>
        <v>890956.96666666667</v>
      </c>
      <c r="S101" s="35">
        <f>+'A) Base RI'!AM101</f>
        <v>69</v>
      </c>
      <c r="T101" s="2">
        <f t="shared" si="9"/>
        <v>823114.65</v>
      </c>
      <c r="U101" s="2">
        <f t="shared" si="10"/>
        <v>12912.419806763286</v>
      </c>
      <c r="V101" s="10">
        <f>+'A) Base RI'!O101</f>
        <v>425344.2</v>
      </c>
      <c r="W101" s="10">
        <f>+'A) Base RI'!P101</f>
        <v>31181</v>
      </c>
      <c r="X101" s="10">
        <f>+'A) Base RI'!R101</f>
        <v>18020.849999999999</v>
      </c>
      <c r="Y101" s="2">
        <f t="shared" si="11"/>
        <v>474546.05</v>
      </c>
      <c r="Z101" s="10">
        <f>+'A) Base RI'!N101</f>
        <v>0</v>
      </c>
      <c r="AA101" s="10">
        <f>+'A) Base RI'!S101+'A) Base RI'!T101</f>
        <v>372.25</v>
      </c>
      <c r="AB101" s="10">
        <f>+'A) Base RI'!U101</f>
        <v>3290</v>
      </c>
      <c r="AC101" s="10">
        <f>+'A) Base RI'!V101</f>
        <v>0</v>
      </c>
      <c r="AD101" s="10">
        <f>+'A) Base RI'!W101</f>
        <v>0</v>
      </c>
      <c r="AE101" s="10">
        <f>+'A) Base RI'!Y101</f>
        <v>0</v>
      </c>
      <c r="AF101" s="10">
        <f>+'A) Base RI'!Z101</f>
        <v>0</v>
      </c>
      <c r="AG101" s="10">
        <f>+'A) Base RI'!AA101</f>
        <v>64105.25</v>
      </c>
      <c r="AH101" s="10">
        <f>+'A) Base RI'!AB101</f>
        <v>0</v>
      </c>
      <c r="AI101" s="10">
        <f>+'A) Base RI'!AC101</f>
        <v>12383</v>
      </c>
      <c r="AJ101" s="10">
        <f>+'A) Base RI'!AD101</f>
        <v>0</v>
      </c>
      <c r="AK101" s="10">
        <f>+'A) Base RI'!AE101</f>
        <v>0</v>
      </c>
      <c r="AL101" s="10">
        <f>+'A) Base RI'!AF101</f>
        <v>0</v>
      </c>
      <c r="AM101" s="10">
        <f>+'A) Base RI'!AG101</f>
        <v>480</v>
      </c>
      <c r="AN101" s="10">
        <f>+'A) Base RI'!AH101</f>
        <v>0</v>
      </c>
      <c r="AO101" s="10">
        <f>+'A) Base RI'!AI101</f>
        <v>0</v>
      </c>
      <c r="AP101" s="10">
        <f>+'A) Base RI'!AJ101</f>
        <v>0</v>
      </c>
      <c r="AQ101" s="10">
        <f>+'A) Base RI'!AK101</f>
        <v>0</v>
      </c>
      <c r="AR101" s="10">
        <f>'A) Base RI'!AN101</f>
        <v>425</v>
      </c>
    </row>
    <row r="102" spans="1:44" x14ac:dyDescent="0.25">
      <c r="A102" s="8">
        <f>'A) Base RI'!A102</f>
        <v>5557</v>
      </c>
      <c r="B102" s="34" t="str">
        <f>'A) Base RI'!B102</f>
        <v>Fontaines-sur-Grandson</v>
      </c>
      <c r="C102" s="10">
        <f>'A) Base RI'!C102+'A) Base RI'!D102</f>
        <v>271335.60000000003</v>
      </c>
      <c r="D102" s="10">
        <f>'A) Base RI'!AO102</f>
        <v>-5164.3100000000004</v>
      </c>
      <c r="E102" s="33">
        <f>'A) Base RI'!AP102</f>
        <v>0</v>
      </c>
      <c r="F102" s="33">
        <f>'A) Base RI'!AQ102</f>
        <v>0</v>
      </c>
      <c r="G102" s="2">
        <f t="shared" si="6"/>
        <v>266171.29000000004</v>
      </c>
      <c r="H102" s="10">
        <f>+'A) Base RI'!E102</f>
        <v>0</v>
      </c>
      <c r="I102" s="10">
        <f>+'A) Base RI'!F102</f>
        <v>990</v>
      </c>
      <c r="J102" s="10">
        <f>+'A) Base RI'!G102+'A) Base RI'!H102</f>
        <v>8824.5499999999993</v>
      </c>
      <c r="K102" s="10">
        <f>+'A) Base RI'!I102</f>
        <v>0</v>
      </c>
      <c r="L102" s="10">
        <f>+'A) Base RI'!J102</f>
        <v>1486.95</v>
      </c>
      <c r="M102" s="10">
        <f>+'A) Base RI'!K102</f>
        <v>270.89999999999998</v>
      </c>
      <c r="N102" s="10">
        <f>+'A) Base RI'!Q102</f>
        <v>800.77</v>
      </c>
      <c r="O102" s="10">
        <f t="shared" si="7"/>
        <v>30035.7</v>
      </c>
      <c r="P102" s="10">
        <f>+'A) Base RI'!L102</f>
        <v>30035.7</v>
      </c>
      <c r="Q102" s="36">
        <f>'A) Base RI'!AR102</f>
        <v>1</v>
      </c>
      <c r="R102" s="2">
        <f t="shared" si="8"/>
        <v>308580.16000000009</v>
      </c>
      <c r="S102" s="35">
        <f>+'A) Base RI'!AM102</f>
        <v>69</v>
      </c>
      <c r="T102" s="2">
        <f t="shared" si="9"/>
        <v>277283.56000000006</v>
      </c>
      <c r="U102" s="2">
        <f t="shared" si="10"/>
        <v>4472.1762318840592</v>
      </c>
      <c r="V102" s="10">
        <f>+'A) Base RI'!O102</f>
        <v>945.6</v>
      </c>
      <c r="W102" s="10">
        <f>+'A) Base RI'!P102</f>
        <v>21738</v>
      </c>
      <c r="X102" s="10">
        <f>+'A) Base RI'!R102</f>
        <v>7943.8</v>
      </c>
      <c r="Y102" s="2">
        <f t="shared" si="11"/>
        <v>30627.399999999998</v>
      </c>
      <c r="Z102" s="10">
        <f>+'A) Base RI'!N102</f>
        <v>0</v>
      </c>
      <c r="AA102" s="10">
        <f>+'A) Base RI'!S102+'A) Base RI'!T102</f>
        <v>0</v>
      </c>
      <c r="AB102" s="10">
        <f>+'A) Base RI'!U102</f>
        <v>705</v>
      </c>
      <c r="AC102" s="10">
        <f>+'A) Base RI'!V102</f>
        <v>0</v>
      </c>
      <c r="AD102" s="10">
        <f>+'A) Base RI'!W102</f>
        <v>0</v>
      </c>
      <c r="AE102" s="10">
        <f>+'A) Base RI'!Y102</f>
        <v>0</v>
      </c>
      <c r="AF102" s="10">
        <f>+'A) Base RI'!Z102</f>
        <v>0</v>
      </c>
      <c r="AG102" s="10">
        <f>+'A) Base RI'!AA102</f>
        <v>24600</v>
      </c>
      <c r="AH102" s="10">
        <f>+'A) Base RI'!AB102</f>
        <v>0</v>
      </c>
      <c r="AI102" s="10">
        <f>+'A) Base RI'!AC102</f>
        <v>14097</v>
      </c>
      <c r="AJ102" s="10">
        <f>+'A) Base RI'!AD102</f>
        <v>0</v>
      </c>
      <c r="AK102" s="10">
        <f>+'A) Base RI'!AE102</f>
        <v>0</v>
      </c>
      <c r="AL102" s="10">
        <f>+'A) Base RI'!AF102</f>
        <v>0</v>
      </c>
      <c r="AM102" s="10">
        <f>+'A) Base RI'!AG102</f>
        <v>0</v>
      </c>
      <c r="AN102" s="10">
        <f>+'A) Base RI'!AH102</f>
        <v>0</v>
      </c>
      <c r="AO102" s="10">
        <f>+'A) Base RI'!AI102</f>
        <v>0</v>
      </c>
      <c r="AP102" s="10">
        <f>+'A) Base RI'!AJ102</f>
        <v>0</v>
      </c>
      <c r="AQ102" s="10">
        <f>+'A) Base RI'!AK102</f>
        <v>0</v>
      </c>
      <c r="AR102" s="10">
        <f>'A) Base RI'!AN102</f>
        <v>210</v>
      </c>
    </row>
    <row r="103" spans="1:44" x14ac:dyDescent="0.25">
      <c r="A103" s="8">
        <f>'A) Base RI'!A103</f>
        <v>5559</v>
      </c>
      <c r="B103" s="34" t="str">
        <f>'A) Base RI'!B103</f>
        <v>Giez</v>
      </c>
      <c r="C103" s="10">
        <f>'A) Base RI'!C103+'A) Base RI'!D103</f>
        <v>1020767.05</v>
      </c>
      <c r="D103" s="10">
        <f>'A) Base RI'!AO103</f>
        <v>-15820.41</v>
      </c>
      <c r="E103" s="33">
        <f>'A) Base RI'!AP103</f>
        <v>0</v>
      </c>
      <c r="F103" s="33">
        <f>'A) Base RI'!AQ103</f>
        <v>-398.96</v>
      </c>
      <c r="G103" s="2">
        <f t="shared" si="6"/>
        <v>1004547.68</v>
      </c>
      <c r="H103" s="10">
        <f>+'A) Base RI'!E103</f>
        <v>0</v>
      </c>
      <c r="I103" s="10">
        <f>+'A) Base RI'!F103</f>
        <v>0</v>
      </c>
      <c r="J103" s="10">
        <f>+'A) Base RI'!G103+'A) Base RI'!H103</f>
        <v>-151900.45000000001</v>
      </c>
      <c r="K103" s="10">
        <f>+'A) Base RI'!I103</f>
        <v>0</v>
      </c>
      <c r="L103" s="10">
        <f>+'A) Base RI'!J103</f>
        <v>7128</v>
      </c>
      <c r="M103" s="10">
        <f>+'A) Base RI'!K103</f>
        <v>3427.8</v>
      </c>
      <c r="N103" s="10">
        <f>+'A) Base RI'!Q103</f>
        <v>1666.8</v>
      </c>
      <c r="O103" s="10">
        <f t="shared" si="7"/>
        <v>84923.3</v>
      </c>
      <c r="P103" s="10">
        <f>+'A) Base RI'!L103</f>
        <v>84923.3</v>
      </c>
      <c r="Q103" s="36">
        <f>'A) Base RI'!AR103</f>
        <v>1</v>
      </c>
      <c r="R103" s="2">
        <f t="shared" si="8"/>
        <v>949793.13000000012</v>
      </c>
      <c r="S103" s="35">
        <f>+'A) Base RI'!AM103</f>
        <v>66</v>
      </c>
      <c r="T103" s="2">
        <f t="shared" si="9"/>
        <v>861442.03</v>
      </c>
      <c r="U103" s="2">
        <f t="shared" si="10"/>
        <v>14390.805000000002</v>
      </c>
      <c r="V103" s="10">
        <f>+'A) Base RI'!O103</f>
        <v>2548.6999999999998</v>
      </c>
      <c r="W103" s="10">
        <f>+'A) Base RI'!P103</f>
        <v>23033.35</v>
      </c>
      <c r="X103" s="10">
        <f>+'A) Base RI'!R103</f>
        <v>31515.85</v>
      </c>
      <c r="Y103" s="2">
        <f t="shared" si="11"/>
        <v>57097.899999999994</v>
      </c>
      <c r="Z103" s="10">
        <f>+'A) Base RI'!N103</f>
        <v>18858.099999999999</v>
      </c>
      <c r="AA103" s="10">
        <f>+'A) Base RI'!S103+'A) Base RI'!T103</f>
        <v>247.25</v>
      </c>
      <c r="AB103" s="10">
        <f>+'A) Base RI'!U103</f>
        <v>880</v>
      </c>
      <c r="AC103" s="10">
        <f>+'A) Base RI'!V103</f>
        <v>219.75</v>
      </c>
      <c r="AD103" s="10">
        <f>+'A) Base RI'!W103</f>
        <v>0</v>
      </c>
      <c r="AE103" s="10">
        <f>+'A) Base RI'!Y103</f>
        <v>19168</v>
      </c>
      <c r="AF103" s="10">
        <f>+'A) Base RI'!Z103</f>
        <v>0</v>
      </c>
      <c r="AG103" s="10">
        <f>+'A) Base RI'!AA103</f>
        <v>82212.649999999994</v>
      </c>
      <c r="AH103" s="10">
        <f>+'A) Base RI'!AB103</f>
        <v>0</v>
      </c>
      <c r="AI103" s="10">
        <f>+'A) Base RI'!AC103</f>
        <v>26126.9</v>
      </c>
      <c r="AJ103" s="10">
        <f>+'A) Base RI'!AD103</f>
        <v>5600</v>
      </c>
      <c r="AK103" s="10">
        <f>+'A) Base RI'!AE103</f>
        <v>0</v>
      </c>
      <c r="AL103" s="10">
        <f>+'A) Base RI'!AF103</f>
        <v>0</v>
      </c>
      <c r="AM103" s="10">
        <f>+'A) Base RI'!AG103</f>
        <v>5251.2</v>
      </c>
      <c r="AN103" s="10">
        <f>+'A) Base RI'!AH103</f>
        <v>0</v>
      </c>
      <c r="AO103" s="10">
        <f>+'A) Base RI'!AI103</f>
        <v>0</v>
      </c>
      <c r="AP103" s="10">
        <f>+'A) Base RI'!AJ103</f>
        <v>0</v>
      </c>
      <c r="AQ103" s="10">
        <f>+'A) Base RI'!AK103</f>
        <v>0</v>
      </c>
      <c r="AR103" s="10">
        <f>'A) Base RI'!AN103</f>
        <v>421</v>
      </c>
    </row>
    <row r="104" spans="1:44" x14ac:dyDescent="0.25">
      <c r="A104" s="8">
        <f>'A) Base RI'!A104</f>
        <v>5560</v>
      </c>
      <c r="B104" s="34" t="str">
        <f>'A) Base RI'!B104</f>
        <v>Grandevent</v>
      </c>
      <c r="C104" s="10">
        <f>'A) Base RI'!C104+'A) Base RI'!D104</f>
        <v>410265.37</v>
      </c>
      <c r="D104" s="10">
        <f>'A) Base RI'!AO104</f>
        <v>-18640.64</v>
      </c>
      <c r="E104" s="33">
        <f>'A) Base RI'!AP104</f>
        <v>0</v>
      </c>
      <c r="F104" s="33">
        <f>'A) Base RI'!AQ104</f>
        <v>0</v>
      </c>
      <c r="G104" s="2">
        <f t="shared" si="6"/>
        <v>391624.73</v>
      </c>
      <c r="H104" s="10">
        <f>+'A) Base RI'!E104</f>
        <v>0</v>
      </c>
      <c r="I104" s="10">
        <f>+'A) Base RI'!F104</f>
        <v>0</v>
      </c>
      <c r="J104" s="10">
        <f>+'A) Base RI'!G104+'A) Base RI'!H104</f>
        <v>807.45</v>
      </c>
      <c r="K104" s="10">
        <f>+'A) Base RI'!I104</f>
        <v>0</v>
      </c>
      <c r="L104" s="10">
        <f>+'A) Base RI'!J104</f>
        <v>-6587.12</v>
      </c>
      <c r="M104" s="10">
        <f>+'A) Base RI'!K104</f>
        <v>566.70000000000005</v>
      </c>
      <c r="N104" s="10">
        <f>+'A) Base RI'!Q104</f>
        <v>0</v>
      </c>
      <c r="O104" s="10">
        <f t="shared" si="7"/>
        <v>39826.550000000003</v>
      </c>
      <c r="P104" s="10">
        <f>+'A) Base RI'!L104</f>
        <v>39826.550000000003</v>
      </c>
      <c r="Q104" s="36">
        <f>'A) Base RI'!AR104</f>
        <v>1</v>
      </c>
      <c r="R104" s="2">
        <f t="shared" si="8"/>
        <v>426238.31</v>
      </c>
      <c r="S104" s="35">
        <f>+'A) Base RI'!AM104</f>
        <v>68</v>
      </c>
      <c r="T104" s="2">
        <f t="shared" si="9"/>
        <v>385845.06</v>
      </c>
      <c r="U104" s="2">
        <f t="shared" si="10"/>
        <v>6268.2104411764703</v>
      </c>
      <c r="V104" s="10">
        <f>+'A) Base RI'!O104</f>
        <v>230.3</v>
      </c>
      <c r="W104" s="10">
        <f>+'A) Base RI'!P104</f>
        <v>18468.5</v>
      </c>
      <c r="X104" s="10">
        <f>+'A) Base RI'!R104</f>
        <v>8668.25</v>
      </c>
      <c r="Y104" s="2">
        <f t="shared" si="11"/>
        <v>27367.05</v>
      </c>
      <c r="Z104" s="10">
        <f>+'A) Base RI'!N104</f>
        <v>0</v>
      </c>
      <c r="AA104" s="10">
        <f>+'A) Base RI'!S104+'A) Base RI'!T104</f>
        <v>0</v>
      </c>
      <c r="AB104" s="10">
        <f>+'A) Base RI'!U104</f>
        <v>1625</v>
      </c>
      <c r="AC104" s="10">
        <f>+'A) Base RI'!V104</f>
        <v>0</v>
      </c>
      <c r="AD104" s="10">
        <f>+'A) Base RI'!W104</f>
        <v>0</v>
      </c>
      <c r="AE104" s="10">
        <f>+'A) Base RI'!Y104</f>
        <v>2431</v>
      </c>
      <c r="AF104" s="10">
        <f>+'A) Base RI'!Z104</f>
        <v>0</v>
      </c>
      <c r="AG104" s="10">
        <f>+'A) Base RI'!AA104</f>
        <v>33357</v>
      </c>
      <c r="AH104" s="10">
        <f>+'A) Base RI'!AB104</f>
        <v>0</v>
      </c>
      <c r="AI104" s="10">
        <f>+'A) Base RI'!AC104</f>
        <v>12343.55</v>
      </c>
      <c r="AJ104" s="10">
        <f>+'A) Base RI'!AD104</f>
        <v>4480</v>
      </c>
      <c r="AK104" s="10">
        <f>+'A) Base RI'!AE104</f>
        <v>0</v>
      </c>
      <c r="AL104" s="10">
        <f>+'A) Base RI'!AF104</f>
        <v>0</v>
      </c>
      <c r="AM104" s="10">
        <f>+'A) Base RI'!AG104</f>
        <v>2495</v>
      </c>
      <c r="AN104" s="10">
        <f>+'A) Base RI'!AH104</f>
        <v>0</v>
      </c>
      <c r="AO104" s="10">
        <f>+'A) Base RI'!AI104</f>
        <v>0</v>
      </c>
      <c r="AP104" s="10">
        <f>+'A) Base RI'!AJ104</f>
        <v>0</v>
      </c>
      <c r="AQ104" s="10">
        <f>+'A) Base RI'!AK104</f>
        <v>0</v>
      </c>
      <c r="AR104" s="10">
        <f>'A) Base RI'!AN104</f>
        <v>229</v>
      </c>
    </row>
    <row r="105" spans="1:44" x14ac:dyDescent="0.25">
      <c r="A105" s="8">
        <f>'A) Base RI'!A105</f>
        <v>5561</v>
      </c>
      <c r="B105" s="34" t="str">
        <f>'A) Base RI'!B105</f>
        <v>Grandson</v>
      </c>
      <c r="C105" s="10">
        <f>'A) Base RI'!C105+'A) Base RI'!D105</f>
        <v>7159389.9900000002</v>
      </c>
      <c r="D105" s="10">
        <f>'A) Base RI'!AO105</f>
        <v>-99993.88</v>
      </c>
      <c r="E105" s="33">
        <f>'A) Base RI'!AP105</f>
        <v>0</v>
      </c>
      <c r="F105" s="33">
        <f>'A) Base RI'!AQ105</f>
        <v>-205.46</v>
      </c>
      <c r="G105" s="2">
        <f t="shared" si="6"/>
        <v>7059190.6500000004</v>
      </c>
      <c r="H105" s="10">
        <f>+'A) Base RI'!E105</f>
        <v>0</v>
      </c>
      <c r="I105" s="10">
        <f>+'A) Base RI'!F105</f>
        <v>0</v>
      </c>
      <c r="J105" s="10">
        <f>+'A) Base RI'!G105+'A) Base RI'!H105</f>
        <v>288611.94999999995</v>
      </c>
      <c r="K105" s="10">
        <f>+'A) Base RI'!I105</f>
        <v>0</v>
      </c>
      <c r="L105" s="10">
        <f>+'A) Base RI'!J105</f>
        <v>115848.41</v>
      </c>
      <c r="M105" s="10">
        <f>+'A) Base RI'!K105</f>
        <v>28638.35</v>
      </c>
      <c r="N105" s="10">
        <f>+'A) Base RI'!Q105</f>
        <v>21529.73</v>
      </c>
      <c r="O105" s="10">
        <f t="shared" si="7"/>
        <v>555808.6</v>
      </c>
      <c r="P105" s="10">
        <f>+'A) Base RI'!L105</f>
        <v>555808.6</v>
      </c>
      <c r="Q105" s="36">
        <f>'A) Base RI'!AR105</f>
        <v>1</v>
      </c>
      <c r="R105" s="2">
        <f t="shared" si="8"/>
        <v>8069627.6900000004</v>
      </c>
      <c r="S105" s="35">
        <f>+'A) Base RI'!AM105</f>
        <v>69</v>
      </c>
      <c r="T105" s="2">
        <f t="shared" si="9"/>
        <v>7485180.7400000012</v>
      </c>
      <c r="U105" s="2">
        <f t="shared" si="10"/>
        <v>116951.12594202899</v>
      </c>
      <c r="V105" s="10">
        <f>+'A) Base RI'!O105</f>
        <v>183273.15</v>
      </c>
      <c r="W105" s="10">
        <f>+'A) Base RI'!P105</f>
        <v>144671</v>
      </c>
      <c r="X105" s="10">
        <f>+'A) Base RI'!R105</f>
        <v>57269.75</v>
      </c>
      <c r="Y105" s="2">
        <f t="shared" si="11"/>
        <v>385213.9</v>
      </c>
      <c r="Z105" s="10">
        <f>+'A) Base RI'!N105</f>
        <v>286091.09999999998</v>
      </c>
      <c r="AA105" s="10">
        <f>+'A) Base RI'!S105+'A) Base RI'!T105</f>
        <v>9809.65</v>
      </c>
      <c r="AB105" s="10">
        <f>+'A) Base RI'!U105</f>
        <v>11100</v>
      </c>
      <c r="AC105" s="10">
        <f>+'A) Base RI'!V105</f>
        <v>680</v>
      </c>
      <c r="AD105" s="10">
        <f>+'A) Base RI'!W105</f>
        <v>80</v>
      </c>
      <c r="AE105" s="10">
        <f>+'A) Base RI'!Y105</f>
        <v>32994.25</v>
      </c>
      <c r="AF105" s="10">
        <f>+'A) Base RI'!Z105</f>
        <v>0</v>
      </c>
      <c r="AG105" s="10">
        <f>+'A) Base RI'!AA105</f>
        <v>244526.45</v>
      </c>
      <c r="AH105" s="10">
        <f>+'A) Base RI'!AB105</f>
        <v>0</v>
      </c>
      <c r="AI105" s="10">
        <f>+'A) Base RI'!AC105</f>
        <v>333801.5</v>
      </c>
      <c r="AJ105" s="10">
        <f>+'A) Base RI'!AD105</f>
        <v>254395.05</v>
      </c>
      <c r="AK105" s="10">
        <f>+'A) Base RI'!AE105</f>
        <v>0</v>
      </c>
      <c r="AL105" s="10">
        <f>+'A) Base RI'!AF105</f>
        <v>0</v>
      </c>
      <c r="AM105" s="10">
        <f>+'A) Base RI'!AG105</f>
        <v>59507.8</v>
      </c>
      <c r="AN105" s="10">
        <f>+'A) Base RI'!AH105</f>
        <v>93872.95</v>
      </c>
      <c r="AO105" s="10">
        <f>+'A) Base RI'!AI105</f>
        <v>0</v>
      </c>
      <c r="AP105" s="10">
        <f>+'A) Base RI'!AJ105</f>
        <v>0</v>
      </c>
      <c r="AQ105" s="10">
        <f>+'A) Base RI'!AK105</f>
        <v>0</v>
      </c>
      <c r="AR105" s="10">
        <f>'A) Base RI'!AN105</f>
        <v>3284</v>
      </c>
    </row>
    <row r="106" spans="1:44" x14ac:dyDescent="0.25">
      <c r="A106" s="8">
        <f>'A) Base RI'!A106</f>
        <v>5562</v>
      </c>
      <c r="B106" s="34" t="str">
        <f>'A) Base RI'!B106</f>
        <v>Mauborget</v>
      </c>
      <c r="C106" s="10">
        <f>'A) Base RI'!C106+'A) Base RI'!D106</f>
        <v>377030.03</v>
      </c>
      <c r="D106" s="10">
        <f>'A) Base RI'!AO106</f>
        <v>-739.61</v>
      </c>
      <c r="E106" s="33">
        <f>'A) Base RI'!AP106</f>
        <v>0</v>
      </c>
      <c r="F106" s="33">
        <f>'A) Base RI'!AQ106</f>
        <v>0</v>
      </c>
      <c r="G106" s="2">
        <f t="shared" si="6"/>
        <v>376290.42000000004</v>
      </c>
      <c r="H106" s="10">
        <f>+'A) Base RI'!E106</f>
        <v>0</v>
      </c>
      <c r="I106" s="10">
        <f>+'A) Base RI'!F106</f>
        <v>730</v>
      </c>
      <c r="J106" s="10">
        <f>+'A) Base RI'!G106+'A) Base RI'!H106</f>
        <v>2399.3000000000002</v>
      </c>
      <c r="K106" s="10">
        <f>+'A) Base RI'!I106</f>
        <v>0</v>
      </c>
      <c r="L106" s="10">
        <f>+'A) Base RI'!J106</f>
        <v>6000.03</v>
      </c>
      <c r="M106" s="10">
        <f>+'A) Base RI'!K106</f>
        <v>1155.5</v>
      </c>
      <c r="N106" s="10">
        <f>+'A) Base RI'!Q106</f>
        <v>110.97</v>
      </c>
      <c r="O106" s="10">
        <f t="shared" si="7"/>
        <v>27349.125</v>
      </c>
      <c r="P106" s="10">
        <f>+'A) Base RI'!L106</f>
        <v>32818.949999999997</v>
      </c>
      <c r="Q106" s="36">
        <f>'A) Base RI'!AR106</f>
        <v>1.2</v>
      </c>
      <c r="R106" s="2">
        <f t="shared" si="8"/>
        <v>414035.34500000003</v>
      </c>
      <c r="S106" s="35">
        <f>+'A) Base RI'!AM106</f>
        <v>70</v>
      </c>
      <c r="T106" s="2">
        <f t="shared" si="9"/>
        <v>384800.72000000003</v>
      </c>
      <c r="U106" s="2">
        <f t="shared" si="10"/>
        <v>5914.7906428571432</v>
      </c>
      <c r="V106" s="10">
        <f>+'A) Base RI'!O106</f>
        <v>9400.5</v>
      </c>
      <c r="W106" s="10">
        <f>+'A) Base RI'!P106</f>
        <v>3704.95</v>
      </c>
      <c r="X106" s="10">
        <f>+'A) Base RI'!R106</f>
        <v>0</v>
      </c>
      <c r="Y106" s="2">
        <f t="shared" si="11"/>
        <v>13105.45</v>
      </c>
      <c r="Z106" s="10">
        <f>+'A) Base RI'!N106</f>
        <v>0</v>
      </c>
      <c r="AA106" s="10">
        <f>+'A) Base RI'!S106+'A) Base RI'!T106</f>
        <v>25</v>
      </c>
      <c r="AB106" s="10">
        <f>+'A) Base RI'!U106</f>
        <v>550</v>
      </c>
      <c r="AC106" s="10">
        <f>+'A) Base RI'!V106</f>
        <v>218.75</v>
      </c>
      <c r="AD106" s="10">
        <f>+'A) Base RI'!W106</f>
        <v>0</v>
      </c>
      <c r="AE106" s="10">
        <f>+'A) Base RI'!Y106</f>
        <v>7200</v>
      </c>
      <c r="AF106" s="10">
        <f>+'A) Base RI'!Z106</f>
        <v>0</v>
      </c>
      <c r="AG106" s="10">
        <f>+'A) Base RI'!AA106</f>
        <v>39738</v>
      </c>
      <c r="AH106" s="10">
        <f>+'A) Base RI'!AB106</f>
        <v>0</v>
      </c>
      <c r="AI106" s="10">
        <f>+'A) Base RI'!AC106</f>
        <v>17581.7</v>
      </c>
      <c r="AJ106" s="10">
        <f>+'A) Base RI'!AD106</f>
        <v>0</v>
      </c>
      <c r="AK106" s="10">
        <f>+'A) Base RI'!AE106</f>
        <v>0</v>
      </c>
      <c r="AL106" s="10">
        <f>+'A) Base RI'!AF106</f>
        <v>0</v>
      </c>
      <c r="AM106" s="10">
        <f>+'A) Base RI'!AG106</f>
        <v>7106.05</v>
      </c>
      <c r="AN106" s="10">
        <f>+'A) Base RI'!AH106</f>
        <v>0</v>
      </c>
      <c r="AO106" s="10">
        <f>+'A) Base RI'!AI106</f>
        <v>0</v>
      </c>
      <c r="AP106" s="10">
        <f>+'A) Base RI'!AJ106</f>
        <v>0</v>
      </c>
      <c r="AQ106" s="10">
        <f>+'A) Base RI'!AK106</f>
        <v>0</v>
      </c>
      <c r="AR106" s="10">
        <f>'A) Base RI'!AN106</f>
        <v>119</v>
      </c>
    </row>
    <row r="107" spans="1:44" x14ac:dyDescent="0.25">
      <c r="A107" s="8">
        <f>'A) Base RI'!A107</f>
        <v>5563</v>
      </c>
      <c r="B107" s="34" t="str">
        <f>'A) Base RI'!B107</f>
        <v>Mutrux</v>
      </c>
      <c r="C107" s="10">
        <f>'A) Base RI'!C107+'A) Base RI'!D107</f>
        <v>222078.18</v>
      </c>
      <c r="D107" s="10">
        <f>'A) Base RI'!AO107</f>
        <v>-58.14</v>
      </c>
      <c r="E107" s="33">
        <f>'A) Base RI'!AP107</f>
        <v>0</v>
      </c>
      <c r="F107" s="33">
        <f>'A) Base RI'!AQ107</f>
        <v>0</v>
      </c>
      <c r="G107" s="2">
        <f t="shared" si="6"/>
        <v>222020.03999999998</v>
      </c>
      <c r="H107" s="10">
        <f>+'A) Base RI'!E107</f>
        <v>0</v>
      </c>
      <c r="I107" s="10">
        <f>+'A) Base RI'!F107</f>
        <v>534</v>
      </c>
      <c r="J107" s="10">
        <f>+'A) Base RI'!G107+'A) Base RI'!H107</f>
        <v>821.25</v>
      </c>
      <c r="K107" s="10">
        <f>+'A) Base RI'!I107</f>
        <v>0</v>
      </c>
      <c r="L107" s="10">
        <f>+'A) Base RI'!J107</f>
        <v>332.06</v>
      </c>
      <c r="M107" s="10">
        <f>+'A) Base RI'!K107</f>
        <v>0</v>
      </c>
      <c r="N107" s="10">
        <f>+'A) Base RI'!Q107</f>
        <v>0</v>
      </c>
      <c r="O107" s="10">
        <f t="shared" si="7"/>
        <v>20665.95</v>
      </c>
      <c r="P107" s="10">
        <f>+'A) Base RI'!L107</f>
        <v>20665.95</v>
      </c>
      <c r="Q107" s="36">
        <f>'A) Base RI'!AR107</f>
        <v>1</v>
      </c>
      <c r="R107" s="2">
        <f t="shared" si="8"/>
        <v>244373.3</v>
      </c>
      <c r="S107" s="35">
        <f>+'A) Base RI'!AM107</f>
        <v>78.5</v>
      </c>
      <c r="T107" s="2">
        <f t="shared" si="9"/>
        <v>223173.34999999998</v>
      </c>
      <c r="U107" s="2">
        <f t="shared" si="10"/>
        <v>3113.0356687898088</v>
      </c>
      <c r="V107" s="10">
        <f>+'A) Base RI'!O107</f>
        <v>26.9</v>
      </c>
      <c r="W107" s="10">
        <f>+'A) Base RI'!P107</f>
        <v>11950.95</v>
      </c>
      <c r="X107" s="10">
        <f>+'A) Base RI'!R107</f>
        <v>265.14999999999998</v>
      </c>
      <c r="Y107" s="2">
        <f t="shared" si="11"/>
        <v>12243</v>
      </c>
      <c r="Z107" s="10">
        <f>+'A) Base RI'!N107</f>
        <v>0</v>
      </c>
      <c r="AA107" s="10">
        <f>+'A) Base RI'!S107+'A) Base RI'!T107</f>
        <v>200</v>
      </c>
      <c r="AB107" s="10">
        <f>+'A) Base RI'!U107</f>
        <v>681</v>
      </c>
      <c r="AC107" s="10">
        <f>+'A) Base RI'!V107</f>
        <v>0</v>
      </c>
      <c r="AD107" s="10">
        <f>+'A) Base RI'!W107</f>
        <v>0</v>
      </c>
      <c r="AE107" s="10">
        <f>+'A) Base RI'!Y107</f>
        <v>0</v>
      </c>
      <c r="AF107" s="10">
        <f>+'A) Base RI'!Z107</f>
        <v>0</v>
      </c>
      <c r="AG107" s="10">
        <f>+'A) Base RI'!AA107</f>
        <v>29888</v>
      </c>
      <c r="AH107" s="10">
        <f>+'A) Base RI'!AB107</f>
        <v>0</v>
      </c>
      <c r="AI107" s="10">
        <f>+'A) Base RI'!AC107</f>
        <v>11057</v>
      </c>
      <c r="AJ107" s="10">
        <f>+'A) Base RI'!AD107</f>
        <v>0</v>
      </c>
      <c r="AK107" s="10">
        <f>+'A) Base RI'!AE107</f>
        <v>0</v>
      </c>
      <c r="AL107" s="10">
        <f>+'A) Base RI'!AF107</f>
        <v>0</v>
      </c>
      <c r="AM107" s="10">
        <f>+'A) Base RI'!AG107</f>
        <v>0</v>
      </c>
      <c r="AN107" s="10">
        <f>+'A) Base RI'!AH107</f>
        <v>0</v>
      </c>
      <c r="AO107" s="10">
        <f>+'A) Base RI'!AI107</f>
        <v>0</v>
      </c>
      <c r="AP107" s="10">
        <f>+'A) Base RI'!AJ107</f>
        <v>0</v>
      </c>
      <c r="AQ107" s="10">
        <f>+'A) Base RI'!AK107</f>
        <v>0</v>
      </c>
      <c r="AR107" s="10">
        <f>'A) Base RI'!AN107</f>
        <v>163</v>
      </c>
    </row>
    <row r="108" spans="1:44" x14ac:dyDescent="0.25">
      <c r="A108" s="8">
        <f>'A) Base RI'!A108</f>
        <v>5564</v>
      </c>
      <c r="B108" s="34" t="str">
        <f>'A) Base RI'!B108</f>
        <v>Novalles</v>
      </c>
      <c r="C108" s="10">
        <f>'A) Base RI'!C108+'A) Base RI'!D108</f>
        <v>190608.76</v>
      </c>
      <c r="D108" s="10">
        <f>'A) Base RI'!AO108</f>
        <v>-3823.54</v>
      </c>
      <c r="E108" s="33">
        <f>'A) Base RI'!AP108</f>
        <v>0</v>
      </c>
      <c r="F108" s="33">
        <f>'A) Base RI'!AQ108</f>
        <v>-9.23</v>
      </c>
      <c r="G108" s="2">
        <f t="shared" si="6"/>
        <v>186775.99</v>
      </c>
      <c r="H108" s="10">
        <f>+'A) Base RI'!E108</f>
        <v>0</v>
      </c>
      <c r="I108" s="10">
        <f>+'A) Base RI'!F108</f>
        <v>0</v>
      </c>
      <c r="J108" s="10">
        <f>+'A) Base RI'!G108+'A) Base RI'!H108</f>
        <v>233.35</v>
      </c>
      <c r="K108" s="10">
        <f>+'A) Base RI'!I108</f>
        <v>0</v>
      </c>
      <c r="L108" s="10">
        <f>+'A) Base RI'!J108</f>
        <v>-235.32</v>
      </c>
      <c r="M108" s="10">
        <f>+'A) Base RI'!K108</f>
        <v>0</v>
      </c>
      <c r="N108" s="10">
        <f>+'A) Base RI'!Q108</f>
        <v>0</v>
      </c>
      <c r="O108" s="10">
        <f t="shared" si="7"/>
        <v>12862.1875</v>
      </c>
      <c r="P108" s="10">
        <f>+'A) Base RI'!L108</f>
        <v>10289.75</v>
      </c>
      <c r="Q108" s="36">
        <f>'A) Base RI'!AR108</f>
        <v>0.8</v>
      </c>
      <c r="R108" s="2">
        <f t="shared" si="8"/>
        <v>199636.20749999999</v>
      </c>
      <c r="S108" s="35">
        <f>+'A) Base RI'!AM108</f>
        <v>76</v>
      </c>
      <c r="T108" s="2">
        <f t="shared" si="9"/>
        <v>186774.02</v>
      </c>
      <c r="U108" s="2">
        <f t="shared" si="10"/>
        <v>2626.7922039473683</v>
      </c>
      <c r="V108" s="10">
        <f>+'A) Base RI'!O108</f>
        <v>0</v>
      </c>
      <c r="W108" s="10">
        <f>+'A) Base RI'!P108</f>
        <v>9361</v>
      </c>
      <c r="X108" s="10">
        <f>+'A) Base RI'!R108</f>
        <v>7491.2</v>
      </c>
      <c r="Y108" s="2">
        <f t="shared" si="11"/>
        <v>16852.2</v>
      </c>
      <c r="Z108" s="10">
        <f>+'A) Base RI'!N108</f>
        <v>0</v>
      </c>
      <c r="AA108" s="10">
        <f>+'A) Base RI'!S108+'A) Base RI'!T108</f>
        <v>200</v>
      </c>
      <c r="AB108" s="10">
        <f>+'A) Base RI'!U108</f>
        <v>200</v>
      </c>
      <c r="AC108" s="10">
        <f>+'A) Base RI'!V108</f>
        <v>0</v>
      </c>
      <c r="AD108" s="10">
        <f>+'A) Base RI'!W108</f>
        <v>0</v>
      </c>
      <c r="AE108" s="10">
        <f>+'A) Base RI'!Y108</f>
        <v>0</v>
      </c>
      <c r="AF108" s="10">
        <f>+'A) Base RI'!Z108</f>
        <v>0</v>
      </c>
      <c r="AG108" s="10">
        <f>+'A) Base RI'!AA108</f>
        <v>21745.85</v>
      </c>
      <c r="AH108" s="10">
        <f>+'A) Base RI'!AB108</f>
        <v>0</v>
      </c>
      <c r="AI108" s="10">
        <f>+'A) Base RI'!AC108</f>
        <v>11695.9</v>
      </c>
      <c r="AJ108" s="10">
        <f>+'A) Base RI'!AD108</f>
        <v>0</v>
      </c>
      <c r="AK108" s="10">
        <f>+'A) Base RI'!AE108</f>
        <v>0</v>
      </c>
      <c r="AL108" s="10">
        <f>+'A) Base RI'!AF108</f>
        <v>0</v>
      </c>
      <c r="AM108" s="10">
        <f>+'A) Base RI'!AG108</f>
        <v>0</v>
      </c>
      <c r="AN108" s="10">
        <f>+'A) Base RI'!AH108</f>
        <v>0</v>
      </c>
      <c r="AO108" s="10">
        <f>+'A) Base RI'!AI108</f>
        <v>0</v>
      </c>
      <c r="AP108" s="10">
        <f>+'A) Base RI'!AJ108</f>
        <v>0</v>
      </c>
      <c r="AQ108" s="10">
        <f>+'A) Base RI'!AK108</f>
        <v>0</v>
      </c>
      <c r="AR108" s="10">
        <f>'A) Base RI'!AN108</f>
        <v>101</v>
      </c>
    </row>
    <row r="109" spans="1:44" x14ac:dyDescent="0.25">
      <c r="A109" s="8">
        <f>'A) Base RI'!A109</f>
        <v>5565</v>
      </c>
      <c r="B109" s="34" t="str">
        <f>'A) Base RI'!B109</f>
        <v>Onnens</v>
      </c>
      <c r="C109" s="10">
        <f>'A) Base RI'!C109+'A) Base RI'!D109</f>
        <v>1012680.6599999999</v>
      </c>
      <c r="D109" s="10">
        <f>'A) Base RI'!AO109</f>
        <v>-5300.93</v>
      </c>
      <c r="E109" s="33">
        <f>'A) Base RI'!AP109</f>
        <v>0</v>
      </c>
      <c r="F109" s="33">
        <f>'A) Base RI'!AQ109</f>
        <v>-1131.3499999999999</v>
      </c>
      <c r="G109" s="2">
        <f t="shared" si="6"/>
        <v>1006248.3799999999</v>
      </c>
      <c r="H109" s="10">
        <f>+'A) Base RI'!E109</f>
        <v>0</v>
      </c>
      <c r="I109" s="10">
        <f>+'A) Base RI'!F109</f>
        <v>0</v>
      </c>
      <c r="J109" s="10">
        <f>+'A) Base RI'!G109+'A) Base RI'!H109</f>
        <v>104421.2</v>
      </c>
      <c r="K109" s="10">
        <f>+'A) Base RI'!I109</f>
        <v>0</v>
      </c>
      <c r="L109" s="10">
        <f>+'A) Base RI'!J109</f>
        <v>1925.84</v>
      </c>
      <c r="M109" s="10">
        <f>+'A) Base RI'!K109</f>
        <v>789.15</v>
      </c>
      <c r="N109" s="10">
        <f>+'A) Base RI'!Q109</f>
        <v>2138.75</v>
      </c>
      <c r="O109" s="10">
        <f t="shared" si="7"/>
        <v>120553.25</v>
      </c>
      <c r="P109" s="10">
        <f>+'A) Base RI'!L109</f>
        <v>120553.25</v>
      </c>
      <c r="Q109" s="36">
        <f>'A) Base RI'!AR109</f>
        <v>1</v>
      </c>
      <c r="R109" s="2">
        <f t="shared" si="8"/>
        <v>1236076.5699999998</v>
      </c>
      <c r="S109" s="35">
        <f>+'A) Base RI'!AM109</f>
        <v>65</v>
      </c>
      <c r="T109" s="2">
        <f t="shared" si="9"/>
        <v>1114734.17</v>
      </c>
      <c r="U109" s="2">
        <f t="shared" si="10"/>
        <v>19016.562615384613</v>
      </c>
      <c r="V109" s="10">
        <f>+'A) Base RI'!O109</f>
        <v>3481.8</v>
      </c>
      <c r="W109" s="10">
        <f>+'A) Base RI'!P109</f>
        <v>20231.849999999999</v>
      </c>
      <c r="X109" s="10">
        <f>+'A) Base RI'!R109</f>
        <v>56108.15</v>
      </c>
      <c r="Y109" s="2">
        <f t="shared" si="11"/>
        <v>79821.8</v>
      </c>
      <c r="Z109" s="10">
        <f>+'A) Base RI'!N109</f>
        <v>31110.9</v>
      </c>
      <c r="AA109" s="10">
        <f>+'A) Base RI'!S109+'A) Base RI'!T109</f>
        <v>0</v>
      </c>
      <c r="AB109" s="10">
        <f>+'A) Base RI'!U109</f>
        <v>2880</v>
      </c>
      <c r="AC109" s="10">
        <f>+'A) Base RI'!V109</f>
        <v>0</v>
      </c>
      <c r="AD109" s="10">
        <f>+'A) Base RI'!W109</f>
        <v>0</v>
      </c>
      <c r="AE109" s="10">
        <f>+'A) Base RI'!Y109</f>
        <v>0</v>
      </c>
      <c r="AF109" s="10">
        <f>+'A) Base RI'!Z109</f>
        <v>0</v>
      </c>
      <c r="AG109" s="10">
        <f>+'A) Base RI'!AA109</f>
        <v>101272.3</v>
      </c>
      <c r="AH109" s="10">
        <f>+'A) Base RI'!AB109</f>
        <v>0</v>
      </c>
      <c r="AI109" s="10">
        <f>+'A) Base RI'!AC109</f>
        <v>27704.9</v>
      </c>
      <c r="AJ109" s="10">
        <f>+'A) Base RI'!AD109</f>
        <v>0</v>
      </c>
      <c r="AK109" s="10">
        <f>+'A) Base RI'!AE109</f>
        <v>0</v>
      </c>
      <c r="AL109" s="10">
        <f>+'A) Base RI'!AF109</f>
        <v>0</v>
      </c>
      <c r="AM109" s="10">
        <f>+'A) Base RI'!AG109</f>
        <v>5027.1499999999996</v>
      </c>
      <c r="AN109" s="10">
        <f>+'A) Base RI'!AH109</f>
        <v>36992.75</v>
      </c>
      <c r="AO109" s="10">
        <f>+'A) Base RI'!AI109</f>
        <v>0</v>
      </c>
      <c r="AP109" s="10">
        <f>+'A) Base RI'!AJ109</f>
        <v>0</v>
      </c>
      <c r="AQ109" s="10">
        <f>+'A) Base RI'!AK109</f>
        <v>0</v>
      </c>
      <c r="AR109" s="10">
        <f>'A) Base RI'!AN109</f>
        <v>477</v>
      </c>
    </row>
    <row r="110" spans="1:44" x14ac:dyDescent="0.25">
      <c r="A110" s="8">
        <f>'A) Base RI'!A110</f>
        <v>5566</v>
      </c>
      <c r="B110" s="34" t="str">
        <f>'A) Base RI'!B110</f>
        <v>Provence</v>
      </c>
      <c r="C110" s="10">
        <f>'A) Base RI'!C110+'A) Base RI'!D110</f>
        <v>582054.14</v>
      </c>
      <c r="D110" s="10">
        <f>'A) Base RI'!AO110</f>
        <v>-8666.65</v>
      </c>
      <c r="E110" s="33">
        <f>'A) Base RI'!AP110</f>
        <v>0</v>
      </c>
      <c r="F110" s="33">
        <f>'A) Base RI'!AQ110</f>
        <v>0</v>
      </c>
      <c r="G110" s="2">
        <f t="shared" si="6"/>
        <v>573387.49</v>
      </c>
      <c r="H110" s="10">
        <f>+'A) Base RI'!E110</f>
        <v>0</v>
      </c>
      <c r="I110" s="10">
        <f>+'A) Base RI'!F110</f>
        <v>2640</v>
      </c>
      <c r="J110" s="10">
        <f>+'A) Base RI'!G110+'A) Base RI'!H110</f>
        <v>8305.5</v>
      </c>
      <c r="K110" s="10">
        <f>+'A) Base RI'!I110</f>
        <v>0</v>
      </c>
      <c r="L110" s="10">
        <f>+'A) Base RI'!J110</f>
        <v>9052.56</v>
      </c>
      <c r="M110" s="10">
        <f>+'A) Base RI'!K110</f>
        <v>-23.099999999999898</v>
      </c>
      <c r="N110" s="10">
        <f>+'A) Base RI'!Q110</f>
        <v>0</v>
      </c>
      <c r="O110" s="10">
        <f t="shared" si="7"/>
        <v>50149.733333333337</v>
      </c>
      <c r="P110" s="10">
        <f>+'A) Base RI'!L110</f>
        <v>75224.600000000006</v>
      </c>
      <c r="Q110" s="36">
        <f>'A) Base RI'!AR110</f>
        <v>1.5</v>
      </c>
      <c r="R110" s="2">
        <f t="shared" si="8"/>
        <v>643512.18333333335</v>
      </c>
      <c r="S110" s="35">
        <f>+'A) Base RI'!AM110</f>
        <v>81</v>
      </c>
      <c r="T110" s="2">
        <f t="shared" si="9"/>
        <v>590745.55000000005</v>
      </c>
      <c r="U110" s="2">
        <f t="shared" si="10"/>
        <v>7944.5948559670787</v>
      </c>
      <c r="V110" s="10">
        <f>+'A) Base RI'!O110</f>
        <v>1.7</v>
      </c>
      <c r="W110" s="10">
        <f>+'A) Base RI'!P110</f>
        <v>8915.7999999999993</v>
      </c>
      <c r="X110" s="10">
        <f>+'A) Base RI'!R110</f>
        <v>290.2</v>
      </c>
      <c r="Y110" s="2">
        <f t="shared" si="11"/>
        <v>9207.7000000000007</v>
      </c>
      <c r="Z110" s="10">
        <f>+'A) Base RI'!N110</f>
        <v>50657.7</v>
      </c>
      <c r="AA110" s="10">
        <f>+'A) Base RI'!S110+'A) Base RI'!T110</f>
        <v>1047.25</v>
      </c>
      <c r="AB110" s="10">
        <f>+'A) Base RI'!U110</f>
        <v>1755</v>
      </c>
      <c r="AC110" s="10">
        <f>+'A) Base RI'!V110</f>
        <v>0</v>
      </c>
      <c r="AD110" s="10">
        <f>+'A) Base RI'!W110</f>
        <v>0</v>
      </c>
      <c r="AE110" s="10">
        <f>+'A) Base RI'!Y110</f>
        <v>2998.55</v>
      </c>
      <c r="AF110" s="10">
        <f>+'A) Base RI'!Z110</f>
        <v>0</v>
      </c>
      <c r="AG110" s="10">
        <f>+'A) Base RI'!AA110</f>
        <v>58704.05</v>
      </c>
      <c r="AH110" s="10">
        <f>+'A) Base RI'!AB110</f>
        <v>0</v>
      </c>
      <c r="AI110" s="10">
        <f>+'A) Base RI'!AC110</f>
        <v>32596.91</v>
      </c>
      <c r="AJ110" s="10">
        <f>+'A) Base RI'!AD110</f>
        <v>2500</v>
      </c>
      <c r="AK110" s="10">
        <f>+'A) Base RI'!AE110</f>
        <v>0</v>
      </c>
      <c r="AL110" s="10">
        <f>+'A) Base RI'!AF110</f>
        <v>0</v>
      </c>
      <c r="AM110" s="10">
        <f>+'A) Base RI'!AG110</f>
        <v>0</v>
      </c>
      <c r="AN110" s="10">
        <f>+'A) Base RI'!AH110</f>
        <v>0</v>
      </c>
      <c r="AO110" s="10">
        <f>+'A) Base RI'!AI110</f>
        <v>0</v>
      </c>
      <c r="AP110" s="10">
        <f>+'A) Base RI'!AJ110</f>
        <v>0</v>
      </c>
      <c r="AQ110" s="10">
        <f>+'A) Base RI'!AK110</f>
        <v>0</v>
      </c>
      <c r="AR110" s="10">
        <f>'A) Base RI'!AN110</f>
        <v>388</v>
      </c>
    </row>
    <row r="111" spans="1:44" x14ac:dyDescent="0.25">
      <c r="A111" s="8">
        <f>'A) Base RI'!A111</f>
        <v>5568</v>
      </c>
      <c r="B111" s="34" t="str">
        <f>'A) Base RI'!B111</f>
        <v>Sainte-Croix</v>
      </c>
      <c r="C111" s="10">
        <f>'A) Base RI'!C111+'A) Base RI'!D111</f>
        <v>6231507.8399999999</v>
      </c>
      <c r="D111" s="10">
        <f>'A) Base RI'!AO111</f>
        <v>-274598.14</v>
      </c>
      <c r="E111" s="33">
        <f>'A) Base RI'!AP111</f>
        <v>0</v>
      </c>
      <c r="F111" s="33">
        <f>'A) Base RI'!AQ111</f>
        <v>-192.32</v>
      </c>
      <c r="G111" s="2">
        <f t="shared" si="6"/>
        <v>5956717.3799999999</v>
      </c>
      <c r="H111" s="10">
        <f>+'A) Base RI'!E111</f>
        <v>0</v>
      </c>
      <c r="I111" s="10">
        <f>+'A) Base RI'!F111</f>
        <v>0</v>
      </c>
      <c r="J111" s="10">
        <f>+'A) Base RI'!G111+'A) Base RI'!H111</f>
        <v>269836.55</v>
      </c>
      <c r="K111" s="10">
        <f>+'A) Base RI'!I111</f>
        <v>20500.55</v>
      </c>
      <c r="L111" s="10">
        <f>+'A) Base RI'!J111</f>
        <v>192599.97</v>
      </c>
      <c r="M111" s="10">
        <f>+'A) Base RI'!K111</f>
        <v>26904.6</v>
      </c>
      <c r="N111" s="10">
        <f>+'A) Base RI'!Q111</f>
        <v>25893.38</v>
      </c>
      <c r="O111" s="10">
        <f t="shared" si="7"/>
        <v>562788.85</v>
      </c>
      <c r="P111" s="10">
        <f>+'A) Base RI'!L111</f>
        <v>562788.85</v>
      </c>
      <c r="Q111" s="36">
        <f>'A) Base RI'!AR111</f>
        <v>1</v>
      </c>
      <c r="R111" s="2">
        <f t="shared" si="8"/>
        <v>7055241.2799999984</v>
      </c>
      <c r="S111" s="35">
        <f>+'A) Base RI'!AM111</f>
        <v>70</v>
      </c>
      <c r="T111" s="2">
        <f t="shared" si="9"/>
        <v>6465547.8299999991</v>
      </c>
      <c r="U111" s="2">
        <f t="shared" si="10"/>
        <v>100789.16114285712</v>
      </c>
      <c r="V111" s="10">
        <f>+'A) Base RI'!O111</f>
        <v>258421.5</v>
      </c>
      <c r="W111" s="10">
        <f>+'A) Base RI'!P111</f>
        <v>366778.65</v>
      </c>
      <c r="X111" s="10">
        <f>+'A) Base RI'!R111</f>
        <v>191597.4</v>
      </c>
      <c r="Y111" s="2">
        <f t="shared" si="11"/>
        <v>816797.55</v>
      </c>
      <c r="Z111" s="10">
        <f>+'A) Base RI'!N111</f>
        <v>1743574.2</v>
      </c>
      <c r="AA111" s="10">
        <f>+'A) Base RI'!S111+'A) Base RI'!T111</f>
        <v>24226.85</v>
      </c>
      <c r="AB111" s="10">
        <f>+'A) Base RI'!U111</f>
        <v>20962.5</v>
      </c>
      <c r="AC111" s="10">
        <f>+'A) Base RI'!V111</f>
        <v>0</v>
      </c>
      <c r="AD111" s="10">
        <f>+'A) Base RI'!W111</f>
        <v>945</v>
      </c>
      <c r="AE111" s="10">
        <f>+'A) Base RI'!Y111</f>
        <v>10881.05</v>
      </c>
      <c r="AF111" s="10">
        <f>+'A) Base RI'!Z111</f>
        <v>0</v>
      </c>
      <c r="AG111" s="10">
        <f>+'A) Base RI'!AA111</f>
        <v>1426279.75</v>
      </c>
      <c r="AH111" s="10">
        <f>+'A) Base RI'!AB111</f>
        <v>0</v>
      </c>
      <c r="AI111" s="10">
        <f>+'A) Base RI'!AC111</f>
        <v>835657.49</v>
      </c>
      <c r="AJ111" s="10">
        <f>+'A) Base RI'!AD111</f>
        <v>45300.3</v>
      </c>
      <c r="AK111" s="10">
        <f>+'A) Base RI'!AE111</f>
        <v>0</v>
      </c>
      <c r="AL111" s="10">
        <f>+'A) Base RI'!AF111</f>
        <v>0</v>
      </c>
      <c r="AM111" s="10">
        <f>+'A) Base RI'!AG111</f>
        <v>47445.95</v>
      </c>
      <c r="AN111" s="10">
        <f>+'A) Base RI'!AH111</f>
        <v>0</v>
      </c>
      <c r="AO111" s="10">
        <f>+'A) Base RI'!AI111</f>
        <v>0</v>
      </c>
      <c r="AP111" s="10">
        <f>+'A) Base RI'!AJ111</f>
        <v>96994.65</v>
      </c>
      <c r="AQ111" s="10">
        <f>+'A) Base RI'!AK111</f>
        <v>0</v>
      </c>
      <c r="AR111" s="10">
        <f>'A) Base RI'!AN111</f>
        <v>4919</v>
      </c>
    </row>
    <row r="112" spans="1:44" x14ac:dyDescent="0.25">
      <c r="A112" s="8">
        <f>'A) Base RI'!A112</f>
        <v>5571</v>
      </c>
      <c r="B112" s="34" t="str">
        <f>'A) Base RI'!B112</f>
        <v>Tévenon</v>
      </c>
      <c r="C112" s="10">
        <f>'A) Base RI'!C112+'A) Base RI'!D112</f>
        <v>1379561.8099999998</v>
      </c>
      <c r="D112" s="10">
        <f>'A) Base RI'!AO112</f>
        <v>-5991.38</v>
      </c>
      <c r="E112" s="33">
        <f>'A) Base RI'!AP112</f>
        <v>0</v>
      </c>
      <c r="F112" s="33">
        <f>'A) Base RI'!AQ112</f>
        <v>-12.32</v>
      </c>
      <c r="G112" s="2">
        <f t="shared" si="6"/>
        <v>1373558.1099999999</v>
      </c>
      <c r="H112" s="10">
        <f>+'A) Base RI'!E112</f>
        <v>0</v>
      </c>
      <c r="I112" s="10">
        <f>+'A) Base RI'!F112</f>
        <v>0</v>
      </c>
      <c r="J112" s="10">
        <f>+'A) Base RI'!G112+'A) Base RI'!H112</f>
        <v>5980.9000000000005</v>
      </c>
      <c r="K112" s="10">
        <f>+'A) Base RI'!I112</f>
        <v>0</v>
      </c>
      <c r="L112" s="10">
        <f>+'A) Base RI'!J112</f>
        <v>26791.5</v>
      </c>
      <c r="M112" s="10">
        <f>+'A) Base RI'!K112</f>
        <v>5592.2</v>
      </c>
      <c r="N112" s="10">
        <f>+'A) Base RI'!Q112</f>
        <v>178</v>
      </c>
      <c r="O112" s="10">
        <f t="shared" si="7"/>
        <v>146865.875</v>
      </c>
      <c r="P112" s="10">
        <f>+'A) Base RI'!L112</f>
        <v>176239.05</v>
      </c>
      <c r="Q112" s="36">
        <f>'A) Base RI'!AR112</f>
        <v>1.2</v>
      </c>
      <c r="R112" s="2">
        <f t="shared" si="8"/>
        <v>1558966.5849999997</v>
      </c>
      <c r="S112" s="35">
        <f>+'A) Base RI'!AM112</f>
        <v>73</v>
      </c>
      <c r="T112" s="2">
        <f t="shared" si="9"/>
        <v>1406508.5099999998</v>
      </c>
      <c r="U112" s="2">
        <f t="shared" si="10"/>
        <v>21355.706643835612</v>
      </c>
      <c r="V112" s="10">
        <f>+'A) Base RI'!O112</f>
        <v>19082.3</v>
      </c>
      <c r="W112" s="10">
        <f>+'A) Base RI'!P112</f>
        <v>55632.45</v>
      </c>
      <c r="X112" s="10">
        <f>+'A) Base RI'!R112</f>
        <v>7670.85</v>
      </c>
      <c r="Y112" s="2">
        <f t="shared" si="11"/>
        <v>82385.600000000006</v>
      </c>
      <c r="Z112" s="10">
        <f>+'A) Base RI'!N112</f>
        <v>63422.35</v>
      </c>
      <c r="AA112" s="10">
        <f>+'A) Base RI'!S112+'A) Base RI'!T112</f>
        <v>297.25</v>
      </c>
      <c r="AB112" s="10">
        <f>+'A) Base RI'!U112</f>
        <v>10100</v>
      </c>
      <c r="AC112" s="10">
        <f>+'A) Base RI'!V112</f>
        <v>0</v>
      </c>
      <c r="AD112" s="10">
        <f>+'A) Base RI'!W112</f>
        <v>0</v>
      </c>
      <c r="AE112" s="10">
        <f>+'A) Base RI'!Y112</f>
        <v>20535</v>
      </c>
      <c r="AF112" s="10">
        <f>+'A) Base RI'!Z112</f>
        <v>0</v>
      </c>
      <c r="AG112" s="10">
        <f>+'A) Base RI'!AA112</f>
        <v>103780.75</v>
      </c>
      <c r="AH112" s="10">
        <f>+'A) Base RI'!AB112</f>
        <v>21582.639999999999</v>
      </c>
      <c r="AI112" s="10">
        <f>+'A) Base RI'!AC112</f>
        <v>22416</v>
      </c>
      <c r="AJ112" s="10">
        <f>+'A) Base RI'!AD112</f>
        <v>34125</v>
      </c>
      <c r="AK112" s="10">
        <f>+'A) Base RI'!AE112</f>
        <v>0</v>
      </c>
      <c r="AL112" s="10">
        <f>+'A) Base RI'!AF112</f>
        <v>0</v>
      </c>
      <c r="AM112" s="10">
        <f>+'A) Base RI'!AG112</f>
        <v>13939</v>
      </c>
      <c r="AN112" s="10">
        <f>+'A) Base RI'!AH112</f>
        <v>26788.35</v>
      </c>
      <c r="AO112" s="10">
        <f>+'A) Base RI'!AI112</f>
        <v>0</v>
      </c>
      <c r="AP112" s="10">
        <f>+'A) Base RI'!AJ112</f>
        <v>0</v>
      </c>
      <c r="AQ112" s="10">
        <f>+'A) Base RI'!AK112</f>
        <v>0</v>
      </c>
      <c r="AR112" s="10">
        <f>'A) Base RI'!AN112</f>
        <v>843</v>
      </c>
    </row>
    <row r="113" spans="1:44" x14ac:dyDescent="0.25">
      <c r="A113" s="8">
        <f>'A) Base RI'!A113</f>
        <v>5581</v>
      </c>
      <c r="B113" s="34" t="str">
        <f>'A) Base RI'!B113</f>
        <v>Belmont-sur-Lausanne</v>
      </c>
      <c r="C113" s="10">
        <f>'A) Base RI'!C113+'A) Base RI'!D113</f>
        <v>12224611.530000001</v>
      </c>
      <c r="D113" s="10">
        <f>'A) Base RI'!AO113</f>
        <v>-103362.51</v>
      </c>
      <c r="E113" s="33">
        <f>'A) Base RI'!AP113</f>
        <v>0</v>
      </c>
      <c r="F113" s="33">
        <f>'A) Base RI'!AQ113</f>
        <v>-6240.87</v>
      </c>
      <c r="G113" s="2">
        <f t="shared" si="6"/>
        <v>12115008.150000002</v>
      </c>
      <c r="H113" s="10">
        <f>+'A) Base RI'!E113</f>
        <v>0</v>
      </c>
      <c r="I113" s="10">
        <f>+'A) Base RI'!F113</f>
        <v>0</v>
      </c>
      <c r="J113" s="10">
        <f>+'A) Base RI'!G113+'A) Base RI'!H113</f>
        <v>152487.54999999999</v>
      </c>
      <c r="K113" s="10">
        <f>+'A) Base RI'!I113</f>
        <v>45845.8</v>
      </c>
      <c r="L113" s="10">
        <f>+'A) Base RI'!J113</f>
        <v>230574.48</v>
      </c>
      <c r="M113" s="10">
        <f>+'A) Base RI'!K113</f>
        <v>15263.3</v>
      </c>
      <c r="N113" s="10">
        <f>+'A) Base RI'!Q113</f>
        <v>6150.02</v>
      </c>
      <c r="O113" s="10">
        <f t="shared" si="7"/>
        <v>834160.56666666677</v>
      </c>
      <c r="P113" s="10">
        <f>+'A) Base RI'!L113</f>
        <v>1251240.8500000001</v>
      </c>
      <c r="Q113" s="36">
        <f>'A) Base RI'!AR113</f>
        <v>1.5</v>
      </c>
      <c r="R113" s="2">
        <f t="shared" si="8"/>
        <v>13399489.866666671</v>
      </c>
      <c r="S113" s="35">
        <f>+'A) Base RI'!AM113</f>
        <v>69.5</v>
      </c>
      <c r="T113" s="2">
        <f t="shared" si="9"/>
        <v>12550066.000000004</v>
      </c>
      <c r="U113" s="2">
        <f t="shared" si="10"/>
        <v>192798.41534772189</v>
      </c>
      <c r="V113" s="10">
        <f>+'A) Base RI'!O113</f>
        <v>284598.40000000002</v>
      </c>
      <c r="W113" s="10">
        <f>+'A) Base RI'!P113</f>
        <v>451188.45</v>
      </c>
      <c r="X113" s="10">
        <f>+'A) Base RI'!R113</f>
        <v>272878.59999999998</v>
      </c>
      <c r="Y113" s="2">
        <f t="shared" si="11"/>
        <v>1008665.4500000001</v>
      </c>
      <c r="Z113" s="10">
        <f>+'A) Base RI'!N113</f>
        <v>1995.25</v>
      </c>
      <c r="AA113" s="10">
        <f>+'A) Base RI'!S113+'A) Base RI'!T113</f>
        <v>0</v>
      </c>
      <c r="AB113" s="10">
        <f>+'A) Base RI'!U113</f>
        <v>34970</v>
      </c>
      <c r="AC113" s="10">
        <f>+'A) Base RI'!V113</f>
        <v>0</v>
      </c>
      <c r="AD113" s="10">
        <f>+'A) Base RI'!W113</f>
        <v>0</v>
      </c>
      <c r="AE113" s="10">
        <f>+'A) Base RI'!Y113</f>
        <v>355465.52</v>
      </c>
      <c r="AF113" s="10">
        <f>+'A) Base RI'!Z113</f>
        <v>0</v>
      </c>
      <c r="AG113" s="10">
        <f>+'A) Base RI'!AA113</f>
        <v>938081.37</v>
      </c>
      <c r="AH113" s="10">
        <f>+'A) Base RI'!AB113</f>
        <v>0</v>
      </c>
      <c r="AI113" s="10">
        <f>+'A) Base RI'!AC113</f>
        <v>533351.93999999994</v>
      </c>
      <c r="AJ113" s="10">
        <f>+'A) Base RI'!AD113</f>
        <v>175787.99</v>
      </c>
      <c r="AK113" s="10">
        <f>+'A) Base RI'!AE113</f>
        <v>0</v>
      </c>
      <c r="AL113" s="10">
        <f>+'A) Base RI'!AF113</f>
        <v>0</v>
      </c>
      <c r="AM113" s="10">
        <f>+'A) Base RI'!AG113</f>
        <v>10432.799999999999</v>
      </c>
      <c r="AN113" s="10">
        <f>+'A) Base RI'!AH113</f>
        <v>0</v>
      </c>
      <c r="AO113" s="10">
        <f>+'A) Base RI'!AI113</f>
        <v>75090.8</v>
      </c>
      <c r="AP113" s="10">
        <f>+'A) Base RI'!AJ113</f>
        <v>0</v>
      </c>
      <c r="AQ113" s="10">
        <f>+'A) Base RI'!AK113</f>
        <v>0</v>
      </c>
      <c r="AR113" s="10">
        <f>'A) Base RI'!AN113</f>
        <v>3662</v>
      </c>
    </row>
    <row r="114" spans="1:44" x14ac:dyDescent="0.25">
      <c r="A114" s="8">
        <f>'A) Base RI'!A114</f>
        <v>5582</v>
      </c>
      <c r="B114" s="34" t="str">
        <f>'A) Base RI'!B114</f>
        <v>Cheseaux-sur-Lausanne</v>
      </c>
      <c r="C114" s="10">
        <f>'A) Base RI'!C114+'A) Base RI'!D114</f>
        <v>11272456.5</v>
      </c>
      <c r="D114" s="10">
        <f>'A) Base RI'!AO114</f>
        <v>-180259.86</v>
      </c>
      <c r="E114" s="33">
        <f>'A) Base RI'!AP114</f>
        <v>0</v>
      </c>
      <c r="F114" s="33">
        <f>'A) Base RI'!AQ114</f>
        <v>-21557.85</v>
      </c>
      <c r="G114" s="2">
        <f t="shared" si="6"/>
        <v>11070638.790000001</v>
      </c>
      <c r="H114" s="10">
        <f>+'A) Base RI'!E114</f>
        <v>0</v>
      </c>
      <c r="I114" s="10">
        <f>+'A) Base RI'!F114</f>
        <v>0</v>
      </c>
      <c r="J114" s="10">
        <f>+'A) Base RI'!G114+'A) Base RI'!H114</f>
        <v>1210458.6499999999</v>
      </c>
      <c r="K114" s="10">
        <f>+'A) Base RI'!I114</f>
        <v>6112.4</v>
      </c>
      <c r="L114" s="10">
        <f>+'A) Base RI'!J114</f>
        <v>306180.03999999998</v>
      </c>
      <c r="M114" s="10">
        <f>+'A) Base RI'!K114</f>
        <v>56605</v>
      </c>
      <c r="N114" s="10">
        <f>+'A) Base RI'!Q114</f>
        <v>39020.6</v>
      </c>
      <c r="O114" s="10">
        <f t="shared" si="7"/>
        <v>806348.25</v>
      </c>
      <c r="P114" s="10">
        <f>+'A) Base RI'!L114</f>
        <v>806348.25</v>
      </c>
      <c r="Q114" s="36">
        <f>'A) Base RI'!AR114</f>
        <v>1</v>
      </c>
      <c r="R114" s="2">
        <f t="shared" si="8"/>
        <v>13495363.73</v>
      </c>
      <c r="S114" s="35">
        <f>+'A) Base RI'!AM114</f>
        <v>74.5</v>
      </c>
      <c r="T114" s="2">
        <f t="shared" si="9"/>
        <v>12632410.48</v>
      </c>
      <c r="U114" s="2">
        <f t="shared" si="10"/>
        <v>181145.82187919464</v>
      </c>
      <c r="V114" s="10">
        <f>+'A) Base RI'!O114</f>
        <v>28288.75</v>
      </c>
      <c r="W114" s="10">
        <f>+'A) Base RI'!P114</f>
        <v>86737.5</v>
      </c>
      <c r="X114" s="10">
        <f>+'A) Base RI'!R114</f>
        <v>68341.649999999994</v>
      </c>
      <c r="Y114" s="2">
        <f t="shared" si="11"/>
        <v>183367.9</v>
      </c>
      <c r="Z114" s="10">
        <f>+'A) Base RI'!N114</f>
        <v>427863.35</v>
      </c>
      <c r="AA114" s="10">
        <f>+'A) Base RI'!S114+'A) Base RI'!T114</f>
        <v>8159.75</v>
      </c>
      <c r="AB114" s="10">
        <f>+'A) Base RI'!U114</f>
        <v>18800</v>
      </c>
      <c r="AC114" s="10">
        <f>+'A) Base RI'!V114</f>
        <v>0</v>
      </c>
      <c r="AD114" s="10">
        <f>+'A) Base RI'!W114</f>
        <v>0</v>
      </c>
      <c r="AE114" s="10">
        <f>+'A) Base RI'!Y114</f>
        <v>0</v>
      </c>
      <c r="AF114" s="10">
        <f>+'A) Base RI'!Z114</f>
        <v>0</v>
      </c>
      <c r="AG114" s="10">
        <f>+'A) Base RI'!AA114</f>
        <v>668904.25</v>
      </c>
      <c r="AH114" s="10">
        <f>+'A) Base RI'!AB114</f>
        <v>0</v>
      </c>
      <c r="AI114" s="10">
        <f>+'A) Base RI'!AC114</f>
        <v>485361</v>
      </c>
      <c r="AJ114" s="10">
        <f>+'A) Base RI'!AD114</f>
        <v>0</v>
      </c>
      <c r="AK114" s="10">
        <f>+'A) Base RI'!AE114</f>
        <v>0</v>
      </c>
      <c r="AL114" s="10">
        <f>+'A) Base RI'!AF114</f>
        <v>0</v>
      </c>
      <c r="AM114" s="10">
        <f>+'A) Base RI'!AG114</f>
        <v>0</v>
      </c>
      <c r="AN114" s="10">
        <f>+'A) Base RI'!AH114</f>
        <v>205420.65</v>
      </c>
      <c r="AO114" s="10">
        <f>+'A) Base RI'!AI114</f>
        <v>0</v>
      </c>
      <c r="AP114" s="10">
        <f>+'A) Base RI'!AJ114</f>
        <v>0</v>
      </c>
      <c r="AQ114" s="10">
        <f>+'A) Base RI'!AK114</f>
        <v>0</v>
      </c>
      <c r="AR114" s="10">
        <f>'A) Base RI'!AN114</f>
        <v>4357</v>
      </c>
    </row>
    <row r="115" spans="1:44" x14ac:dyDescent="0.25">
      <c r="A115" s="8">
        <f>'A) Base RI'!A115</f>
        <v>5583</v>
      </c>
      <c r="B115" s="34" t="str">
        <f>'A) Base RI'!B115</f>
        <v>Crissier</v>
      </c>
      <c r="C115" s="10">
        <f>'A) Base RI'!C115+'A) Base RI'!D115</f>
        <v>12837803</v>
      </c>
      <c r="D115" s="10">
        <f>'A) Base RI'!AO115</f>
        <v>-211215.1</v>
      </c>
      <c r="E115" s="33">
        <f>'A) Base RI'!AP115</f>
        <v>0</v>
      </c>
      <c r="F115" s="33">
        <f>'A) Base RI'!AQ115</f>
        <v>-892.31</v>
      </c>
      <c r="G115" s="2">
        <f t="shared" si="6"/>
        <v>12625695.59</v>
      </c>
      <c r="H115" s="10">
        <f>+'A) Base RI'!E115</f>
        <v>0</v>
      </c>
      <c r="I115" s="10">
        <f>+'A) Base RI'!F115</f>
        <v>0</v>
      </c>
      <c r="J115" s="10">
        <f>+'A) Base RI'!G115+'A) Base RI'!H115</f>
        <v>4423182.8</v>
      </c>
      <c r="K115" s="10">
        <f>+'A) Base RI'!I115</f>
        <v>0</v>
      </c>
      <c r="L115" s="10">
        <f>+'A) Base RI'!J115</f>
        <v>959554.86</v>
      </c>
      <c r="M115" s="10">
        <f>+'A) Base RI'!K115</f>
        <v>251936.15</v>
      </c>
      <c r="N115" s="10">
        <f>+'A) Base RI'!Q115</f>
        <v>45886.8</v>
      </c>
      <c r="O115" s="10">
        <f t="shared" si="7"/>
        <v>2220672.4</v>
      </c>
      <c r="P115" s="10">
        <f>+'A) Base RI'!L115</f>
        <v>2220672.4</v>
      </c>
      <c r="Q115" s="36">
        <f>'A) Base RI'!AR115</f>
        <v>1</v>
      </c>
      <c r="R115" s="2">
        <f t="shared" si="8"/>
        <v>20526928.599999998</v>
      </c>
      <c r="S115" s="35">
        <f>+'A) Base RI'!AM115</f>
        <v>65</v>
      </c>
      <c r="T115" s="2">
        <f t="shared" si="9"/>
        <v>18054320.050000001</v>
      </c>
      <c r="U115" s="2">
        <f t="shared" si="10"/>
        <v>315798.9015384615</v>
      </c>
      <c r="V115" s="10">
        <f>+'A) Base RI'!O115</f>
        <v>232239.5</v>
      </c>
      <c r="W115" s="10">
        <f>+'A) Base RI'!P115</f>
        <v>588448.1</v>
      </c>
      <c r="X115" s="10">
        <f>+'A) Base RI'!R115</f>
        <v>265995.95</v>
      </c>
      <c r="Y115" s="2">
        <f t="shared" si="11"/>
        <v>1086683.55</v>
      </c>
      <c r="Z115" s="10">
        <f>+'A) Base RI'!N115</f>
        <v>1504095.45</v>
      </c>
      <c r="AA115" s="10">
        <f>+'A) Base RI'!S115+'A) Base RI'!T115</f>
        <v>0</v>
      </c>
      <c r="AB115" s="10">
        <f>+'A) Base RI'!U115</f>
        <v>44400</v>
      </c>
      <c r="AC115" s="10">
        <f>+'A) Base RI'!V115</f>
        <v>1050</v>
      </c>
      <c r="AD115" s="10">
        <f>+'A) Base RI'!W115</f>
        <v>156117.25</v>
      </c>
      <c r="AE115" s="10">
        <f>+'A) Base RI'!Y115</f>
        <v>0</v>
      </c>
      <c r="AF115" s="10">
        <f>+'A) Base RI'!Z115</f>
        <v>0</v>
      </c>
      <c r="AG115" s="10">
        <f>+'A) Base RI'!AA115</f>
        <v>1612115.6</v>
      </c>
      <c r="AH115" s="10">
        <f>+'A) Base RI'!AB115</f>
        <v>0</v>
      </c>
      <c r="AI115" s="10">
        <f>+'A) Base RI'!AC115</f>
        <v>957304.2</v>
      </c>
      <c r="AJ115" s="10">
        <f>+'A) Base RI'!AD115</f>
        <v>978017.15</v>
      </c>
      <c r="AK115" s="10">
        <f>+'A) Base RI'!AE115</f>
        <v>60006.8</v>
      </c>
      <c r="AL115" s="10">
        <f>+'A) Base RI'!AF115</f>
        <v>407.75</v>
      </c>
      <c r="AM115" s="10">
        <f>+'A) Base RI'!AG115</f>
        <v>242155.2</v>
      </c>
      <c r="AN115" s="10">
        <f>+'A) Base RI'!AH115</f>
        <v>551974.80000000005</v>
      </c>
      <c r="AO115" s="10">
        <f>+'A) Base RI'!AI115</f>
        <v>0</v>
      </c>
      <c r="AP115" s="10">
        <f>+'A) Base RI'!AJ115</f>
        <v>82315</v>
      </c>
      <c r="AQ115" s="10">
        <f>+'A) Base RI'!AK115</f>
        <v>0</v>
      </c>
      <c r="AR115" s="10">
        <f>'A) Base RI'!AN115</f>
        <v>8008</v>
      </c>
    </row>
    <row r="116" spans="1:44" x14ac:dyDescent="0.25">
      <c r="A116" s="8">
        <f>'A) Base RI'!A116</f>
        <v>5584</v>
      </c>
      <c r="B116" s="34" t="str">
        <f>'A) Base RI'!B116</f>
        <v>Epalinges</v>
      </c>
      <c r="C116" s="10">
        <f>'A) Base RI'!C116+'A) Base RI'!D116</f>
        <v>24403244.670000002</v>
      </c>
      <c r="D116" s="10">
        <f>'A) Base RI'!AO116</f>
        <v>-191928.64</v>
      </c>
      <c r="E116" s="33">
        <f>'A) Base RI'!AP116</f>
        <v>0</v>
      </c>
      <c r="F116" s="33">
        <f>'A) Base RI'!AQ116</f>
        <v>-11614.33</v>
      </c>
      <c r="G116" s="2">
        <f t="shared" si="6"/>
        <v>24199701.700000003</v>
      </c>
      <c r="H116" s="10">
        <f>+'A) Base RI'!E116</f>
        <v>0</v>
      </c>
      <c r="I116" s="10">
        <f>+'A) Base RI'!F116</f>
        <v>0</v>
      </c>
      <c r="J116" s="10">
        <f>+'A) Base RI'!G116+'A) Base RI'!H116</f>
        <v>43151.950000000012</v>
      </c>
      <c r="K116" s="10">
        <f>+'A) Base RI'!I116</f>
        <v>449775.83</v>
      </c>
      <c r="L116" s="10">
        <f>+'A) Base RI'!J116</f>
        <v>964780.37</v>
      </c>
      <c r="M116" s="10">
        <f>+'A) Base RI'!K116</f>
        <v>194772.65</v>
      </c>
      <c r="N116" s="10">
        <f>+'A) Base RI'!Q116</f>
        <v>71983.72</v>
      </c>
      <c r="O116" s="10">
        <f t="shared" si="7"/>
        <v>2086777.35</v>
      </c>
      <c r="P116" s="10">
        <f>+'A) Base RI'!L116</f>
        <v>2086777.35</v>
      </c>
      <c r="Q116" s="36">
        <f>'A) Base RI'!AR116</f>
        <v>1</v>
      </c>
      <c r="R116" s="2">
        <f t="shared" si="8"/>
        <v>28010943.57</v>
      </c>
      <c r="S116" s="35">
        <f>+'A) Base RI'!AM116</f>
        <v>66</v>
      </c>
      <c r="T116" s="2">
        <f t="shared" si="9"/>
        <v>25729393.57</v>
      </c>
      <c r="U116" s="2">
        <f t="shared" si="10"/>
        <v>424408.2359090909</v>
      </c>
      <c r="V116" s="10">
        <f>+'A) Base RI'!O116</f>
        <v>1157192.7</v>
      </c>
      <c r="W116" s="10">
        <f>+'A) Base RI'!P116</f>
        <v>1047265.6</v>
      </c>
      <c r="X116" s="10">
        <f>+'A) Base RI'!R116</f>
        <v>579238.80000000005</v>
      </c>
      <c r="Y116" s="2">
        <f t="shared" si="11"/>
        <v>2783697.0999999996</v>
      </c>
      <c r="Z116" s="10">
        <f>+'A) Base RI'!N116</f>
        <v>219156.75</v>
      </c>
      <c r="AA116" s="10">
        <f>+'A) Base RI'!S116+'A) Base RI'!T116</f>
        <v>34762.35</v>
      </c>
      <c r="AB116" s="10">
        <f>+'A) Base RI'!U116</f>
        <v>34800</v>
      </c>
      <c r="AC116" s="10">
        <f>+'A) Base RI'!V116</f>
        <v>330.85</v>
      </c>
      <c r="AD116" s="10">
        <f>+'A) Base RI'!W116</f>
        <v>0</v>
      </c>
      <c r="AE116" s="10">
        <f>+'A) Base RI'!Y116</f>
        <v>1068011.72</v>
      </c>
      <c r="AF116" s="10">
        <f>+'A) Base RI'!Z116</f>
        <v>0</v>
      </c>
      <c r="AG116" s="10">
        <f>+'A) Base RI'!AA116</f>
        <v>513549.91</v>
      </c>
      <c r="AH116" s="10">
        <f>+'A) Base RI'!AB116</f>
        <v>0</v>
      </c>
      <c r="AI116" s="10">
        <f>+'A) Base RI'!AC116</f>
        <v>717836.93</v>
      </c>
      <c r="AJ116" s="10">
        <f>+'A) Base RI'!AD116</f>
        <v>0</v>
      </c>
      <c r="AK116" s="10">
        <f>+'A) Base RI'!AE116</f>
        <v>0</v>
      </c>
      <c r="AL116" s="10">
        <f>+'A) Base RI'!AF116</f>
        <v>0</v>
      </c>
      <c r="AM116" s="10">
        <f>+'A) Base RI'!AG116</f>
        <v>0</v>
      </c>
      <c r="AN116" s="10">
        <f>+'A) Base RI'!AH116</f>
        <v>272937.83</v>
      </c>
      <c r="AO116" s="10">
        <f>+'A) Base RI'!AI116</f>
        <v>0</v>
      </c>
      <c r="AP116" s="10">
        <f>+'A) Base RI'!AJ116</f>
        <v>0</v>
      </c>
      <c r="AQ116" s="10">
        <f>+'A) Base RI'!AK116</f>
        <v>0</v>
      </c>
      <c r="AR116" s="10">
        <f>'A) Base RI'!AN116</f>
        <v>9335</v>
      </c>
    </row>
    <row r="117" spans="1:44" x14ac:dyDescent="0.25">
      <c r="A117" s="8">
        <f>'A) Base RI'!A117</f>
        <v>5585</v>
      </c>
      <c r="B117" s="34" t="str">
        <f>'A) Base RI'!B117</f>
        <v>Jouxtens-Mézery</v>
      </c>
      <c r="C117" s="10">
        <f>'A) Base RI'!C117+'A) Base RI'!D117</f>
        <v>8320780.7799999993</v>
      </c>
      <c r="D117" s="10">
        <f>'A) Base RI'!AO117</f>
        <v>-13719.95</v>
      </c>
      <c r="E117" s="33">
        <f>'A) Base RI'!AP117</f>
        <v>0</v>
      </c>
      <c r="F117" s="33">
        <f>'A) Base RI'!AQ117</f>
        <v>-6109.11</v>
      </c>
      <c r="G117" s="2">
        <f t="shared" si="6"/>
        <v>8300951.7199999988</v>
      </c>
      <c r="H117" s="10">
        <f>+'A) Base RI'!E117</f>
        <v>0</v>
      </c>
      <c r="I117" s="10">
        <f>+'A) Base RI'!F117</f>
        <v>0</v>
      </c>
      <c r="J117" s="10">
        <f>+'A) Base RI'!G117+'A) Base RI'!H117</f>
        <v>24104.5</v>
      </c>
      <c r="K117" s="10">
        <f>+'A) Base RI'!I117</f>
        <v>191139.55</v>
      </c>
      <c r="L117" s="10">
        <f>+'A) Base RI'!J117</f>
        <v>105622.14</v>
      </c>
      <c r="M117" s="10">
        <f>+'A) Base RI'!K117</f>
        <v>8759.75</v>
      </c>
      <c r="N117" s="10">
        <f>+'A) Base RI'!Q117</f>
        <v>124.15</v>
      </c>
      <c r="O117" s="10">
        <f t="shared" si="7"/>
        <v>468157</v>
      </c>
      <c r="P117" s="10">
        <f>+'A) Base RI'!L117</f>
        <v>468157</v>
      </c>
      <c r="Q117" s="36">
        <f>'A) Base RI'!AR117</f>
        <v>1</v>
      </c>
      <c r="R117" s="2">
        <f t="shared" si="8"/>
        <v>9098858.8100000005</v>
      </c>
      <c r="S117" s="35">
        <f>+'A) Base RI'!AM117</f>
        <v>53</v>
      </c>
      <c r="T117" s="2">
        <f t="shared" si="9"/>
        <v>8621942.0600000005</v>
      </c>
      <c r="U117" s="2">
        <f t="shared" si="10"/>
        <v>171676.58132075472</v>
      </c>
      <c r="V117" s="10">
        <f>+'A) Base RI'!O117</f>
        <v>2874</v>
      </c>
      <c r="W117" s="10">
        <f>+'A) Base RI'!P117</f>
        <v>265167.55</v>
      </c>
      <c r="X117" s="10">
        <f>+'A) Base RI'!R117</f>
        <v>91435.55</v>
      </c>
      <c r="Y117" s="2">
        <f t="shared" si="11"/>
        <v>359477.1</v>
      </c>
      <c r="Z117" s="10">
        <f>+'A) Base RI'!N117</f>
        <v>2700.5</v>
      </c>
      <c r="AA117" s="10">
        <f>+'A) Base RI'!S117+'A) Base RI'!T117</f>
        <v>0</v>
      </c>
      <c r="AB117" s="10">
        <f>+'A) Base RI'!U117</f>
        <v>6750</v>
      </c>
      <c r="AC117" s="10">
        <f>+'A) Base RI'!V117</f>
        <v>0</v>
      </c>
      <c r="AD117" s="10">
        <f>+'A) Base RI'!W117</f>
        <v>0</v>
      </c>
      <c r="AE117" s="10">
        <f>+'A) Base RI'!Y117</f>
        <v>78171</v>
      </c>
      <c r="AF117" s="10">
        <f>+'A) Base RI'!Z117</f>
        <v>0</v>
      </c>
      <c r="AG117" s="10">
        <f>+'A) Base RI'!AA117</f>
        <v>268994</v>
      </c>
      <c r="AH117" s="10">
        <f>+'A) Base RI'!AB117</f>
        <v>0</v>
      </c>
      <c r="AI117" s="10">
        <f>+'A) Base RI'!AC117</f>
        <v>115349.85</v>
      </c>
      <c r="AJ117" s="10">
        <f>+'A) Base RI'!AD117</f>
        <v>0</v>
      </c>
      <c r="AK117" s="10">
        <f>+'A) Base RI'!AE117</f>
        <v>0</v>
      </c>
      <c r="AL117" s="10">
        <f>+'A) Base RI'!AF117</f>
        <v>0</v>
      </c>
      <c r="AM117" s="10">
        <f>+'A) Base RI'!AG117</f>
        <v>0</v>
      </c>
      <c r="AN117" s="10">
        <f>+'A) Base RI'!AH117</f>
        <v>0</v>
      </c>
      <c r="AO117" s="10">
        <f>+'A) Base RI'!AI117</f>
        <v>0</v>
      </c>
      <c r="AP117" s="10">
        <f>+'A) Base RI'!AJ117</f>
        <v>0</v>
      </c>
      <c r="AQ117" s="10">
        <f>+'A) Base RI'!AK117</f>
        <v>0</v>
      </c>
      <c r="AR117" s="10">
        <f>'A) Base RI'!AN117</f>
        <v>1469</v>
      </c>
    </row>
    <row r="118" spans="1:44" x14ac:dyDescent="0.25">
      <c r="A118" s="8">
        <f>'A) Base RI'!A118</f>
        <v>5586</v>
      </c>
      <c r="B118" s="34" t="str">
        <f>'A) Base RI'!B118</f>
        <v>Lausanne</v>
      </c>
      <c r="C118" s="10">
        <f>'A) Base RI'!C118+'A) Base RI'!D118</f>
        <v>328450377.75999999</v>
      </c>
      <c r="D118" s="10">
        <f>'A) Base RI'!AO118</f>
        <v>-6590560.71</v>
      </c>
      <c r="E118" s="33">
        <f>'A) Base RI'!AP118</f>
        <v>0</v>
      </c>
      <c r="F118" s="33">
        <f>'A) Base RI'!AQ118</f>
        <v>-407222.94</v>
      </c>
      <c r="G118" s="2">
        <f t="shared" si="6"/>
        <v>321452594.11000001</v>
      </c>
      <c r="H118" s="10">
        <f>+'A) Base RI'!E118</f>
        <v>0</v>
      </c>
      <c r="I118" s="10">
        <f>+'A) Base RI'!F118</f>
        <v>0</v>
      </c>
      <c r="J118" s="10">
        <f>+'A) Base RI'!G118+'A) Base RI'!H118</f>
        <v>103708969.25</v>
      </c>
      <c r="K118" s="10">
        <f>+'A) Base RI'!I118</f>
        <v>5799695.9100000001</v>
      </c>
      <c r="L118" s="10">
        <f>+'A) Base RI'!J118</f>
        <v>30725353.239999998</v>
      </c>
      <c r="M118" s="10">
        <f>+'A) Base RI'!K118</f>
        <v>4752809.0999999996</v>
      </c>
      <c r="N118" s="10">
        <f>+'A) Base RI'!Q118</f>
        <v>2063219.95</v>
      </c>
      <c r="O118" s="10">
        <f t="shared" si="7"/>
        <v>23533383</v>
      </c>
      <c r="P118" s="10">
        <f>+'A) Base RI'!L118</f>
        <v>35300074.5</v>
      </c>
      <c r="Q118" s="36">
        <f>'A) Base RI'!AR118</f>
        <v>1.5</v>
      </c>
      <c r="R118" s="2">
        <f t="shared" si="8"/>
        <v>492036024.56000006</v>
      </c>
      <c r="S118" s="35">
        <f>+'A) Base RI'!AM118</f>
        <v>79</v>
      </c>
      <c r="T118" s="2">
        <f t="shared" si="9"/>
        <v>463749832.46000004</v>
      </c>
      <c r="U118" s="2">
        <f t="shared" si="10"/>
        <v>6228304.1083544316</v>
      </c>
      <c r="V118" s="10">
        <f>+'A) Base RI'!O118</f>
        <v>15718211.449999999</v>
      </c>
      <c r="W118" s="10">
        <f>+'A) Base RI'!P118</f>
        <v>10805595.9</v>
      </c>
      <c r="X118" s="10">
        <f>+'A) Base RI'!R118</f>
        <v>7005620.75</v>
      </c>
      <c r="Y118" s="2">
        <f t="shared" si="11"/>
        <v>33529428.100000001</v>
      </c>
      <c r="Z118" s="10">
        <f>+'A) Base RI'!N118</f>
        <v>11465768.75</v>
      </c>
      <c r="AA118" s="10">
        <f>+'A) Base RI'!S118+'A) Base RI'!T118</f>
        <v>0</v>
      </c>
      <c r="AB118" s="10">
        <f>+'A) Base RI'!U118</f>
        <v>325695</v>
      </c>
      <c r="AC118" s="10">
        <f>+'A) Base RI'!V118</f>
        <v>6085181.5</v>
      </c>
      <c r="AD118" s="10">
        <f>+'A) Base RI'!W118</f>
        <v>0</v>
      </c>
      <c r="AE118" s="10">
        <f>+'A) Base RI'!Y118</f>
        <v>7663771.3099999996</v>
      </c>
      <c r="AF118" s="10">
        <f>+'A) Base RI'!Z118</f>
        <v>0</v>
      </c>
      <c r="AG118" s="10">
        <f>+'A) Base RI'!AA118</f>
        <v>18708356.879999999</v>
      </c>
      <c r="AH118" s="10">
        <f>+'A) Base RI'!AB118</f>
        <v>0</v>
      </c>
      <c r="AI118" s="10">
        <f>+'A) Base RI'!AC118</f>
        <v>20333058.370000001</v>
      </c>
      <c r="AJ118" s="10">
        <f>+'A) Base RI'!AD118</f>
        <v>6745719.6500000004</v>
      </c>
      <c r="AK118" s="10">
        <f>+'A) Base RI'!AE118</f>
        <v>0</v>
      </c>
      <c r="AL118" s="10">
        <f>+'A) Base RI'!AF118</f>
        <v>0</v>
      </c>
      <c r="AM118" s="10">
        <f>+'A) Base RI'!AG118</f>
        <v>3055000.14</v>
      </c>
      <c r="AN118" s="10">
        <f>+'A) Base RI'!AH118</f>
        <v>7976302.9000000004</v>
      </c>
      <c r="AO118" s="10">
        <f>+'A) Base RI'!AI118</f>
        <v>7381235.4699999997</v>
      </c>
      <c r="AP118" s="10">
        <f>+'A) Base RI'!AJ118</f>
        <v>1677652.85</v>
      </c>
      <c r="AQ118" s="10">
        <f>+'A) Base RI'!AK118</f>
        <v>1677653.1</v>
      </c>
      <c r="AR118" s="10">
        <f>'A) Base RI'!AN118</f>
        <v>139624</v>
      </c>
    </row>
    <row r="119" spans="1:44" x14ac:dyDescent="0.25">
      <c r="A119" s="8">
        <f>'A) Base RI'!A119</f>
        <v>5587</v>
      </c>
      <c r="B119" s="34" t="str">
        <f>'A) Base RI'!B119</f>
        <v>Le Mont-sur-Lausanne</v>
      </c>
      <c r="C119" s="10">
        <f>'A) Base RI'!C119+'A) Base RI'!D119</f>
        <v>25569480.109999999</v>
      </c>
      <c r="D119" s="10">
        <f>'A) Base RI'!AO119</f>
        <v>-354247.71</v>
      </c>
      <c r="E119" s="33">
        <f>'A) Base RI'!AP119</f>
        <v>0</v>
      </c>
      <c r="F119" s="33">
        <f>'A) Base RI'!AQ119</f>
        <v>-4145.43</v>
      </c>
      <c r="G119" s="2">
        <f t="shared" si="6"/>
        <v>25211086.969999999</v>
      </c>
      <c r="H119" s="10">
        <f>+'A) Base RI'!E119</f>
        <v>0</v>
      </c>
      <c r="I119" s="10">
        <f>+'A) Base RI'!F119</f>
        <v>0</v>
      </c>
      <c r="J119" s="10">
        <f>+'A) Base RI'!G119+'A) Base RI'!H119</f>
        <v>3075463.9000000004</v>
      </c>
      <c r="K119" s="10">
        <f>+'A) Base RI'!I119</f>
        <v>250946.15</v>
      </c>
      <c r="L119" s="10">
        <f>+'A) Base RI'!J119</f>
        <v>542839.71</v>
      </c>
      <c r="M119" s="10">
        <f>+'A) Base RI'!K119</f>
        <v>131716.54999999999</v>
      </c>
      <c r="N119" s="10">
        <f>+'A) Base RI'!Q119</f>
        <v>150619.32</v>
      </c>
      <c r="O119" s="10">
        <f t="shared" si="7"/>
        <v>2077288.875</v>
      </c>
      <c r="P119" s="10">
        <f>+'A) Base RI'!L119</f>
        <v>2492746.65</v>
      </c>
      <c r="Q119" s="36">
        <f>'A) Base RI'!AR119</f>
        <v>1.2</v>
      </c>
      <c r="R119" s="2">
        <f t="shared" si="8"/>
        <v>31439961.474999998</v>
      </c>
      <c r="S119" s="35">
        <f>+'A) Base RI'!AM119</f>
        <v>75</v>
      </c>
      <c r="T119" s="2">
        <f t="shared" si="9"/>
        <v>29230956.049999997</v>
      </c>
      <c r="U119" s="2">
        <f t="shared" si="10"/>
        <v>419199.48633333331</v>
      </c>
      <c r="V119" s="10">
        <f>+'A) Base RI'!O119</f>
        <v>256200.8</v>
      </c>
      <c r="W119" s="10">
        <f>+'A) Base RI'!P119</f>
        <v>1147492.2</v>
      </c>
      <c r="X119" s="10">
        <f>+'A) Base RI'!R119</f>
        <v>516311.75</v>
      </c>
      <c r="Y119" s="2">
        <f t="shared" si="11"/>
        <v>1920004.75</v>
      </c>
      <c r="Z119" s="10">
        <f>+'A) Base RI'!N119</f>
        <v>355226.65</v>
      </c>
      <c r="AA119" s="10">
        <f>+'A) Base RI'!S119+'A) Base RI'!T119</f>
        <v>25353.05</v>
      </c>
      <c r="AB119" s="10">
        <f>+'A) Base RI'!U119</f>
        <v>35950</v>
      </c>
      <c r="AC119" s="10">
        <f>+'A) Base RI'!V119</f>
        <v>0</v>
      </c>
      <c r="AD119" s="10">
        <f>+'A) Base RI'!W119</f>
        <v>0</v>
      </c>
      <c r="AE119" s="10">
        <f>+'A) Base RI'!Y119</f>
        <v>144128</v>
      </c>
      <c r="AF119" s="10">
        <f>+'A) Base RI'!Z119</f>
        <v>0</v>
      </c>
      <c r="AG119" s="10">
        <f>+'A) Base RI'!AA119</f>
        <v>1517789.65</v>
      </c>
      <c r="AH119" s="10">
        <f>+'A) Base RI'!AB119</f>
        <v>0</v>
      </c>
      <c r="AI119" s="10">
        <f>+'A) Base RI'!AC119</f>
        <v>665465.27</v>
      </c>
      <c r="AJ119" s="10">
        <f>+'A) Base RI'!AD119</f>
        <v>0</v>
      </c>
      <c r="AK119" s="10">
        <f>+'A) Base RI'!AE119</f>
        <v>0</v>
      </c>
      <c r="AL119" s="10">
        <f>+'A) Base RI'!AF119</f>
        <v>0</v>
      </c>
      <c r="AM119" s="10">
        <f>+'A) Base RI'!AG119</f>
        <v>298407.24</v>
      </c>
      <c r="AN119" s="10">
        <f>+'A) Base RI'!AH119</f>
        <v>0</v>
      </c>
      <c r="AO119" s="10">
        <f>+'A) Base RI'!AI119</f>
        <v>0</v>
      </c>
      <c r="AP119" s="10">
        <f>+'A) Base RI'!AJ119</f>
        <v>0</v>
      </c>
      <c r="AQ119" s="10">
        <f>+'A) Base RI'!AK119</f>
        <v>0</v>
      </c>
      <c r="AR119" s="10">
        <f>'A) Base RI'!AN119</f>
        <v>8093</v>
      </c>
    </row>
    <row r="120" spans="1:44" x14ac:dyDescent="0.25">
      <c r="A120" s="8">
        <f>'A) Base RI'!A120</f>
        <v>5588</v>
      </c>
      <c r="B120" s="34" t="str">
        <f>'A) Base RI'!B120</f>
        <v>Paudex</v>
      </c>
      <c r="C120" s="10">
        <f>'A) Base RI'!C120+'A) Base RI'!D120</f>
        <v>6828848.5600000005</v>
      </c>
      <c r="D120" s="10">
        <f>'A) Base RI'!AO120</f>
        <v>-63507.72</v>
      </c>
      <c r="E120" s="33">
        <f>'A) Base RI'!AP120</f>
        <v>0</v>
      </c>
      <c r="F120" s="33">
        <f>'A) Base RI'!AQ120</f>
        <v>-14104.66</v>
      </c>
      <c r="G120" s="2">
        <f t="shared" si="6"/>
        <v>6751236.1800000006</v>
      </c>
      <c r="H120" s="10">
        <f>+'A) Base RI'!E120</f>
        <v>0</v>
      </c>
      <c r="I120" s="10">
        <f>+'A) Base RI'!F120</f>
        <v>0</v>
      </c>
      <c r="J120" s="10">
        <f>+'A) Base RI'!G120+'A) Base RI'!H120</f>
        <v>919497.25</v>
      </c>
      <c r="K120" s="10">
        <f>+'A) Base RI'!I120</f>
        <v>502840.3</v>
      </c>
      <c r="L120" s="10">
        <f>+'A) Base RI'!J120</f>
        <v>186106.18</v>
      </c>
      <c r="M120" s="10">
        <f>+'A) Base RI'!K120</f>
        <v>35870.550000000003</v>
      </c>
      <c r="N120" s="10">
        <f>+'A) Base RI'!Q120</f>
        <v>37217.24</v>
      </c>
      <c r="O120" s="10">
        <f t="shared" si="7"/>
        <v>497986.42857142858</v>
      </c>
      <c r="P120" s="10">
        <f>+'A) Base RI'!L120</f>
        <v>348590.5</v>
      </c>
      <c r="Q120" s="36">
        <f>'A) Base RI'!AR120</f>
        <v>0.7</v>
      </c>
      <c r="R120" s="2">
        <f t="shared" si="8"/>
        <v>8930754.1285714302</v>
      </c>
      <c r="S120" s="35">
        <f>+'A) Base RI'!AM120</f>
        <v>61.5</v>
      </c>
      <c r="T120" s="2">
        <f t="shared" si="9"/>
        <v>8396897.1500000004</v>
      </c>
      <c r="U120" s="2">
        <f t="shared" si="10"/>
        <v>145215.51428571431</v>
      </c>
      <c r="V120" s="10">
        <f>+'A) Base RI'!O120</f>
        <v>0</v>
      </c>
      <c r="W120" s="10">
        <f>+'A) Base RI'!P120</f>
        <v>3936.35</v>
      </c>
      <c r="X120" s="10">
        <f>+'A) Base RI'!R120</f>
        <v>9970.4500000000007</v>
      </c>
      <c r="Y120" s="2">
        <f t="shared" si="11"/>
        <v>13906.800000000001</v>
      </c>
      <c r="Z120" s="10">
        <f>+'A) Base RI'!N120</f>
        <v>20053.349999999999</v>
      </c>
      <c r="AA120" s="10">
        <f>+'A) Base RI'!S120+'A) Base RI'!T120</f>
        <v>14563.15</v>
      </c>
      <c r="AB120" s="10">
        <f>+'A) Base RI'!U120</f>
        <v>5062.5</v>
      </c>
      <c r="AC120" s="10">
        <f>+'A) Base RI'!V120</f>
        <v>0</v>
      </c>
      <c r="AD120" s="10">
        <f>+'A) Base RI'!W120</f>
        <v>0</v>
      </c>
      <c r="AE120" s="10">
        <f>+'A) Base RI'!Y120</f>
        <v>0</v>
      </c>
      <c r="AF120" s="10">
        <f>+'A) Base RI'!Z120</f>
        <v>0</v>
      </c>
      <c r="AG120" s="10">
        <f>+'A) Base RI'!AA120</f>
        <v>117831.99</v>
      </c>
      <c r="AH120" s="10">
        <f>+'A) Base RI'!AB120</f>
        <v>0</v>
      </c>
      <c r="AI120" s="10">
        <f>+'A) Base RI'!AC120</f>
        <v>132266.71</v>
      </c>
      <c r="AJ120" s="10">
        <f>+'A) Base RI'!AD120</f>
        <v>0</v>
      </c>
      <c r="AK120" s="10">
        <f>+'A) Base RI'!AE120</f>
        <v>0</v>
      </c>
      <c r="AL120" s="10">
        <f>+'A) Base RI'!AF120</f>
        <v>0</v>
      </c>
      <c r="AM120" s="10">
        <f>+'A) Base RI'!AG120</f>
        <v>0</v>
      </c>
      <c r="AN120" s="10">
        <f>+'A) Base RI'!AH120</f>
        <v>0</v>
      </c>
      <c r="AO120" s="10">
        <f>+'A) Base RI'!AI120</f>
        <v>30961.72</v>
      </c>
      <c r="AP120" s="10">
        <f>+'A) Base RI'!AJ120</f>
        <v>0</v>
      </c>
      <c r="AQ120" s="10">
        <f>+'A) Base RI'!AK120</f>
        <v>15480.86</v>
      </c>
      <c r="AR120" s="10">
        <f>'A) Base RI'!AN120</f>
        <v>1480</v>
      </c>
    </row>
    <row r="121" spans="1:44" x14ac:dyDescent="0.25">
      <c r="A121" s="8">
        <f>'A) Base RI'!A121</f>
        <v>5589</v>
      </c>
      <c r="B121" s="34" t="str">
        <f>'A) Base RI'!B121</f>
        <v>Prilly</v>
      </c>
      <c r="C121" s="10">
        <f>'A) Base RI'!C121+'A) Base RI'!D121</f>
        <v>20375175.489999998</v>
      </c>
      <c r="D121" s="10">
        <f>'A) Base RI'!AO121</f>
        <v>-446004.61</v>
      </c>
      <c r="E121" s="33">
        <f>'A) Base RI'!AP121</f>
        <v>0</v>
      </c>
      <c r="F121" s="33">
        <f>'A) Base RI'!AQ121</f>
        <v>-1839.55</v>
      </c>
      <c r="G121" s="2">
        <f t="shared" si="6"/>
        <v>19927331.329999998</v>
      </c>
      <c r="H121" s="10">
        <f>+'A) Base RI'!E121</f>
        <v>0</v>
      </c>
      <c r="I121" s="10">
        <f>+'A) Base RI'!F121</f>
        <v>0</v>
      </c>
      <c r="J121" s="10">
        <f>+'A) Base RI'!G121+'A) Base RI'!H121</f>
        <v>7791975.5499999998</v>
      </c>
      <c r="K121" s="10">
        <f>+'A) Base RI'!I121</f>
        <v>54271.199999999997</v>
      </c>
      <c r="L121" s="10">
        <f>+'A) Base RI'!J121</f>
        <v>1732294.57</v>
      </c>
      <c r="M121" s="10">
        <f>+'A) Base RI'!K121</f>
        <v>337707.75</v>
      </c>
      <c r="N121" s="10">
        <f>+'A) Base RI'!Q121</f>
        <v>54455.05</v>
      </c>
      <c r="O121" s="10">
        <f t="shared" si="7"/>
        <v>1933853.55</v>
      </c>
      <c r="P121" s="10">
        <f>+'A) Base RI'!L121</f>
        <v>1933853.55</v>
      </c>
      <c r="Q121" s="36">
        <f>'A) Base RI'!AR121</f>
        <v>1</v>
      </c>
      <c r="R121" s="2">
        <f t="shared" si="8"/>
        <v>31831889</v>
      </c>
      <c r="S121" s="35">
        <f>+'A) Base RI'!AM121</f>
        <v>73.5</v>
      </c>
      <c r="T121" s="2">
        <f t="shared" si="9"/>
        <v>29560327.699999999</v>
      </c>
      <c r="U121" s="2">
        <f t="shared" si="10"/>
        <v>433086.92517006805</v>
      </c>
      <c r="V121" s="10">
        <f>+'A) Base RI'!O121</f>
        <v>201994.7</v>
      </c>
      <c r="W121" s="10">
        <f>+'A) Base RI'!P121</f>
        <v>960911.4</v>
      </c>
      <c r="X121" s="10">
        <f>+'A) Base RI'!R121</f>
        <v>506836.85</v>
      </c>
      <c r="Y121" s="2">
        <f t="shared" si="11"/>
        <v>1669742.9500000002</v>
      </c>
      <c r="Z121" s="10">
        <f>+'A) Base RI'!N121</f>
        <v>1032878.5</v>
      </c>
      <c r="AA121" s="10">
        <f>+'A) Base RI'!S121+'A) Base RI'!T121</f>
        <v>57198.25</v>
      </c>
      <c r="AB121" s="10">
        <f>+'A) Base RI'!U121</f>
        <v>40020</v>
      </c>
      <c r="AC121" s="10">
        <f>+'A) Base RI'!V121</f>
        <v>0</v>
      </c>
      <c r="AD121" s="10">
        <f>+'A) Base RI'!W121</f>
        <v>14750.2</v>
      </c>
      <c r="AE121" s="10">
        <f>+'A) Base RI'!Y121</f>
        <v>191389.2</v>
      </c>
      <c r="AF121" s="10">
        <f>+'A) Base RI'!Z121</f>
        <v>1371450.71</v>
      </c>
      <c r="AG121" s="10">
        <f>+'A) Base RI'!AA121</f>
        <v>0</v>
      </c>
      <c r="AH121" s="10">
        <f>+'A) Base RI'!AB121</f>
        <v>0</v>
      </c>
      <c r="AI121" s="10">
        <f>+'A) Base RI'!AC121</f>
        <v>849369.65</v>
      </c>
      <c r="AJ121" s="10">
        <f>+'A) Base RI'!AD121</f>
        <v>0</v>
      </c>
      <c r="AK121" s="10">
        <f>+'A) Base RI'!AE121</f>
        <v>0</v>
      </c>
      <c r="AL121" s="10">
        <f>+'A) Base RI'!AF121</f>
        <v>0</v>
      </c>
      <c r="AM121" s="10">
        <f>+'A) Base RI'!AG121</f>
        <v>0</v>
      </c>
      <c r="AN121" s="10">
        <f>+'A) Base RI'!AH121</f>
        <v>346703.16</v>
      </c>
      <c r="AO121" s="10">
        <f>+'A) Base RI'!AI121</f>
        <v>0</v>
      </c>
      <c r="AP121" s="10">
        <f>+'A) Base RI'!AJ121</f>
        <v>0</v>
      </c>
      <c r="AQ121" s="10">
        <f>+'A) Base RI'!AK121</f>
        <v>0</v>
      </c>
      <c r="AR121" s="10">
        <f>'A) Base RI'!AN121</f>
        <v>12105</v>
      </c>
    </row>
    <row r="122" spans="1:44" x14ac:dyDescent="0.25">
      <c r="A122" s="8">
        <f>'A) Base RI'!A122</f>
        <v>5590</v>
      </c>
      <c r="B122" s="34" t="str">
        <f>'A) Base RI'!B122</f>
        <v>Pully</v>
      </c>
      <c r="C122" s="10">
        <f>'A) Base RI'!C122+'A) Base RI'!D122</f>
        <v>72463281.799999997</v>
      </c>
      <c r="D122" s="10">
        <f>'A) Base RI'!AO122</f>
        <v>-588597.21</v>
      </c>
      <c r="E122" s="33">
        <f>'A) Base RI'!AP122</f>
        <v>0</v>
      </c>
      <c r="F122" s="33">
        <f>'A) Base RI'!AQ122</f>
        <v>-106213.75999999999</v>
      </c>
      <c r="G122" s="2">
        <f t="shared" si="6"/>
        <v>71768470.829999998</v>
      </c>
      <c r="H122" s="10">
        <f>+'A) Base RI'!E122</f>
        <v>0</v>
      </c>
      <c r="I122" s="10">
        <f>+'A) Base RI'!F122</f>
        <v>0</v>
      </c>
      <c r="J122" s="10">
        <f>+'A) Base RI'!G122+'A) Base RI'!H122</f>
        <v>5141312.5999999996</v>
      </c>
      <c r="K122" s="10">
        <f>+'A) Base RI'!I122</f>
        <v>3621743.43</v>
      </c>
      <c r="L122" s="10">
        <f>+'A) Base RI'!J122</f>
        <v>1741867.3</v>
      </c>
      <c r="M122" s="10">
        <f>+'A) Base RI'!K122</f>
        <v>309800.8</v>
      </c>
      <c r="N122" s="10">
        <f>+'A) Base RI'!Q122</f>
        <v>392296.19</v>
      </c>
      <c r="O122" s="10">
        <f t="shared" si="7"/>
        <v>4667651.7142857146</v>
      </c>
      <c r="P122" s="10">
        <f>+'A) Base RI'!L122</f>
        <v>3267356.2</v>
      </c>
      <c r="Q122" s="36">
        <f>'A) Base RI'!AR122</f>
        <v>0.7</v>
      </c>
      <c r="R122" s="2">
        <f t="shared" si="8"/>
        <v>87643142.864285707</v>
      </c>
      <c r="S122" s="35">
        <f>+'A) Base RI'!AM122</f>
        <v>61</v>
      </c>
      <c r="T122" s="2">
        <f t="shared" si="9"/>
        <v>82665690.349999994</v>
      </c>
      <c r="U122" s="2">
        <f t="shared" si="10"/>
        <v>1436772.8338407492</v>
      </c>
      <c r="V122" s="10">
        <f>+'A) Base RI'!O122</f>
        <v>5379877.5</v>
      </c>
      <c r="W122" s="10">
        <f>+'A) Base RI'!P122</f>
        <v>2711661.65</v>
      </c>
      <c r="X122" s="10">
        <f>+'A) Base RI'!R122</f>
        <v>2241981.85</v>
      </c>
      <c r="Y122" s="2">
        <f t="shared" si="11"/>
        <v>10333521</v>
      </c>
      <c r="Z122" s="10">
        <f>+'A) Base RI'!N122</f>
        <v>168670.35</v>
      </c>
      <c r="AA122" s="10">
        <f>+'A) Base RI'!S122+'A) Base RI'!T122</f>
        <v>25695.200000000001</v>
      </c>
      <c r="AB122" s="10">
        <f>+'A) Base RI'!U122</f>
        <v>50600</v>
      </c>
      <c r="AC122" s="10">
        <f>+'A) Base RI'!V122</f>
        <v>0</v>
      </c>
      <c r="AD122" s="10">
        <f>+'A) Base RI'!W122</f>
        <v>0</v>
      </c>
      <c r="AE122" s="10">
        <f>+'A) Base RI'!Y122</f>
        <v>342615.14</v>
      </c>
      <c r="AF122" s="10">
        <f>+'A) Base RI'!Z122</f>
        <v>0</v>
      </c>
      <c r="AG122" s="10">
        <f>+'A) Base RI'!AA122</f>
        <v>3464839.82</v>
      </c>
      <c r="AH122" s="10">
        <f>+'A) Base RI'!AB122</f>
        <v>0</v>
      </c>
      <c r="AI122" s="10">
        <f>+'A) Base RI'!AC122</f>
        <v>2214605.89</v>
      </c>
      <c r="AJ122" s="10">
        <f>+'A) Base RI'!AD122</f>
        <v>298742.65999999997</v>
      </c>
      <c r="AK122" s="10">
        <f>+'A) Base RI'!AE122</f>
        <v>0</v>
      </c>
      <c r="AL122" s="10">
        <f>+'A) Base RI'!AF122</f>
        <v>0</v>
      </c>
      <c r="AM122" s="10">
        <f>+'A) Base RI'!AG122</f>
        <v>52685.81</v>
      </c>
      <c r="AN122" s="10">
        <f>+'A) Base RI'!AH122</f>
        <v>355136.24</v>
      </c>
      <c r="AO122" s="10">
        <f>+'A) Base RI'!AI122</f>
        <v>522534.88</v>
      </c>
      <c r="AP122" s="10">
        <f>+'A) Base RI'!AJ122</f>
        <v>0</v>
      </c>
      <c r="AQ122" s="10">
        <f>+'A) Base RI'!AK122</f>
        <v>0</v>
      </c>
      <c r="AR122" s="10">
        <f>'A) Base RI'!AN122</f>
        <v>18194</v>
      </c>
    </row>
    <row r="123" spans="1:44" x14ac:dyDescent="0.25">
      <c r="A123" s="8">
        <f>'A) Base RI'!A123</f>
        <v>5591</v>
      </c>
      <c r="B123" s="34" t="str">
        <f>'A) Base RI'!B123</f>
        <v>Renens</v>
      </c>
      <c r="C123" s="10">
        <f>'A) Base RI'!C123+'A) Base RI'!D123</f>
        <v>31429093.799999997</v>
      </c>
      <c r="D123" s="10">
        <f>'A) Base RI'!AO123</f>
        <v>-2269611.84</v>
      </c>
      <c r="E123" s="33">
        <f>'A) Base RI'!AP123</f>
        <v>0</v>
      </c>
      <c r="F123" s="33">
        <f>'A) Base RI'!AQ123</f>
        <v>-25181.19</v>
      </c>
      <c r="G123" s="2">
        <f t="shared" si="6"/>
        <v>29134300.769999996</v>
      </c>
      <c r="H123" s="10">
        <f>+'A) Base RI'!E123</f>
        <v>0</v>
      </c>
      <c r="I123" s="10">
        <f>+'A) Base RI'!F123</f>
        <v>0</v>
      </c>
      <c r="J123" s="10">
        <f>+'A) Base RI'!G123+'A) Base RI'!H123</f>
        <v>6121603.4500000002</v>
      </c>
      <c r="K123" s="10">
        <f>+'A) Base RI'!I123</f>
        <v>0</v>
      </c>
      <c r="L123" s="10">
        <f>+'A) Base RI'!J123</f>
        <v>2671812.1</v>
      </c>
      <c r="M123" s="10">
        <f>+'A) Base RI'!K123</f>
        <v>484567.4</v>
      </c>
      <c r="N123" s="10">
        <f>+'A) Base RI'!Q123</f>
        <v>1232836.19</v>
      </c>
      <c r="O123" s="10">
        <f t="shared" si="7"/>
        <v>3339606.1071428573</v>
      </c>
      <c r="P123" s="10">
        <f>+'A) Base RI'!L123</f>
        <v>4675448.55</v>
      </c>
      <c r="Q123" s="36">
        <f>'A) Base RI'!AR123</f>
        <v>1.4</v>
      </c>
      <c r="R123" s="2">
        <f t="shared" si="8"/>
        <v>42984726.017142855</v>
      </c>
      <c r="S123" s="35">
        <f>+'A) Base RI'!AM123</f>
        <v>78.5</v>
      </c>
      <c r="T123" s="2">
        <f t="shared" si="9"/>
        <v>39160552.509999998</v>
      </c>
      <c r="U123" s="2">
        <f t="shared" si="10"/>
        <v>547576.12760691531</v>
      </c>
      <c r="V123" s="10">
        <f>+'A) Base RI'!O123</f>
        <v>515867.1</v>
      </c>
      <c r="W123" s="10">
        <f>+'A) Base RI'!P123</f>
        <v>1192913.3</v>
      </c>
      <c r="X123" s="10">
        <f>+'A) Base RI'!R123</f>
        <v>503701.3</v>
      </c>
      <c r="Y123" s="2">
        <f t="shared" si="11"/>
        <v>2212481.6999999997</v>
      </c>
      <c r="Z123" s="10">
        <f>+'A) Base RI'!N123</f>
        <v>2159436.0499999998</v>
      </c>
      <c r="AA123" s="10">
        <f>+'A) Base RI'!S123+'A) Base RI'!T123</f>
        <v>0</v>
      </c>
      <c r="AB123" s="10">
        <f>+'A) Base RI'!U123</f>
        <v>52650</v>
      </c>
      <c r="AC123" s="10">
        <f>+'A) Base RI'!V123</f>
        <v>0</v>
      </c>
      <c r="AD123" s="10">
        <f>+'A) Base RI'!W123</f>
        <v>49289.5</v>
      </c>
      <c r="AE123" s="10">
        <f>+'A) Base RI'!Y123</f>
        <v>1184262.45</v>
      </c>
      <c r="AF123" s="10">
        <f>+'A) Base RI'!Z123</f>
        <v>0</v>
      </c>
      <c r="AG123" s="10">
        <f>+'A) Base RI'!AA123</f>
        <v>1311740.0900000001</v>
      </c>
      <c r="AH123" s="10">
        <f>+'A) Base RI'!AB123</f>
        <v>17064</v>
      </c>
      <c r="AI123" s="10">
        <f>+'A) Base RI'!AC123</f>
        <v>2261293.9700000002</v>
      </c>
      <c r="AJ123" s="10">
        <f>+'A) Base RI'!AD123</f>
        <v>0</v>
      </c>
      <c r="AK123" s="10">
        <f>+'A) Base RI'!AE123</f>
        <v>0</v>
      </c>
      <c r="AL123" s="10">
        <f>+'A) Base RI'!AF123</f>
        <v>0</v>
      </c>
      <c r="AM123" s="10">
        <f>+'A) Base RI'!AG123</f>
        <v>2626.5</v>
      </c>
      <c r="AN123" s="10">
        <f>+'A) Base RI'!AH123</f>
        <v>544681.1</v>
      </c>
      <c r="AO123" s="10">
        <f>+'A) Base RI'!AI123</f>
        <v>0</v>
      </c>
      <c r="AP123" s="10">
        <f>+'A) Base RI'!AJ123</f>
        <v>0</v>
      </c>
      <c r="AQ123" s="10">
        <f>+'A) Base RI'!AK123</f>
        <v>77811.539999999994</v>
      </c>
      <c r="AR123" s="10">
        <f>'A) Base RI'!AN123</f>
        <v>21114</v>
      </c>
    </row>
    <row r="124" spans="1:44" x14ac:dyDescent="0.25">
      <c r="A124" s="8">
        <f>'A) Base RI'!A124</f>
        <v>5592</v>
      </c>
      <c r="B124" s="34" t="str">
        <f>'A) Base RI'!B124</f>
        <v>Romanel-sur-Lausanne</v>
      </c>
      <c r="C124" s="10">
        <f>'A) Base RI'!C124+'A) Base RI'!D124</f>
        <v>6280652.6299999999</v>
      </c>
      <c r="D124" s="10">
        <f>'A) Base RI'!AO124</f>
        <v>-57476.62</v>
      </c>
      <c r="E124" s="33">
        <f>'A) Base RI'!AP124</f>
        <v>0</v>
      </c>
      <c r="F124" s="33">
        <f>'A) Base RI'!AQ124</f>
        <v>-2259.69</v>
      </c>
      <c r="G124" s="2">
        <f t="shared" si="6"/>
        <v>6220916.3199999994</v>
      </c>
      <c r="H124" s="10">
        <f>+'A) Base RI'!E124</f>
        <v>0</v>
      </c>
      <c r="I124" s="10">
        <f>+'A) Base RI'!F124</f>
        <v>0</v>
      </c>
      <c r="J124" s="10">
        <f>+'A) Base RI'!G124+'A) Base RI'!H124</f>
        <v>846075.95000000007</v>
      </c>
      <c r="K124" s="10">
        <f>+'A) Base RI'!I124</f>
        <v>25729.55</v>
      </c>
      <c r="L124" s="10">
        <f>+'A) Base RI'!J124</f>
        <v>167360.29999999999</v>
      </c>
      <c r="M124" s="10">
        <f>+'A) Base RI'!K124</f>
        <v>131701.20000000001</v>
      </c>
      <c r="N124" s="10">
        <f>+'A) Base RI'!Q124</f>
        <v>47014.38</v>
      </c>
      <c r="O124" s="10">
        <f t="shared" si="7"/>
        <v>669294.55000000005</v>
      </c>
      <c r="P124" s="10">
        <f>+'A) Base RI'!L124</f>
        <v>669294.55000000005</v>
      </c>
      <c r="Q124" s="36">
        <f>'A) Base RI'!AR124</f>
        <v>1</v>
      </c>
      <c r="R124" s="2">
        <f t="shared" si="8"/>
        <v>8108092.2499999991</v>
      </c>
      <c r="S124" s="35">
        <f>+'A) Base RI'!AM124</f>
        <v>70</v>
      </c>
      <c r="T124" s="2">
        <f t="shared" si="9"/>
        <v>7307096.4999999991</v>
      </c>
      <c r="U124" s="2">
        <f t="shared" si="10"/>
        <v>115829.88928571428</v>
      </c>
      <c r="V124" s="10">
        <f>+'A) Base RI'!O124</f>
        <v>135850</v>
      </c>
      <c r="W124" s="10">
        <f>+'A) Base RI'!P124</f>
        <v>80760.3</v>
      </c>
      <c r="X124" s="10">
        <f>+'A) Base RI'!R124</f>
        <v>122916</v>
      </c>
      <c r="Y124" s="2">
        <f t="shared" si="11"/>
        <v>339526.3</v>
      </c>
      <c r="Z124" s="10">
        <f>+'A) Base RI'!N124</f>
        <v>179138.3</v>
      </c>
      <c r="AA124" s="10">
        <f>+'A) Base RI'!S124+'A) Base RI'!T124</f>
        <v>1672</v>
      </c>
      <c r="AB124" s="10">
        <f>+'A) Base RI'!U124</f>
        <v>16650</v>
      </c>
      <c r="AC124" s="10">
        <f>+'A) Base RI'!V124</f>
        <v>0</v>
      </c>
      <c r="AD124" s="10">
        <f>+'A) Base RI'!W124</f>
        <v>0</v>
      </c>
      <c r="AE124" s="10">
        <f>+'A) Base RI'!Y124</f>
        <v>0</v>
      </c>
      <c r="AF124" s="10">
        <f>+'A) Base RI'!Z124</f>
        <v>424.8</v>
      </c>
      <c r="AG124" s="10">
        <f>+'A) Base RI'!AA124</f>
        <v>353043.57</v>
      </c>
      <c r="AH124" s="10">
        <f>+'A) Base RI'!AB124</f>
        <v>0</v>
      </c>
      <c r="AI124" s="10">
        <f>+'A) Base RI'!AC124</f>
        <v>217401.94</v>
      </c>
      <c r="AJ124" s="10">
        <f>+'A) Base RI'!AD124</f>
        <v>0</v>
      </c>
      <c r="AK124" s="10">
        <f>+'A) Base RI'!AE124</f>
        <v>0</v>
      </c>
      <c r="AL124" s="10">
        <f>+'A) Base RI'!AF124</f>
        <v>0</v>
      </c>
      <c r="AM124" s="10">
        <f>+'A) Base RI'!AG124</f>
        <v>0</v>
      </c>
      <c r="AN124" s="10">
        <f>+'A) Base RI'!AH124</f>
        <v>104896.42</v>
      </c>
      <c r="AO124" s="10">
        <f>+'A) Base RI'!AI124</f>
        <v>88942.46</v>
      </c>
      <c r="AP124" s="10">
        <f>+'A) Base RI'!AJ124</f>
        <v>44471.24</v>
      </c>
      <c r="AQ124" s="10">
        <f>+'A) Base RI'!AK124</f>
        <v>0</v>
      </c>
      <c r="AR124" s="10">
        <f>'A) Base RI'!AN124</f>
        <v>3300</v>
      </c>
    </row>
    <row r="125" spans="1:44" x14ac:dyDescent="0.25">
      <c r="A125" s="8">
        <f>'A) Base RI'!A125</f>
        <v>5601</v>
      </c>
      <c r="B125" s="34" t="str">
        <f>'A) Base RI'!B125</f>
        <v>Chexbres</v>
      </c>
      <c r="C125" s="10">
        <f>'A) Base RI'!C125+'A) Base RI'!D125</f>
        <v>6697096.4899999993</v>
      </c>
      <c r="D125" s="10">
        <f>'A) Base RI'!AO125</f>
        <v>-75391.520000000004</v>
      </c>
      <c r="E125" s="33">
        <f>'A) Base RI'!AP125</f>
        <v>0</v>
      </c>
      <c r="F125" s="33">
        <f>'A) Base RI'!AQ125</f>
        <v>-2642.04</v>
      </c>
      <c r="G125" s="2">
        <f t="shared" si="6"/>
        <v>6619062.9299999997</v>
      </c>
      <c r="H125" s="10">
        <f>+'A) Base RI'!E125</f>
        <v>0</v>
      </c>
      <c r="I125" s="10">
        <f>+'A) Base RI'!F125</f>
        <v>0</v>
      </c>
      <c r="J125" s="10">
        <f>+'A) Base RI'!G125+'A) Base RI'!H125</f>
        <v>132837.65</v>
      </c>
      <c r="K125" s="10">
        <f>+'A) Base RI'!I125</f>
        <v>86149.119999999995</v>
      </c>
      <c r="L125" s="10">
        <f>+'A) Base RI'!J125</f>
        <v>191857.75</v>
      </c>
      <c r="M125" s="10">
        <f>+'A) Base RI'!K125</f>
        <v>13719.95</v>
      </c>
      <c r="N125" s="10">
        <f>+'A) Base RI'!Q125</f>
        <v>43073.26</v>
      </c>
      <c r="O125" s="10">
        <f t="shared" si="7"/>
        <v>433851.7</v>
      </c>
      <c r="P125" s="10">
        <f>+'A) Base RI'!L125</f>
        <v>433851.7</v>
      </c>
      <c r="Q125" s="36">
        <f>'A) Base RI'!AR125</f>
        <v>1</v>
      </c>
      <c r="R125" s="2">
        <f t="shared" si="8"/>
        <v>7520552.3600000003</v>
      </c>
      <c r="S125" s="35">
        <f>+'A) Base RI'!AM125</f>
        <v>64</v>
      </c>
      <c r="T125" s="2">
        <f t="shared" si="9"/>
        <v>7072980.71</v>
      </c>
      <c r="U125" s="2">
        <f t="shared" si="10"/>
        <v>117508.63062500001</v>
      </c>
      <c r="V125" s="10">
        <f>+'A) Base RI'!O125</f>
        <v>636977.4</v>
      </c>
      <c r="W125" s="10">
        <f>+'A) Base RI'!P125</f>
        <v>178305.15</v>
      </c>
      <c r="X125" s="10">
        <f>+'A) Base RI'!R125</f>
        <v>340860.4</v>
      </c>
      <c r="Y125" s="2">
        <f t="shared" si="11"/>
        <v>1156142.9500000002</v>
      </c>
      <c r="Z125" s="10">
        <f>+'A) Base RI'!N125</f>
        <v>58889.4</v>
      </c>
      <c r="AA125" s="10">
        <f>+'A) Base RI'!S125+'A) Base RI'!T125</f>
        <v>5956</v>
      </c>
      <c r="AB125" s="10">
        <f>+'A) Base RI'!U125</f>
        <v>7312.5</v>
      </c>
      <c r="AC125" s="10">
        <f>+'A) Base RI'!V125</f>
        <v>0</v>
      </c>
      <c r="AD125" s="10">
        <f>+'A) Base RI'!W125</f>
        <v>0</v>
      </c>
      <c r="AE125" s="10">
        <f>+'A) Base RI'!Y125</f>
        <v>0</v>
      </c>
      <c r="AF125" s="10">
        <f>+'A) Base RI'!Z125</f>
        <v>4174.21</v>
      </c>
      <c r="AG125" s="10">
        <f>+'A) Base RI'!AA125</f>
        <v>280499.49</v>
      </c>
      <c r="AH125" s="10">
        <f>+'A) Base RI'!AB125</f>
        <v>264421.8</v>
      </c>
      <c r="AI125" s="10">
        <f>+'A) Base RI'!AC125</f>
        <v>131278.94</v>
      </c>
      <c r="AJ125" s="10">
        <f>+'A) Base RI'!AD125</f>
        <v>0</v>
      </c>
      <c r="AK125" s="10">
        <f>+'A) Base RI'!AE125</f>
        <v>7741.02</v>
      </c>
      <c r="AL125" s="10">
        <f>+'A) Base RI'!AF125</f>
        <v>0</v>
      </c>
      <c r="AM125" s="10">
        <f>+'A) Base RI'!AG125</f>
        <v>0</v>
      </c>
      <c r="AN125" s="10">
        <f>+'A) Base RI'!AH125</f>
        <v>46057.9</v>
      </c>
      <c r="AO125" s="10">
        <f>+'A) Base RI'!AI125</f>
        <v>0</v>
      </c>
      <c r="AP125" s="10">
        <f>+'A) Base RI'!AJ125</f>
        <v>0</v>
      </c>
      <c r="AQ125" s="10">
        <f>+'A) Base RI'!AK125</f>
        <v>0</v>
      </c>
      <c r="AR125" s="10">
        <f>'A) Base RI'!AN125</f>
        <v>2250</v>
      </c>
    </row>
    <row r="126" spans="1:44" x14ac:dyDescent="0.25">
      <c r="A126" s="8">
        <f>'A) Base RI'!A126</f>
        <v>5604</v>
      </c>
      <c r="B126" s="34" t="str">
        <f>'A) Base RI'!B126</f>
        <v>Forel (Lavaux)</v>
      </c>
      <c r="C126" s="10">
        <f>'A) Base RI'!C126+'A) Base RI'!D126</f>
        <v>4019703.8099999996</v>
      </c>
      <c r="D126" s="10">
        <f>'A) Base RI'!AO126</f>
        <v>-103202.36</v>
      </c>
      <c r="E126" s="33">
        <f>'A) Base RI'!AP126</f>
        <v>0</v>
      </c>
      <c r="F126" s="33">
        <f>'A) Base RI'!AQ126</f>
        <v>-346.72</v>
      </c>
      <c r="G126" s="2">
        <f t="shared" si="6"/>
        <v>3916154.7299999995</v>
      </c>
      <c r="H126" s="10">
        <f>+'A) Base RI'!E126</f>
        <v>0</v>
      </c>
      <c r="I126" s="10">
        <f>+'A) Base RI'!F126</f>
        <v>0</v>
      </c>
      <c r="J126" s="10">
        <f>+'A) Base RI'!G126+'A) Base RI'!H126</f>
        <v>429962.05</v>
      </c>
      <c r="K126" s="10">
        <f>+'A) Base RI'!I126</f>
        <v>28143.4</v>
      </c>
      <c r="L126" s="10">
        <f>+'A) Base RI'!J126</f>
        <v>109219.26</v>
      </c>
      <c r="M126" s="10">
        <f>+'A) Base RI'!K126</f>
        <v>16731.75</v>
      </c>
      <c r="N126" s="10">
        <f>+'A) Base RI'!Q126</f>
        <v>10135.75</v>
      </c>
      <c r="O126" s="10">
        <f t="shared" si="7"/>
        <v>360597.45</v>
      </c>
      <c r="P126" s="10">
        <f>+'A) Base RI'!L126</f>
        <v>360597.45</v>
      </c>
      <c r="Q126" s="36">
        <f>'A) Base RI'!AR126</f>
        <v>1</v>
      </c>
      <c r="R126" s="2">
        <f t="shared" si="8"/>
        <v>4870944.3899999997</v>
      </c>
      <c r="S126" s="35">
        <f>+'A) Base RI'!AM126</f>
        <v>68</v>
      </c>
      <c r="T126" s="2">
        <f t="shared" si="9"/>
        <v>4493615.1899999995</v>
      </c>
      <c r="U126" s="2">
        <f t="shared" si="10"/>
        <v>71631.535147058821</v>
      </c>
      <c r="V126" s="10">
        <f>+'A) Base RI'!O126</f>
        <v>996.3</v>
      </c>
      <c r="W126" s="10">
        <f>+'A) Base RI'!P126</f>
        <v>148090.25</v>
      </c>
      <c r="X126" s="10">
        <f>+'A) Base RI'!R126</f>
        <v>161595.5</v>
      </c>
      <c r="Y126" s="2">
        <f t="shared" si="11"/>
        <v>310682.05</v>
      </c>
      <c r="Z126" s="10">
        <f>+'A) Base RI'!N126</f>
        <v>62723.199999999997</v>
      </c>
      <c r="AA126" s="10">
        <f>+'A) Base RI'!S126+'A) Base RI'!T126</f>
        <v>3426.25</v>
      </c>
      <c r="AB126" s="10">
        <f>+'A) Base RI'!U126</f>
        <v>22600</v>
      </c>
      <c r="AC126" s="10">
        <f>+'A) Base RI'!V126</f>
        <v>531</v>
      </c>
      <c r="AD126" s="10">
        <f>+'A) Base RI'!W126</f>
        <v>0</v>
      </c>
      <c r="AE126" s="10">
        <f>+'A) Base RI'!Y126</f>
        <v>18995.2</v>
      </c>
      <c r="AF126" s="10">
        <f>+'A) Base RI'!Z126</f>
        <v>373.3</v>
      </c>
      <c r="AG126" s="10">
        <f>+'A) Base RI'!AA126</f>
        <v>365539.1</v>
      </c>
      <c r="AH126" s="10">
        <f>+'A) Base RI'!AB126</f>
        <v>0</v>
      </c>
      <c r="AI126" s="10">
        <f>+'A) Base RI'!AC126</f>
        <v>113425.4</v>
      </c>
      <c r="AJ126" s="10">
        <f>+'A) Base RI'!AD126</f>
        <v>4290.3999999999996</v>
      </c>
      <c r="AK126" s="10">
        <f>+'A) Base RI'!AE126</f>
        <v>2001.8</v>
      </c>
      <c r="AL126" s="10">
        <f>+'A) Base RI'!AF126</f>
        <v>0</v>
      </c>
      <c r="AM126" s="10">
        <f>+'A) Base RI'!AG126</f>
        <v>11200.2</v>
      </c>
      <c r="AN126" s="10">
        <f>+'A) Base RI'!AH126</f>
        <v>0</v>
      </c>
      <c r="AO126" s="10">
        <f>+'A) Base RI'!AI126</f>
        <v>0</v>
      </c>
      <c r="AP126" s="10">
        <f>+'A) Base RI'!AJ126</f>
        <v>0</v>
      </c>
      <c r="AQ126" s="10">
        <f>+'A) Base RI'!AK126</f>
        <v>0</v>
      </c>
      <c r="AR126" s="10">
        <f>'A) Base RI'!AN126</f>
        <v>2084</v>
      </c>
    </row>
    <row r="127" spans="1:44" x14ac:dyDescent="0.25">
      <c r="A127" s="8">
        <f>'A) Base RI'!A127</f>
        <v>5606</v>
      </c>
      <c r="B127" s="34" t="str">
        <f>'A) Base RI'!B127</f>
        <v>Lutry</v>
      </c>
      <c r="C127" s="10">
        <f>'A) Base RI'!C127+'A) Base RI'!D127</f>
        <v>39429377.359999999</v>
      </c>
      <c r="D127" s="10">
        <f>'A) Base RI'!AO127</f>
        <v>-289283.12</v>
      </c>
      <c r="E127" s="33">
        <f>'A) Base RI'!AP127</f>
        <v>0</v>
      </c>
      <c r="F127" s="33">
        <f>'A) Base RI'!AQ127</f>
        <v>-38077.919999999998</v>
      </c>
      <c r="G127" s="2">
        <f t="shared" si="6"/>
        <v>39102016.32</v>
      </c>
      <c r="H127" s="10">
        <f>+'A) Base RI'!E127</f>
        <v>0</v>
      </c>
      <c r="I127" s="10">
        <f>+'A) Base RI'!F127</f>
        <v>0</v>
      </c>
      <c r="J127" s="10">
        <f>+'A) Base RI'!G127+'A) Base RI'!H127</f>
        <v>1931414.5</v>
      </c>
      <c r="K127" s="10">
        <f>+'A) Base RI'!I127</f>
        <v>1418252.61</v>
      </c>
      <c r="L127" s="10">
        <f>+'A) Base RI'!J127</f>
        <v>746415.9</v>
      </c>
      <c r="M127" s="10">
        <f>+'A) Base RI'!K127</f>
        <v>123390.5</v>
      </c>
      <c r="N127" s="10">
        <f>+'A) Base RI'!Q127</f>
        <v>70047.92</v>
      </c>
      <c r="O127" s="10">
        <f t="shared" si="7"/>
        <v>2814095.5714285714</v>
      </c>
      <c r="P127" s="10">
        <f>+'A) Base RI'!L127</f>
        <v>1969866.9</v>
      </c>
      <c r="Q127" s="36">
        <f>'A) Base RI'!AR127</f>
        <v>0.7</v>
      </c>
      <c r="R127" s="2">
        <f t="shared" si="8"/>
        <v>46205633.321428575</v>
      </c>
      <c r="S127" s="35">
        <f>+'A) Base RI'!AM127</f>
        <v>55.5</v>
      </c>
      <c r="T127" s="2">
        <f t="shared" si="9"/>
        <v>43268147.25</v>
      </c>
      <c r="U127" s="2">
        <f t="shared" si="10"/>
        <v>832533.93371943373</v>
      </c>
      <c r="V127" s="10">
        <f>+'A) Base RI'!O127</f>
        <v>3253830.6</v>
      </c>
      <c r="W127" s="10">
        <f>+'A) Base RI'!P127</f>
        <v>1555512</v>
      </c>
      <c r="X127" s="10">
        <f>+'A) Base RI'!R127</f>
        <v>1464890.3</v>
      </c>
      <c r="Y127" s="2">
        <f t="shared" si="11"/>
        <v>6274232.8999999994</v>
      </c>
      <c r="Z127" s="10">
        <f>+'A) Base RI'!N127</f>
        <v>101865.55</v>
      </c>
      <c r="AA127" s="10">
        <f>+'A) Base RI'!S127+'A) Base RI'!T127</f>
        <v>0</v>
      </c>
      <c r="AB127" s="10">
        <f>+'A) Base RI'!U127</f>
        <v>44950</v>
      </c>
      <c r="AC127" s="10">
        <f>+'A) Base RI'!V127</f>
        <v>0</v>
      </c>
      <c r="AD127" s="10">
        <f>+'A) Base RI'!W127</f>
        <v>5806</v>
      </c>
      <c r="AE127" s="10">
        <f>+'A) Base RI'!Y127</f>
        <v>270222</v>
      </c>
      <c r="AF127" s="10">
        <f>+'A) Base RI'!Z127</f>
        <v>0</v>
      </c>
      <c r="AG127" s="10">
        <f>+'A) Base RI'!AA127</f>
        <v>1231839</v>
      </c>
      <c r="AH127" s="10">
        <f>+'A) Base RI'!AB127</f>
        <v>0</v>
      </c>
      <c r="AI127" s="10">
        <f>+'A) Base RI'!AC127</f>
        <v>1413740</v>
      </c>
      <c r="AJ127" s="10">
        <f>+'A) Base RI'!AD127</f>
        <v>190893</v>
      </c>
      <c r="AK127" s="10">
        <f>+'A) Base RI'!AE127</f>
        <v>0</v>
      </c>
      <c r="AL127" s="10">
        <f>+'A) Base RI'!AF127</f>
        <v>0</v>
      </c>
      <c r="AM127" s="10">
        <f>+'A) Base RI'!AG127</f>
        <v>18111.599999999999</v>
      </c>
      <c r="AN127" s="10">
        <f>+'A) Base RI'!AH127</f>
        <v>287088</v>
      </c>
      <c r="AO127" s="10">
        <f>+'A) Base RI'!AI127</f>
        <v>205062</v>
      </c>
      <c r="AP127" s="10">
        <f>+'A) Base RI'!AJ127</f>
        <v>82025</v>
      </c>
      <c r="AQ127" s="10">
        <f>+'A) Base RI'!AK127</f>
        <v>0</v>
      </c>
      <c r="AR127" s="10">
        <f>'A) Base RI'!AN127</f>
        <v>10001</v>
      </c>
    </row>
    <row r="128" spans="1:44" x14ac:dyDescent="0.25">
      <c r="A128" s="8">
        <f>'A) Base RI'!A128</f>
        <v>5607</v>
      </c>
      <c r="B128" s="34" t="str">
        <f>'A) Base RI'!B128</f>
        <v>Puidoux</v>
      </c>
      <c r="C128" s="10">
        <f>'A) Base RI'!C128+'A) Base RI'!D128</f>
        <v>6027010.5899999999</v>
      </c>
      <c r="D128" s="10">
        <f>'A) Base RI'!AO128</f>
        <v>-102132.22</v>
      </c>
      <c r="E128" s="33">
        <f>'A) Base RI'!AP128</f>
        <v>0</v>
      </c>
      <c r="F128" s="33">
        <f>'A) Base RI'!AQ128</f>
        <v>-1069.3</v>
      </c>
      <c r="G128" s="2">
        <f t="shared" si="6"/>
        <v>5923809.0700000003</v>
      </c>
      <c r="H128" s="10">
        <f>+'A) Base RI'!E128</f>
        <v>0</v>
      </c>
      <c r="I128" s="10">
        <f>+'A) Base RI'!F128</f>
        <v>0</v>
      </c>
      <c r="J128" s="10">
        <f>+'A) Base RI'!G128+'A) Base RI'!H128</f>
        <v>860079.15</v>
      </c>
      <c r="K128" s="10">
        <f>+'A) Base RI'!I128</f>
        <v>-35044.949999999997</v>
      </c>
      <c r="L128" s="10">
        <f>+'A) Base RI'!J128</f>
        <v>160286.93</v>
      </c>
      <c r="M128" s="10">
        <f>+'A) Base RI'!K128</f>
        <v>57264.05</v>
      </c>
      <c r="N128" s="10">
        <f>+'A) Base RI'!Q128</f>
        <v>30748.75</v>
      </c>
      <c r="O128" s="10">
        <f t="shared" si="7"/>
        <v>599614.21739130432</v>
      </c>
      <c r="P128" s="10">
        <f>+'A) Base RI'!L128</f>
        <v>689556.35</v>
      </c>
      <c r="Q128" s="36">
        <f>'A) Base RI'!AR128</f>
        <v>1.1499999999999999</v>
      </c>
      <c r="R128" s="2">
        <f t="shared" si="8"/>
        <v>7596757.2173913047</v>
      </c>
      <c r="S128" s="35">
        <f>+'A) Base RI'!AM128</f>
        <v>70</v>
      </c>
      <c r="T128" s="2">
        <f t="shared" si="9"/>
        <v>6939878.9500000002</v>
      </c>
      <c r="U128" s="2">
        <f t="shared" si="10"/>
        <v>108525.10310559007</v>
      </c>
      <c r="V128" s="10">
        <f>+'A) Base RI'!O128</f>
        <v>0</v>
      </c>
      <c r="W128" s="10">
        <f>+'A) Base RI'!P128</f>
        <v>533899.65</v>
      </c>
      <c r="X128" s="10">
        <f>+'A) Base RI'!R128</f>
        <v>139176.25</v>
      </c>
      <c r="Y128" s="2">
        <f t="shared" si="11"/>
        <v>673075.9</v>
      </c>
      <c r="Z128" s="10">
        <f>+'A) Base RI'!N128</f>
        <v>145055.75</v>
      </c>
      <c r="AA128" s="10">
        <f>+'A) Base RI'!S128+'A) Base RI'!T128</f>
        <v>0</v>
      </c>
      <c r="AB128" s="10">
        <f>+'A) Base RI'!U128</f>
        <v>19300</v>
      </c>
      <c r="AC128" s="10">
        <f>+'A) Base RI'!V128</f>
        <v>0</v>
      </c>
      <c r="AD128" s="10">
        <f>+'A) Base RI'!W128</f>
        <v>0</v>
      </c>
      <c r="AE128" s="10">
        <f>+'A) Base RI'!Y128</f>
        <v>12011.75</v>
      </c>
      <c r="AF128" s="10">
        <f>+'A) Base RI'!Z128</f>
        <v>0</v>
      </c>
      <c r="AG128" s="10">
        <f>+'A) Base RI'!AA128</f>
        <v>180014</v>
      </c>
      <c r="AH128" s="10">
        <f>+'A) Base RI'!AB128</f>
        <v>367260.75</v>
      </c>
      <c r="AI128" s="10">
        <f>+'A) Base RI'!AC128</f>
        <v>151486</v>
      </c>
      <c r="AJ128" s="10">
        <f>+'A) Base RI'!AD128</f>
        <v>11533.75</v>
      </c>
      <c r="AK128" s="10">
        <f>+'A) Base RI'!AE128</f>
        <v>0</v>
      </c>
      <c r="AL128" s="10">
        <f>+'A) Base RI'!AF128</f>
        <v>0</v>
      </c>
      <c r="AM128" s="10">
        <f>+'A) Base RI'!AG128</f>
        <v>45871.95</v>
      </c>
      <c r="AN128" s="10">
        <f>+'A) Base RI'!AH128</f>
        <v>148189.70000000001</v>
      </c>
      <c r="AO128" s="10">
        <f>+'A) Base RI'!AI128</f>
        <v>0</v>
      </c>
      <c r="AP128" s="10">
        <f>+'A) Base RI'!AJ128</f>
        <v>0</v>
      </c>
      <c r="AQ128" s="10">
        <f>+'A) Base RI'!AK128</f>
        <v>0</v>
      </c>
      <c r="AR128" s="10">
        <f>'A) Base RI'!AN128</f>
        <v>2904</v>
      </c>
    </row>
    <row r="129" spans="1:44" x14ac:dyDescent="0.25">
      <c r="A129" s="8">
        <f>'A) Base RI'!A129</f>
        <v>5609</v>
      </c>
      <c r="B129" s="34" t="str">
        <f>'A) Base RI'!B129</f>
        <v>Rivaz</v>
      </c>
      <c r="C129" s="10">
        <f>'A) Base RI'!C129+'A) Base RI'!D129</f>
        <v>899365.12000000011</v>
      </c>
      <c r="D129" s="10">
        <f>'A) Base RI'!AO129</f>
        <v>-3659.34</v>
      </c>
      <c r="E129" s="33">
        <f>'A) Base RI'!AP129</f>
        <v>0</v>
      </c>
      <c r="F129" s="33">
        <f>'A) Base RI'!AQ129</f>
        <v>-163.63</v>
      </c>
      <c r="G129" s="2">
        <f t="shared" si="6"/>
        <v>895542.15000000014</v>
      </c>
      <c r="H129" s="10">
        <f>+'A) Base RI'!E129</f>
        <v>0</v>
      </c>
      <c r="I129" s="10">
        <f>+'A) Base RI'!F129</f>
        <v>0</v>
      </c>
      <c r="J129" s="10">
        <f>+'A) Base RI'!G129+'A) Base RI'!H129</f>
        <v>7381.2</v>
      </c>
      <c r="K129" s="10">
        <f>+'A) Base RI'!I129</f>
        <v>0</v>
      </c>
      <c r="L129" s="10">
        <f>+'A) Base RI'!J129</f>
        <v>32229.15</v>
      </c>
      <c r="M129" s="10">
        <f>+'A) Base RI'!K129</f>
        <v>1225.4000000000001</v>
      </c>
      <c r="N129" s="10">
        <f>+'A) Base RI'!Q129</f>
        <v>0</v>
      </c>
      <c r="O129" s="10">
        <f t="shared" si="7"/>
        <v>52996.5</v>
      </c>
      <c r="P129" s="10">
        <f>+'A) Base RI'!L129</f>
        <v>52996.5</v>
      </c>
      <c r="Q129" s="36">
        <f>'A) Base RI'!AR129</f>
        <v>1</v>
      </c>
      <c r="R129" s="2">
        <f t="shared" si="8"/>
        <v>989374.40000000014</v>
      </c>
      <c r="S129" s="35">
        <f>+'A) Base RI'!AM129</f>
        <v>63.5</v>
      </c>
      <c r="T129" s="2">
        <f t="shared" si="9"/>
        <v>935152.50000000012</v>
      </c>
      <c r="U129" s="2">
        <f t="shared" si="10"/>
        <v>15580.699212598427</v>
      </c>
      <c r="V129" s="10">
        <f>+'A) Base RI'!O129</f>
        <v>5886</v>
      </c>
      <c r="W129" s="10">
        <f>+'A) Base RI'!P129</f>
        <v>23736.6</v>
      </c>
      <c r="X129" s="10">
        <f>+'A) Base RI'!R129</f>
        <v>44194.65</v>
      </c>
      <c r="Y129" s="2">
        <f t="shared" si="11"/>
        <v>73817.25</v>
      </c>
      <c r="Z129" s="10">
        <f>+'A) Base RI'!N129</f>
        <v>0</v>
      </c>
      <c r="AA129" s="10">
        <f>+'A) Base RI'!S129+'A) Base RI'!T129</f>
        <v>0</v>
      </c>
      <c r="AB129" s="10">
        <f>+'A) Base RI'!U129</f>
        <v>2550</v>
      </c>
      <c r="AC129" s="10">
        <f>+'A) Base RI'!V129</f>
        <v>0</v>
      </c>
      <c r="AD129" s="10">
        <f>+'A) Base RI'!W129</f>
        <v>0</v>
      </c>
      <c r="AE129" s="10">
        <f>+'A) Base RI'!Y129</f>
        <v>0</v>
      </c>
      <c r="AF129" s="10">
        <f>+'A) Base RI'!Z129</f>
        <v>0</v>
      </c>
      <c r="AG129" s="10">
        <f>+'A) Base RI'!AA129</f>
        <v>34108</v>
      </c>
      <c r="AH129" s="10">
        <f>+'A) Base RI'!AB129</f>
        <v>37926.800000000003</v>
      </c>
      <c r="AI129" s="10">
        <f>+'A) Base RI'!AC129</f>
        <v>21602.5</v>
      </c>
      <c r="AJ129" s="10">
        <f>+'A) Base RI'!AD129</f>
        <v>0</v>
      </c>
      <c r="AK129" s="10">
        <f>+'A) Base RI'!AE129</f>
        <v>0</v>
      </c>
      <c r="AL129" s="10">
        <f>+'A) Base RI'!AF129</f>
        <v>0</v>
      </c>
      <c r="AM129" s="10">
        <f>+'A) Base RI'!AG129</f>
        <v>7613.5</v>
      </c>
      <c r="AN129" s="10">
        <f>+'A) Base RI'!AH129</f>
        <v>6146.95</v>
      </c>
      <c r="AO129" s="10">
        <f>+'A) Base RI'!AI129</f>
        <v>0</v>
      </c>
      <c r="AP129" s="10">
        <f>+'A) Base RI'!AJ129</f>
        <v>0</v>
      </c>
      <c r="AQ129" s="10">
        <f>+'A) Base RI'!AK129</f>
        <v>0</v>
      </c>
      <c r="AR129" s="10">
        <f>'A) Base RI'!AN129</f>
        <v>351</v>
      </c>
    </row>
    <row r="130" spans="1:44" x14ac:dyDescent="0.25">
      <c r="A130" s="8">
        <f>'A) Base RI'!A130</f>
        <v>5610</v>
      </c>
      <c r="B130" s="34" t="str">
        <f>'A) Base RI'!B130</f>
        <v>St-Saphorin (Lavaux)</v>
      </c>
      <c r="C130" s="10">
        <f>'A) Base RI'!C130+'A) Base RI'!D130</f>
        <v>1266920.6099999999</v>
      </c>
      <c r="D130" s="10">
        <f>'A) Base RI'!AO130</f>
        <v>-39631.339999999997</v>
      </c>
      <c r="E130" s="33">
        <f>'A) Base RI'!AP130</f>
        <v>0</v>
      </c>
      <c r="F130" s="33">
        <f>'A) Base RI'!AQ130</f>
        <v>-3132.51</v>
      </c>
      <c r="G130" s="2">
        <f t="shared" si="6"/>
        <v>1224156.7599999998</v>
      </c>
      <c r="H130" s="10">
        <f>+'A) Base RI'!E130</f>
        <v>0</v>
      </c>
      <c r="I130" s="10">
        <f>+'A) Base RI'!F130</f>
        <v>0</v>
      </c>
      <c r="J130" s="10">
        <f>+'A) Base RI'!G130+'A) Base RI'!H130</f>
        <v>8691.4500000000007</v>
      </c>
      <c r="K130" s="10">
        <f>+'A) Base RI'!I130</f>
        <v>113527.1</v>
      </c>
      <c r="L130" s="10">
        <f>+'A) Base RI'!J130</f>
        <v>43089.89</v>
      </c>
      <c r="M130" s="10">
        <f>+'A) Base RI'!K130</f>
        <v>6110.5</v>
      </c>
      <c r="N130" s="10">
        <f>+'A) Base RI'!Q130</f>
        <v>-511.05</v>
      </c>
      <c r="O130" s="10">
        <f t="shared" si="7"/>
        <v>83951.55</v>
      </c>
      <c r="P130" s="10">
        <f>+'A) Base RI'!L130</f>
        <v>83951.55</v>
      </c>
      <c r="Q130" s="36">
        <f>'A) Base RI'!AR130</f>
        <v>1</v>
      </c>
      <c r="R130" s="2">
        <f t="shared" si="8"/>
        <v>1479016.1999999997</v>
      </c>
      <c r="S130" s="35">
        <f>+'A) Base RI'!AM130</f>
        <v>67</v>
      </c>
      <c r="T130" s="2">
        <f t="shared" si="9"/>
        <v>1388954.1499999997</v>
      </c>
      <c r="U130" s="2">
        <f t="shared" si="10"/>
        <v>22074.868656716415</v>
      </c>
      <c r="V130" s="10">
        <f>+'A) Base RI'!O130</f>
        <v>166097.79999999999</v>
      </c>
      <c r="W130" s="10">
        <f>+'A) Base RI'!P130</f>
        <v>6233.25</v>
      </c>
      <c r="X130" s="10">
        <f>+'A) Base RI'!R130</f>
        <v>62495.35</v>
      </c>
      <c r="Y130" s="2">
        <f t="shared" si="11"/>
        <v>234826.4</v>
      </c>
      <c r="Z130" s="10">
        <f>+'A) Base RI'!N130</f>
        <v>0</v>
      </c>
      <c r="AA130" s="10">
        <f>+'A) Base RI'!S130+'A) Base RI'!T130</f>
        <v>0</v>
      </c>
      <c r="AB130" s="10">
        <f>+'A) Base RI'!U130</f>
        <v>4875</v>
      </c>
      <c r="AC130" s="10">
        <f>+'A) Base RI'!V130</f>
        <v>0</v>
      </c>
      <c r="AD130" s="10">
        <f>+'A) Base RI'!W130</f>
        <v>0</v>
      </c>
      <c r="AE130" s="10">
        <f>+'A) Base RI'!Y130</f>
        <v>0</v>
      </c>
      <c r="AF130" s="10">
        <f>+'A) Base RI'!Z130</f>
        <v>0</v>
      </c>
      <c r="AG130" s="10">
        <f>+'A) Base RI'!AA130</f>
        <v>54340</v>
      </c>
      <c r="AH130" s="10">
        <f>+'A) Base RI'!AB130</f>
        <v>0</v>
      </c>
      <c r="AI130" s="10">
        <f>+'A) Base RI'!AC130</f>
        <v>0</v>
      </c>
      <c r="AJ130" s="10">
        <f>+'A) Base RI'!AD130</f>
        <v>0</v>
      </c>
      <c r="AK130" s="10">
        <f>+'A) Base RI'!AE130</f>
        <v>0</v>
      </c>
      <c r="AL130" s="10">
        <f>+'A) Base RI'!AF130</f>
        <v>0</v>
      </c>
      <c r="AM130" s="10">
        <f>+'A) Base RI'!AG130</f>
        <v>0</v>
      </c>
      <c r="AN130" s="10">
        <f>+'A) Base RI'!AH130</f>
        <v>0</v>
      </c>
      <c r="AO130" s="10">
        <f>+'A) Base RI'!AI130</f>
        <v>0</v>
      </c>
      <c r="AP130" s="10">
        <f>+'A) Base RI'!AJ130</f>
        <v>0</v>
      </c>
      <c r="AQ130" s="10">
        <f>+'A) Base RI'!AK130</f>
        <v>0</v>
      </c>
      <c r="AR130" s="10">
        <f>'A) Base RI'!AN130</f>
        <v>389</v>
      </c>
    </row>
    <row r="131" spans="1:44" x14ac:dyDescent="0.25">
      <c r="A131" s="8">
        <f>'A) Base RI'!A131</f>
        <v>5611</v>
      </c>
      <c r="B131" s="34" t="str">
        <f>'A) Base RI'!B131</f>
        <v>Savigny</v>
      </c>
      <c r="C131" s="10">
        <f>'A) Base RI'!C131+'A) Base RI'!D131</f>
        <v>8027728.9500000002</v>
      </c>
      <c r="D131" s="10">
        <f>'A) Base RI'!AO131</f>
        <v>-99702.720000000001</v>
      </c>
      <c r="E131" s="33">
        <f>'A) Base RI'!AP131</f>
        <v>0</v>
      </c>
      <c r="F131" s="33">
        <f>'A) Base RI'!AQ131</f>
        <v>-931.37</v>
      </c>
      <c r="G131" s="2">
        <f t="shared" si="6"/>
        <v>7927094.8600000003</v>
      </c>
      <c r="H131" s="10">
        <f>+'A) Base RI'!E131</f>
        <v>0</v>
      </c>
      <c r="I131" s="10">
        <f>+'A) Base RI'!F131</f>
        <v>0</v>
      </c>
      <c r="J131" s="10">
        <f>+'A) Base RI'!G131+'A) Base RI'!H131</f>
        <v>470820.85000000003</v>
      </c>
      <c r="K131" s="10">
        <f>+'A) Base RI'!I131</f>
        <v>69312.25</v>
      </c>
      <c r="L131" s="10">
        <f>+'A) Base RI'!J131</f>
        <v>149834.14000000001</v>
      </c>
      <c r="M131" s="10">
        <f>+'A) Base RI'!K131</f>
        <v>9369.6</v>
      </c>
      <c r="N131" s="10">
        <f>+'A) Base RI'!Q131</f>
        <v>34828.19</v>
      </c>
      <c r="O131" s="10">
        <f t="shared" si="7"/>
        <v>619994.70833333337</v>
      </c>
      <c r="P131" s="10">
        <f>+'A) Base RI'!L131</f>
        <v>743993.65</v>
      </c>
      <c r="Q131" s="36">
        <f>'A) Base RI'!AR131</f>
        <v>1.2</v>
      </c>
      <c r="R131" s="2">
        <f t="shared" si="8"/>
        <v>9281254.5983333346</v>
      </c>
      <c r="S131" s="35">
        <f>+'A) Base RI'!AM131</f>
        <v>69</v>
      </c>
      <c r="T131" s="2">
        <f t="shared" si="9"/>
        <v>8651890.290000001</v>
      </c>
      <c r="U131" s="2">
        <f t="shared" si="10"/>
        <v>134510.93620772948</v>
      </c>
      <c r="V131" s="10">
        <f>+'A) Base RI'!O131</f>
        <v>573197.4</v>
      </c>
      <c r="W131" s="10">
        <f>+'A) Base RI'!P131</f>
        <v>296514.59999999998</v>
      </c>
      <c r="X131" s="10">
        <f>+'A) Base RI'!R131</f>
        <v>277460.05</v>
      </c>
      <c r="Y131" s="2">
        <f t="shared" si="11"/>
        <v>1147172.05</v>
      </c>
      <c r="Z131" s="10">
        <f>+'A) Base RI'!N131</f>
        <v>134342.79999999999</v>
      </c>
      <c r="AA131" s="10">
        <f>+'A) Base RI'!S131+'A) Base RI'!T131</f>
        <v>17302.95</v>
      </c>
      <c r="AB131" s="10">
        <f>+'A) Base RI'!U131</f>
        <v>19985</v>
      </c>
      <c r="AC131" s="10">
        <f>+'A) Base RI'!V131</f>
        <v>693.15</v>
      </c>
      <c r="AD131" s="10">
        <f>+'A) Base RI'!W131</f>
        <v>0</v>
      </c>
      <c r="AE131" s="10">
        <f>+'A) Base RI'!Y131</f>
        <v>60126.74</v>
      </c>
      <c r="AF131" s="10">
        <f>+'A) Base RI'!Z131</f>
        <v>27427.040000000001</v>
      </c>
      <c r="AG131" s="10">
        <f>+'A) Base RI'!AA131</f>
        <v>0</v>
      </c>
      <c r="AH131" s="10">
        <f>+'A) Base RI'!AB131</f>
        <v>0</v>
      </c>
      <c r="AI131" s="10">
        <f>+'A) Base RI'!AC131</f>
        <v>314358.24</v>
      </c>
      <c r="AJ131" s="10">
        <f>+'A) Base RI'!AD131</f>
        <v>5921.45</v>
      </c>
      <c r="AK131" s="10">
        <f>+'A) Base RI'!AE131</f>
        <v>27532.59</v>
      </c>
      <c r="AL131" s="10">
        <f>+'A) Base RI'!AF131</f>
        <v>0</v>
      </c>
      <c r="AM131" s="10">
        <f>+'A) Base RI'!AG131</f>
        <v>0</v>
      </c>
      <c r="AN131" s="10">
        <f>+'A) Base RI'!AH131</f>
        <v>0</v>
      </c>
      <c r="AO131" s="10">
        <f>+'A) Base RI'!AI131</f>
        <v>0</v>
      </c>
      <c r="AP131" s="10">
        <f>+'A) Base RI'!AJ131</f>
        <v>0</v>
      </c>
      <c r="AQ131" s="10">
        <f>+'A) Base RI'!AK131</f>
        <v>0</v>
      </c>
      <c r="AR131" s="10">
        <f>'A) Base RI'!AN131</f>
        <v>3352</v>
      </c>
    </row>
    <row r="132" spans="1:44" x14ac:dyDescent="0.25">
      <c r="A132" s="8">
        <f>'A) Base RI'!A132</f>
        <v>5613</v>
      </c>
      <c r="B132" s="34" t="str">
        <f>'A) Base RI'!B132</f>
        <v>Bourg-en-Lavaux</v>
      </c>
      <c r="C132" s="10">
        <f>'A) Base RI'!C132+'A) Base RI'!D132</f>
        <v>18198540.559999999</v>
      </c>
      <c r="D132" s="10">
        <f>'A) Base RI'!AO132</f>
        <v>-158129.57999999999</v>
      </c>
      <c r="E132" s="33">
        <f>'A) Base RI'!AP132</f>
        <v>0</v>
      </c>
      <c r="F132" s="33">
        <f>'A) Base RI'!AQ132</f>
        <v>-6888.22</v>
      </c>
      <c r="G132" s="2">
        <f t="shared" si="6"/>
        <v>18033522.760000002</v>
      </c>
      <c r="H132" s="10">
        <f>+'A) Base RI'!E132</f>
        <v>0</v>
      </c>
      <c r="I132" s="10">
        <f>+'A) Base RI'!F132</f>
        <v>0</v>
      </c>
      <c r="J132" s="10">
        <f>+'A) Base RI'!G132+'A) Base RI'!H132</f>
        <v>254983.15</v>
      </c>
      <c r="K132" s="10">
        <f>+'A) Base RI'!I132</f>
        <v>150982.20000000001</v>
      </c>
      <c r="L132" s="10">
        <f>+'A) Base RI'!J132</f>
        <v>413820.12</v>
      </c>
      <c r="M132" s="10">
        <f>+'A) Base RI'!K132</f>
        <v>26619.4</v>
      </c>
      <c r="N132" s="10">
        <f>+'A) Base RI'!Q132</f>
        <v>9478.5400000000009</v>
      </c>
      <c r="O132" s="10">
        <f t="shared" si="7"/>
        <v>1282089.2666666666</v>
      </c>
      <c r="P132" s="10">
        <f>+'A) Base RI'!L132</f>
        <v>1923133.9</v>
      </c>
      <c r="Q132" s="36">
        <f>'A) Base RI'!AR132</f>
        <v>1.5</v>
      </c>
      <c r="R132" s="2">
        <f t="shared" si="8"/>
        <v>20171495.436666664</v>
      </c>
      <c r="S132" s="35">
        <f>+'A) Base RI'!AM132</f>
        <v>61</v>
      </c>
      <c r="T132" s="2">
        <f t="shared" si="9"/>
        <v>18862786.77</v>
      </c>
      <c r="U132" s="2">
        <f t="shared" si="10"/>
        <v>330680.25306010921</v>
      </c>
      <c r="V132" s="10">
        <f>+'A) Base RI'!O132</f>
        <v>242481.1</v>
      </c>
      <c r="W132" s="10">
        <f>+'A) Base RI'!P132</f>
        <v>668142.85</v>
      </c>
      <c r="X132" s="10">
        <f>+'A) Base RI'!R132</f>
        <v>690231.5</v>
      </c>
      <c r="Y132" s="2">
        <f t="shared" si="11"/>
        <v>1600855.45</v>
      </c>
      <c r="Z132" s="10">
        <f>+'A) Base RI'!N132</f>
        <v>18736</v>
      </c>
      <c r="AA132" s="10">
        <f>+'A) Base RI'!S132+'A) Base RI'!T132</f>
        <v>0</v>
      </c>
      <c r="AB132" s="10">
        <f>+'A) Base RI'!U132</f>
        <v>25200</v>
      </c>
      <c r="AC132" s="10">
        <f>+'A) Base RI'!V132</f>
        <v>0</v>
      </c>
      <c r="AD132" s="10">
        <f>+'A) Base RI'!W132</f>
        <v>0</v>
      </c>
      <c r="AE132" s="10">
        <f>+'A) Base RI'!Y132</f>
        <v>-8320</v>
      </c>
      <c r="AF132" s="10">
        <f>+'A) Base RI'!Z132</f>
        <v>0</v>
      </c>
      <c r="AG132" s="10">
        <f>+'A) Base RI'!AA132</f>
        <v>645184.13</v>
      </c>
      <c r="AH132" s="10">
        <f>+'A) Base RI'!AB132</f>
        <v>0</v>
      </c>
      <c r="AI132" s="10">
        <f>+'A) Base RI'!AC132</f>
        <v>559133.48</v>
      </c>
      <c r="AJ132" s="10">
        <f>+'A) Base RI'!AD132</f>
        <v>24455.61</v>
      </c>
      <c r="AK132" s="10">
        <f>+'A) Base RI'!AE132</f>
        <v>0</v>
      </c>
      <c r="AL132" s="10">
        <f>+'A) Base RI'!AF132</f>
        <v>0</v>
      </c>
      <c r="AM132" s="10">
        <f>+'A) Base RI'!AG132</f>
        <v>153314.1</v>
      </c>
      <c r="AN132" s="10">
        <f>+'A) Base RI'!AH132</f>
        <v>168555.45</v>
      </c>
      <c r="AO132" s="10">
        <f>+'A) Base RI'!AI132</f>
        <v>0</v>
      </c>
      <c r="AP132" s="10">
        <f>+'A) Base RI'!AJ132</f>
        <v>0</v>
      </c>
      <c r="AQ132" s="10">
        <f>+'A) Base RI'!AK132</f>
        <v>0</v>
      </c>
      <c r="AR132" s="10">
        <f>'A) Base RI'!AN132</f>
        <v>5288</v>
      </c>
    </row>
    <row r="133" spans="1:44" x14ac:dyDescent="0.25">
      <c r="A133" s="8">
        <f>'A) Base RI'!A133</f>
        <v>5621</v>
      </c>
      <c r="B133" s="34" t="str">
        <f>'A) Base RI'!B133</f>
        <v>Aclens</v>
      </c>
      <c r="C133" s="10">
        <f>'A) Base RI'!C133+'A) Base RI'!D133</f>
        <v>1206692.52</v>
      </c>
      <c r="D133" s="10">
        <f>'A) Base RI'!AO133</f>
        <v>-155107.92000000001</v>
      </c>
      <c r="E133" s="33">
        <f>'A) Base RI'!AP133</f>
        <v>0</v>
      </c>
      <c r="F133" s="33">
        <f>'A) Base RI'!AQ133</f>
        <v>-1580.04</v>
      </c>
      <c r="G133" s="2">
        <f t="shared" si="6"/>
        <v>1050004.56</v>
      </c>
      <c r="H133" s="10">
        <f>+'A) Base RI'!E133</f>
        <v>0</v>
      </c>
      <c r="I133" s="10">
        <f>+'A) Base RI'!F133</f>
        <v>0</v>
      </c>
      <c r="J133" s="10">
        <f>+'A) Base RI'!G133+'A) Base RI'!H133</f>
        <v>524369.1</v>
      </c>
      <c r="K133" s="10">
        <f>+'A) Base RI'!I133</f>
        <v>0</v>
      </c>
      <c r="L133" s="10">
        <f>+'A) Base RI'!J133</f>
        <v>59819.55</v>
      </c>
      <c r="M133" s="10">
        <f>+'A) Base RI'!K133</f>
        <v>-5234.8500000000004</v>
      </c>
      <c r="N133" s="10">
        <f>+'A) Base RI'!Q133</f>
        <v>147690.70000000001</v>
      </c>
      <c r="O133" s="10">
        <f t="shared" si="7"/>
        <v>276391.13636363635</v>
      </c>
      <c r="P133" s="10">
        <f>+'A) Base RI'!L133</f>
        <v>304030.25</v>
      </c>
      <c r="Q133" s="36">
        <f>'A) Base RI'!AR133</f>
        <v>1.1000000000000001</v>
      </c>
      <c r="R133" s="2">
        <f t="shared" si="8"/>
        <v>2053040.1963636363</v>
      </c>
      <c r="S133" s="35">
        <f>+'A) Base RI'!AM133</f>
        <v>62</v>
      </c>
      <c r="T133" s="2">
        <f t="shared" si="9"/>
        <v>1781883.9100000001</v>
      </c>
      <c r="U133" s="2">
        <f t="shared" si="10"/>
        <v>33113.551554252197</v>
      </c>
      <c r="V133" s="10">
        <f>+'A) Base RI'!O133</f>
        <v>131916.70000000001</v>
      </c>
      <c r="W133" s="10">
        <f>+'A) Base RI'!P133</f>
        <v>184944.5</v>
      </c>
      <c r="X133" s="10">
        <f>+'A) Base RI'!R133</f>
        <v>266833.5</v>
      </c>
      <c r="Y133" s="2">
        <f t="shared" si="11"/>
        <v>583694.69999999995</v>
      </c>
      <c r="Z133" s="10">
        <f>+'A) Base RI'!N133</f>
        <v>167208.75</v>
      </c>
      <c r="AA133" s="10">
        <f>+'A) Base RI'!S133+'A) Base RI'!T133</f>
        <v>9964.5</v>
      </c>
      <c r="AB133" s="10">
        <f>+'A) Base RI'!U133</f>
        <v>2360</v>
      </c>
      <c r="AC133" s="10">
        <f>+'A) Base RI'!V133</f>
        <v>0</v>
      </c>
      <c r="AD133" s="10">
        <f>+'A) Base RI'!W133</f>
        <v>0</v>
      </c>
      <c r="AE133" s="10">
        <f>+'A) Base RI'!Y133</f>
        <v>7277.4</v>
      </c>
      <c r="AF133" s="10">
        <f>+'A) Base RI'!Z133</f>
        <v>0</v>
      </c>
      <c r="AG133" s="10">
        <f>+'A) Base RI'!AA133</f>
        <v>179228.85</v>
      </c>
      <c r="AH133" s="10">
        <f>+'A) Base RI'!AB133</f>
        <v>0</v>
      </c>
      <c r="AI133" s="10">
        <f>+'A) Base RI'!AC133</f>
        <v>43681</v>
      </c>
      <c r="AJ133" s="10">
        <f>+'A) Base RI'!AD133</f>
        <v>9321.65</v>
      </c>
      <c r="AK133" s="10">
        <f>+'A) Base RI'!AE133</f>
        <v>0</v>
      </c>
      <c r="AL133" s="10">
        <f>+'A) Base RI'!AF133</f>
        <v>0</v>
      </c>
      <c r="AM133" s="10">
        <f>+'A) Base RI'!AG133</f>
        <v>0</v>
      </c>
      <c r="AN133" s="10">
        <f>+'A) Base RI'!AH133</f>
        <v>106064.4</v>
      </c>
      <c r="AO133" s="10">
        <f>+'A) Base RI'!AI133</f>
        <v>0</v>
      </c>
      <c r="AP133" s="10">
        <f>+'A) Base RI'!AJ133</f>
        <v>0</v>
      </c>
      <c r="AQ133" s="10">
        <f>+'A) Base RI'!AK133</f>
        <v>0</v>
      </c>
      <c r="AR133" s="10">
        <f>'A) Base RI'!AN133</f>
        <v>545</v>
      </c>
    </row>
    <row r="134" spans="1:44" x14ac:dyDescent="0.25">
      <c r="A134" s="8">
        <f>'A) Base RI'!A134</f>
        <v>5622</v>
      </c>
      <c r="B134" s="34" t="str">
        <f>'A) Base RI'!B134</f>
        <v>Bremblens</v>
      </c>
      <c r="C134" s="10">
        <f>'A) Base RI'!C134+'A) Base RI'!D134</f>
        <v>1575428.58</v>
      </c>
      <c r="D134" s="10">
        <f>'A) Base RI'!AO134</f>
        <v>-891.3</v>
      </c>
      <c r="E134" s="33">
        <f>'A) Base RI'!AP134</f>
        <v>0</v>
      </c>
      <c r="F134" s="33">
        <f>'A) Base RI'!AQ134</f>
        <v>-45.53</v>
      </c>
      <c r="G134" s="2">
        <f t="shared" si="6"/>
        <v>1574491.75</v>
      </c>
      <c r="H134" s="10">
        <f>+'A) Base RI'!E134</f>
        <v>0</v>
      </c>
      <c r="I134" s="10">
        <f>+'A) Base RI'!F134</f>
        <v>0</v>
      </c>
      <c r="J134" s="10">
        <f>+'A) Base RI'!G134+'A) Base RI'!H134</f>
        <v>212760.7</v>
      </c>
      <c r="K134" s="10">
        <f>+'A) Base RI'!I134</f>
        <v>0</v>
      </c>
      <c r="L134" s="10">
        <f>+'A) Base RI'!J134</f>
        <v>134834.70000000001</v>
      </c>
      <c r="M134" s="10">
        <f>+'A) Base RI'!K134</f>
        <v>5698</v>
      </c>
      <c r="N134" s="10">
        <f>+'A) Base RI'!Q134</f>
        <v>0</v>
      </c>
      <c r="O134" s="10">
        <f t="shared" si="7"/>
        <v>134410</v>
      </c>
      <c r="P134" s="10">
        <f>+'A) Base RI'!L134</f>
        <v>134410</v>
      </c>
      <c r="Q134" s="36">
        <f>'A) Base RI'!AR134</f>
        <v>1</v>
      </c>
      <c r="R134" s="2">
        <f t="shared" si="8"/>
        <v>2062195.15</v>
      </c>
      <c r="S134" s="35">
        <f>+'A) Base RI'!AM134</f>
        <v>66</v>
      </c>
      <c r="T134" s="2">
        <f t="shared" si="9"/>
        <v>1922087.15</v>
      </c>
      <c r="U134" s="2">
        <f t="shared" si="10"/>
        <v>31245.381060606058</v>
      </c>
      <c r="V134" s="10">
        <f>+'A) Base RI'!O134</f>
        <v>0</v>
      </c>
      <c r="W134" s="10">
        <f>+'A) Base RI'!P134</f>
        <v>36517.15</v>
      </c>
      <c r="X134" s="10">
        <f>+'A) Base RI'!R134</f>
        <v>25680.15</v>
      </c>
      <c r="Y134" s="2">
        <f t="shared" si="11"/>
        <v>62197.3</v>
      </c>
      <c r="Z134" s="10">
        <f>+'A) Base RI'!N134</f>
        <v>17319.55</v>
      </c>
      <c r="AA134" s="10">
        <f>+'A) Base RI'!S134+'A) Base RI'!T134</f>
        <v>0</v>
      </c>
      <c r="AB134" s="10">
        <f>+'A) Base RI'!U134</f>
        <v>2120</v>
      </c>
      <c r="AC134" s="10">
        <f>+'A) Base RI'!V134</f>
        <v>0</v>
      </c>
      <c r="AD134" s="10">
        <f>+'A) Base RI'!W134</f>
        <v>0</v>
      </c>
      <c r="AE134" s="10">
        <f>+'A) Base RI'!Y134</f>
        <v>28903.200000000001</v>
      </c>
      <c r="AF134" s="10">
        <f>+'A) Base RI'!Z134</f>
        <v>0</v>
      </c>
      <c r="AG134" s="10">
        <f>+'A) Base RI'!AA134</f>
        <v>182251.45</v>
      </c>
      <c r="AH134" s="10">
        <f>+'A) Base RI'!AB134</f>
        <v>0</v>
      </c>
      <c r="AI134" s="10">
        <f>+'A) Base RI'!AC134</f>
        <v>66648.600000000006</v>
      </c>
      <c r="AJ134" s="10">
        <f>+'A) Base RI'!AD134</f>
        <v>17080</v>
      </c>
      <c r="AK134" s="10">
        <f>+'A) Base RI'!AE134</f>
        <v>0</v>
      </c>
      <c r="AL134" s="10">
        <f>+'A) Base RI'!AF134</f>
        <v>0</v>
      </c>
      <c r="AM134" s="10">
        <f>+'A) Base RI'!AG134</f>
        <v>0</v>
      </c>
      <c r="AN134" s="10">
        <f>+'A) Base RI'!AH134</f>
        <v>0</v>
      </c>
      <c r="AO134" s="10">
        <f>+'A) Base RI'!AI134</f>
        <v>0</v>
      </c>
      <c r="AP134" s="10">
        <f>+'A) Base RI'!AJ134</f>
        <v>0</v>
      </c>
      <c r="AQ134" s="10">
        <f>+'A) Base RI'!AK134</f>
        <v>0</v>
      </c>
      <c r="AR134" s="10">
        <f>'A) Base RI'!AN134</f>
        <v>547</v>
      </c>
    </row>
    <row r="135" spans="1:44" x14ac:dyDescent="0.25">
      <c r="A135" s="8">
        <f>'A) Base RI'!A135</f>
        <v>5623</v>
      </c>
      <c r="B135" s="34" t="str">
        <f>'A) Base RI'!B135</f>
        <v>Buchillon</v>
      </c>
      <c r="C135" s="10">
        <f>'A) Base RI'!C135+'A) Base RI'!D135</f>
        <v>3174177.83</v>
      </c>
      <c r="D135" s="10">
        <f>'A) Base RI'!AO135</f>
        <v>-1610.17</v>
      </c>
      <c r="E135" s="33">
        <f>'A) Base RI'!AP135</f>
        <v>0</v>
      </c>
      <c r="F135" s="33">
        <f>'A) Base RI'!AQ135</f>
        <v>-25657.96</v>
      </c>
      <c r="G135" s="2">
        <f t="shared" si="6"/>
        <v>3146909.7</v>
      </c>
      <c r="H135" s="10">
        <f>+'A) Base RI'!E135</f>
        <v>0</v>
      </c>
      <c r="I135" s="10">
        <f>+'A) Base RI'!F135</f>
        <v>0</v>
      </c>
      <c r="J135" s="10">
        <f>+'A) Base RI'!G135+'A) Base RI'!H135</f>
        <v>225523.9</v>
      </c>
      <c r="K135" s="10">
        <f>+'A) Base RI'!I135</f>
        <v>182427.55</v>
      </c>
      <c r="L135" s="10">
        <f>+'A) Base RI'!J135</f>
        <v>60062.21</v>
      </c>
      <c r="M135" s="10">
        <f>+'A) Base RI'!K135</f>
        <v>4972.3</v>
      </c>
      <c r="N135" s="10">
        <f>+'A) Base RI'!Q135</f>
        <v>1025.95</v>
      </c>
      <c r="O135" s="10">
        <f t="shared" si="7"/>
        <v>312535</v>
      </c>
      <c r="P135" s="10">
        <f>+'A) Base RI'!L135</f>
        <v>312535</v>
      </c>
      <c r="Q135" s="36">
        <f>'A) Base RI'!AR135</f>
        <v>1</v>
      </c>
      <c r="R135" s="2">
        <f t="shared" si="8"/>
        <v>3933456.61</v>
      </c>
      <c r="S135" s="35">
        <f>+'A) Base RI'!AM135</f>
        <v>53</v>
      </c>
      <c r="T135" s="2">
        <f t="shared" si="9"/>
        <v>3615949.31</v>
      </c>
      <c r="U135" s="2">
        <f t="shared" si="10"/>
        <v>74216.162452830191</v>
      </c>
      <c r="V135" s="10">
        <f>+'A) Base RI'!O135</f>
        <v>0</v>
      </c>
      <c r="W135" s="10">
        <f>+'A) Base RI'!P135</f>
        <v>80333</v>
      </c>
      <c r="X135" s="10">
        <f>+'A) Base RI'!R135</f>
        <v>61581.4</v>
      </c>
      <c r="Y135" s="2">
        <f t="shared" si="11"/>
        <v>141914.4</v>
      </c>
      <c r="Z135" s="10">
        <f>+'A) Base RI'!N135</f>
        <v>1757.1</v>
      </c>
      <c r="AA135" s="10">
        <f>+'A) Base RI'!S135+'A) Base RI'!T135</f>
        <v>700</v>
      </c>
      <c r="AB135" s="10">
        <f>+'A) Base RI'!U135</f>
        <v>1475</v>
      </c>
      <c r="AC135" s="10">
        <f>+'A) Base RI'!V135</f>
        <v>0</v>
      </c>
      <c r="AD135" s="10">
        <f>+'A) Base RI'!W135</f>
        <v>0</v>
      </c>
      <c r="AE135" s="10">
        <f>+'A) Base RI'!Y135</f>
        <v>4994.75</v>
      </c>
      <c r="AF135" s="10">
        <f>+'A) Base RI'!Z135</f>
        <v>0</v>
      </c>
      <c r="AG135" s="10">
        <f>+'A) Base RI'!AA135</f>
        <v>134115.25</v>
      </c>
      <c r="AH135" s="10">
        <f>+'A) Base RI'!AB135</f>
        <v>0</v>
      </c>
      <c r="AI135" s="10">
        <f>+'A) Base RI'!AC135</f>
        <v>58575.85</v>
      </c>
      <c r="AJ135" s="10">
        <f>+'A) Base RI'!AD135</f>
        <v>5170.6000000000004</v>
      </c>
      <c r="AK135" s="10">
        <f>+'A) Base RI'!AE135</f>
        <v>0</v>
      </c>
      <c r="AL135" s="10">
        <f>+'A) Base RI'!AF135</f>
        <v>0</v>
      </c>
      <c r="AM135" s="10">
        <f>+'A) Base RI'!AG135</f>
        <v>0</v>
      </c>
      <c r="AN135" s="10">
        <f>+'A) Base RI'!AH135</f>
        <v>0</v>
      </c>
      <c r="AO135" s="10">
        <f>+'A) Base RI'!AI135</f>
        <v>0</v>
      </c>
      <c r="AP135" s="10">
        <f>+'A) Base RI'!AJ135</f>
        <v>0</v>
      </c>
      <c r="AQ135" s="10">
        <f>+'A) Base RI'!AK135</f>
        <v>0</v>
      </c>
      <c r="AR135" s="10">
        <f>'A) Base RI'!AN135</f>
        <v>638</v>
      </c>
    </row>
    <row r="136" spans="1:44" x14ac:dyDescent="0.25">
      <c r="A136" s="8">
        <f>'A) Base RI'!A136</f>
        <v>5624</v>
      </c>
      <c r="B136" s="34" t="str">
        <f>'A) Base RI'!B136</f>
        <v>Bussigny</v>
      </c>
      <c r="C136" s="10">
        <f>'A) Base RI'!C136+'A) Base RI'!D136</f>
        <v>13947222.550000001</v>
      </c>
      <c r="D136" s="10">
        <f>'A) Base RI'!AO136</f>
        <v>-374053.16</v>
      </c>
      <c r="E136" s="33">
        <f>'A) Base RI'!AP136</f>
        <v>0</v>
      </c>
      <c r="F136" s="33">
        <f>'A) Base RI'!AQ136</f>
        <v>0</v>
      </c>
      <c r="G136" s="2">
        <f t="shared" ref="G136:G199" si="12">SUM(C136:F136)</f>
        <v>13573169.390000001</v>
      </c>
      <c r="H136" s="10">
        <f>+'A) Base RI'!E136</f>
        <v>0</v>
      </c>
      <c r="I136" s="10">
        <f>+'A) Base RI'!F136</f>
        <v>0</v>
      </c>
      <c r="J136" s="10">
        <f>+'A) Base RI'!G136+'A) Base RI'!H136</f>
        <v>4263330.1500000004</v>
      </c>
      <c r="K136" s="10">
        <f>+'A) Base RI'!I136</f>
        <v>0</v>
      </c>
      <c r="L136" s="10">
        <f>+'A) Base RI'!J136</f>
        <v>912503.62</v>
      </c>
      <c r="M136" s="10">
        <f>+'A) Base RI'!K136</f>
        <v>284849.59999999998</v>
      </c>
      <c r="N136" s="10">
        <f>+'A) Base RI'!Q136</f>
        <v>62432.5</v>
      </c>
      <c r="O136" s="10">
        <f t="shared" ref="O136:O199" si="13">(P136/Q136)*1</f>
        <v>1778913.75</v>
      </c>
      <c r="P136" s="10">
        <f>+'A) Base RI'!L136</f>
        <v>1778913.75</v>
      </c>
      <c r="Q136" s="36">
        <f>'A) Base RI'!AR136</f>
        <v>1</v>
      </c>
      <c r="R136" s="2">
        <f t="shared" ref="R136:R199" si="14">SUM(G136:O136)</f>
        <v>20875199.010000002</v>
      </c>
      <c r="S136" s="35">
        <f>+'A) Base RI'!AM136</f>
        <v>62</v>
      </c>
      <c r="T136" s="2">
        <f t="shared" ref="T136:T199" si="15">(G136+H136+J136+K136+L136+N136)</f>
        <v>18811435.66</v>
      </c>
      <c r="U136" s="2">
        <f t="shared" ref="U136:U199" si="16">R136/S136</f>
        <v>336696.75822580646</v>
      </c>
      <c r="V136" s="10">
        <f>+'A) Base RI'!O136</f>
        <v>45365.4</v>
      </c>
      <c r="W136" s="10">
        <f>+'A) Base RI'!P136</f>
        <v>1488459.3</v>
      </c>
      <c r="X136" s="10">
        <f>+'A) Base RI'!R136</f>
        <v>381713.4</v>
      </c>
      <c r="Y136" s="2">
        <f t="shared" ref="Y136:Y199" si="17">SUM(V136:X136)</f>
        <v>1915538.1</v>
      </c>
      <c r="Z136" s="10">
        <f>+'A) Base RI'!N136</f>
        <v>1222764.6000000001</v>
      </c>
      <c r="AA136" s="10">
        <f>+'A) Base RI'!S136+'A) Base RI'!T136</f>
        <v>28378</v>
      </c>
      <c r="AB136" s="10">
        <f>+'A) Base RI'!U136</f>
        <v>31480</v>
      </c>
      <c r="AC136" s="10">
        <f>+'A) Base RI'!V136</f>
        <v>81.400000000000006</v>
      </c>
      <c r="AD136" s="10">
        <f>+'A) Base RI'!W136</f>
        <v>0</v>
      </c>
      <c r="AE136" s="10">
        <f>+'A) Base RI'!Y136</f>
        <v>457467.75</v>
      </c>
      <c r="AF136" s="10">
        <f>+'A) Base RI'!Z136</f>
        <v>0</v>
      </c>
      <c r="AG136" s="10">
        <f>+'A) Base RI'!AA136</f>
        <v>435111.59</v>
      </c>
      <c r="AH136" s="10">
        <f>+'A) Base RI'!AB136</f>
        <v>0</v>
      </c>
      <c r="AI136" s="10">
        <f>+'A) Base RI'!AC136</f>
        <v>972317.74</v>
      </c>
      <c r="AJ136" s="10">
        <f>+'A) Base RI'!AD136</f>
        <v>121993.8</v>
      </c>
      <c r="AK136" s="10">
        <f>+'A) Base RI'!AE136</f>
        <v>0</v>
      </c>
      <c r="AL136" s="10">
        <f>+'A) Base RI'!AF136</f>
        <v>0</v>
      </c>
      <c r="AM136" s="10">
        <f>+'A) Base RI'!AG136</f>
        <v>309647.8</v>
      </c>
      <c r="AN136" s="10">
        <f>+'A) Base RI'!AH136</f>
        <v>497975.43</v>
      </c>
      <c r="AO136" s="10">
        <f>+'A) Base RI'!AI136</f>
        <v>0</v>
      </c>
      <c r="AP136" s="10">
        <f>+'A) Base RI'!AJ136</f>
        <v>0</v>
      </c>
      <c r="AQ136" s="10">
        <f>+'A) Base RI'!AK136</f>
        <v>497989.69</v>
      </c>
      <c r="AR136" s="10">
        <f>'A) Base RI'!AN136</f>
        <v>8677</v>
      </c>
    </row>
    <row r="137" spans="1:44" x14ac:dyDescent="0.25">
      <c r="A137" s="8">
        <f>'A) Base RI'!A137</f>
        <v>5625</v>
      </c>
      <c r="B137" s="34" t="str">
        <f>'A) Base RI'!B137</f>
        <v>Bussy-Chardonney</v>
      </c>
      <c r="C137" s="10">
        <f>'A) Base RI'!C137+'A) Base RI'!D137</f>
        <v>889812.93</v>
      </c>
      <c r="D137" s="10">
        <f>'A) Base RI'!AO137</f>
        <v>-2840.14</v>
      </c>
      <c r="E137" s="33">
        <f>'A) Base RI'!AP137</f>
        <v>0</v>
      </c>
      <c r="F137" s="33">
        <f>'A) Base RI'!AQ137</f>
        <v>0</v>
      </c>
      <c r="G137" s="2">
        <f t="shared" si="12"/>
        <v>886972.79</v>
      </c>
      <c r="H137" s="10">
        <f>+'A) Base RI'!E137</f>
        <v>0</v>
      </c>
      <c r="I137" s="10">
        <f>+'A) Base RI'!F137</f>
        <v>0</v>
      </c>
      <c r="J137" s="10">
        <f>+'A) Base RI'!G137+'A) Base RI'!H137</f>
        <v>25123.35</v>
      </c>
      <c r="K137" s="10">
        <f>+'A) Base RI'!I137</f>
        <v>49537.55</v>
      </c>
      <c r="L137" s="10">
        <f>+'A) Base RI'!J137</f>
        <v>17072.86</v>
      </c>
      <c r="M137" s="10">
        <f>+'A) Base RI'!K137</f>
        <v>7588</v>
      </c>
      <c r="N137" s="10">
        <f>+'A) Base RI'!Q137</f>
        <v>178.75</v>
      </c>
      <c r="O137" s="10">
        <f t="shared" si="13"/>
        <v>89330.833333333343</v>
      </c>
      <c r="P137" s="10">
        <f>+'A) Base RI'!L137</f>
        <v>107197</v>
      </c>
      <c r="Q137" s="36">
        <f>'A) Base RI'!AR137</f>
        <v>1.2</v>
      </c>
      <c r="R137" s="2">
        <f t="shared" si="14"/>
        <v>1075804.1333333333</v>
      </c>
      <c r="S137" s="35">
        <f>+'A) Base RI'!AM137</f>
        <v>78</v>
      </c>
      <c r="T137" s="2">
        <f t="shared" si="15"/>
        <v>978885.3</v>
      </c>
      <c r="U137" s="2">
        <f t="shared" si="16"/>
        <v>13792.360683760684</v>
      </c>
      <c r="V137" s="10">
        <f>+'A) Base RI'!O137</f>
        <v>0</v>
      </c>
      <c r="W137" s="10">
        <f>+'A) Base RI'!P137</f>
        <v>33220</v>
      </c>
      <c r="X137" s="10">
        <f>+'A) Base RI'!R137</f>
        <v>47777.75</v>
      </c>
      <c r="Y137" s="2">
        <f t="shared" si="17"/>
        <v>80997.75</v>
      </c>
      <c r="Z137" s="10">
        <f>+'A) Base RI'!N137</f>
        <v>0</v>
      </c>
      <c r="AA137" s="10">
        <f>+'A) Base RI'!S137+'A) Base RI'!T137</f>
        <v>5497.2</v>
      </c>
      <c r="AB137" s="10">
        <f>+'A) Base RI'!U137</f>
        <v>600</v>
      </c>
      <c r="AC137" s="10">
        <f>+'A) Base RI'!V137</f>
        <v>0</v>
      </c>
      <c r="AD137" s="10">
        <f>+'A) Base RI'!W137</f>
        <v>0</v>
      </c>
      <c r="AE137" s="10">
        <f>+'A) Base RI'!Y137</f>
        <v>0</v>
      </c>
      <c r="AF137" s="10">
        <f>+'A) Base RI'!Z137</f>
        <v>0</v>
      </c>
      <c r="AG137" s="10">
        <f>+'A) Base RI'!AA137</f>
        <v>55912.4</v>
      </c>
      <c r="AH137" s="10">
        <f>+'A) Base RI'!AB137</f>
        <v>0</v>
      </c>
      <c r="AI137" s="10">
        <f>+'A) Base RI'!AC137</f>
        <v>35179.15</v>
      </c>
      <c r="AJ137" s="10">
        <f>+'A) Base RI'!AD137</f>
        <v>0</v>
      </c>
      <c r="AK137" s="10">
        <f>+'A) Base RI'!AE137</f>
        <v>0</v>
      </c>
      <c r="AL137" s="10">
        <f>+'A) Base RI'!AF137</f>
        <v>0</v>
      </c>
      <c r="AM137" s="10">
        <f>+'A) Base RI'!AG137</f>
        <v>0</v>
      </c>
      <c r="AN137" s="10">
        <f>+'A) Base RI'!AH137</f>
        <v>0</v>
      </c>
      <c r="AO137" s="10">
        <f>+'A) Base RI'!AI137</f>
        <v>0</v>
      </c>
      <c r="AP137" s="10">
        <f>+'A) Base RI'!AJ137</f>
        <v>0</v>
      </c>
      <c r="AQ137" s="10">
        <f>+'A) Base RI'!AK137</f>
        <v>0</v>
      </c>
      <c r="AR137" s="10">
        <f>'A) Base RI'!AN137</f>
        <v>371</v>
      </c>
    </row>
    <row r="138" spans="1:44" x14ac:dyDescent="0.25">
      <c r="A138" s="8">
        <f>'A) Base RI'!A138</f>
        <v>5627</v>
      </c>
      <c r="B138" s="34" t="str">
        <f>'A) Base RI'!B138</f>
        <v>Chavannes-près-Renens</v>
      </c>
      <c r="C138" s="10">
        <f>'A) Base RI'!C138+'A) Base RI'!D138</f>
        <v>10268914.84</v>
      </c>
      <c r="D138" s="10">
        <f>'A) Base RI'!AO138</f>
        <v>-333160.23</v>
      </c>
      <c r="E138" s="33">
        <f>'A) Base RI'!AP138</f>
        <v>0</v>
      </c>
      <c r="F138" s="33">
        <f>'A) Base RI'!AQ138</f>
        <v>-366.38</v>
      </c>
      <c r="G138" s="2">
        <f t="shared" si="12"/>
        <v>9935388.2299999986</v>
      </c>
      <c r="H138" s="10">
        <f>+'A) Base RI'!E138</f>
        <v>0</v>
      </c>
      <c r="I138" s="10">
        <f>+'A) Base RI'!F138</f>
        <v>0</v>
      </c>
      <c r="J138" s="10">
        <f>+'A) Base RI'!G138+'A) Base RI'!H138</f>
        <v>1882074.95</v>
      </c>
      <c r="K138" s="10">
        <f>+'A) Base RI'!I138</f>
        <v>0</v>
      </c>
      <c r="L138" s="10">
        <f>+'A) Base RI'!J138</f>
        <v>861608.62</v>
      </c>
      <c r="M138" s="10">
        <f>+'A) Base RI'!K138</f>
        <v>158076.04999999999</v>
      </c>
      <c r="N138" s="10">
        <f>+'A) Base RI'!Q138</f>
        <v>81539.7</v>
      </c>
      <c r="O138" s="10">
        <f t="shared" si="13"/>
        <v>921635.33333333337</v>
      </c>
      <c r="P138" s="10">
        <f>+'A) Base RI'!L138</f>
        <v>1382453</v>
      </c>
      <c r="Q138" s="36">
        <f>'A) Base RI'!AR138</f>
        <v>1.5</v>
      </c>
      <c r="R138" s="2">
        <f t="shared" si="14"/>
        <v>13840322.883333331</v>
      </c>
      <c r="S138" s="35">
        <f>+'A) Base RI'!AM138</f>
        <v>79</v>
      </c>
      <c r="T138" s="2">
        <f t="shared" si="15"/>
        <v>12760611.499999996</v>
      </c>
      <c r="U138" s="2">
        <f t="shared" si="16"/>
        <v>175193.96054852317</v>
      </c>
      <c r="V138" s="10">
        <f>+'A) Base RI'!O138</f>
        <v>87645.5</v>
      </c>
      <c r="W138" s="10">
        <f>+'A) Base RI'!P138</f>
        <v>852829.4</v>
      </c>
      <c r="X138" s="10">
        <f>+'A) Base RI'!R138</f>
        <v>1599154.75</v>
      </c>
      <c r="Y138" s="2">
        <f t="shared" si="17"/>
        <v>2539629.65</v>
      </c>
      <c r="Z138" s="10">
        <f>+'A) Base RI'!N138</f>
        <v>382133.95</v>
      </c>
      <c r="AA138" s="10">
        <f>+'A) Base RI'!S138+'A) Base RI'!T138</f>
        <v>65447.3</v>
      </c>
      <c r="AB138" s="10">
        <f>+'A) Base RI'!U138</f>
        <v>27450</v>
      </c>
      <c r="AC138" s="10">
        <f>+'A) Base RI'!V138</f>
        <v>1554</v>
      </c>
      <c r="AD138" s="10">
        <f>+'A) Base RI'!W138</f>
        <v>1000.5</v>
      </c>
      <c r="AE138" s="10">
        <f>+'A) Base RI'!Y138</f>
        <v>1031813.55</v>
      </c>
      <c r="AF138" s="10">
        <f>+'A) Base RI'!Z138</f>
        <v>0</v>
      </c>
      <c r="AG138" s="10">
        <f>+'A) Base RI'!AA138</f>
        <v>587254.15</v>
      </c>
      <c r="AH138" s="10">
        <f>+'A) Base RI'!AB138</f>
        <v>0</v>
      </c>
      <c r="AI138" s="10">
        <f>+'A) Base RI'!AC138</f>
        <v>360009.3</v>
      </c>
      <c r="AJ138" s="10">
        <f>+'A) Base RI'!AD138</f>
        <v>0</v>
      </c>
      <c r="AK138" s="10">
        <f>+'A) Base RI'!AE138</f>
        <v>0</v>
      </c>
      <c r="AL138" s="10">
        <f>+'A) Base RI'!AF138</f>
        <v>0</v>
      </c>
      <c r="AM138" s="10">
        <f>+'A) Base RI'!AG138</f>
        <v>25642.6</v>
      </c>
      <c r="AN138" s="10">
        <f>+'A) Base RI'!AH138</f>
        <v>0</v>
      </c>
      <c r="AO138" s="10">
        <f>+'A) Base RI'!AI138</f>
        <v>0</v>
      </c>
      <c r="AP138" s="10">
        <f>+'A) Base RI'!AJ138</f>
        <v>0</v>
      </c>
      <c r="AQ138" s="10">
        <f>+'A) Base RI'!AK138</f>
        <v>0</v>
      </c>
      <c r="AR138" s="10">
        <f>'A) Base RI'!AN138</f>
        <v>7653</v>
      </c>
    </row>
    <row r="139" spans="1:44" x14ac:dyDescent="0.25">
      <c r="A139" s="8">
        <f>'A) Base RI'!A139</f>
        <v>5628</v>
      </c>
      <c r="B139" s="34" t="str">
        <f>'A) Base RI'!B139</f>
        <v>Chigny</v>
      </c>
      <c r="C139" s="10">
        <f>'A) Base RI'!C139+'A) Base RI'!D139</f>
        <v>1110373.8600000001</v>
      </c>
      <c r="D139" s="10">
        <f>'A) Base RI'!AO139</f>
        <v>-4547.12</v>
      </c>
      <c r="E139" s="33">
        <f>'A) Base RI'!AP139</f>
        <v>0</v>
      </c>
      <c r="F139" s="33">
        <f>'A) Base RI'!AQ139</f>
        <v>0</v>
      </c>
      <c r="G139" s="2">
        <f t="shared" si="12"/>
        <v>1105826.74</v>
      </c>
      <c r="H139" s="10">
        <f>+'A) Base RI'!E139</f>
        <v>0</v>
      </c>
      <c r="I139" s="10">
        <f>+'A) Base RI'!F139</f>
        <v>0</v>
      </c>
      <c r="J139" s="10">
        <f>+'A) Base RI'!G139+'A) Base RI'!H139</f>
        <v>766.05</v>
      </c>
      <c r="K139" s="10">
        <f>+'A) Base RI'!I139</f>
        <v>0</v>
      </c>
      <c r="L139" s="10">
        <f>+'A) Base RI'!J139</f>
        <v>18929.59</v>
      </c>
      <c r="M139" s="10">
        <f>+'A) Base RI'!K139</f>
        <v>859.5</v>
      </c>
      <c r="N139" s="10">
        <f>+'A) Base RI'!Q139</f>
        <v>0</v>
      </c>
      <c r="O139" s="10">
        <f t="shared" si="13"/>
        <v>82267.7</v>
      </c>
      <c r="P139" s="10">
        <f>+'A) Base RI'!L139</f>
        <v>82267.7</v>
      </c>
      <c r="Q139" s="36">
        <f>'A) Base RI'!AR139</f>
        <v>1</v>
      </c>
      <c r="R139" s="2">
        <f t="shared" si="14"/>
        <v>1208649.58</v>
      </c>
      <c r="S139" s="35">
        <f>+'A) Base RI'!AM139</f>
        <v>62</v>
      </c>
      <c r="T139" s="2">
        <f t="shared" si="15"/>
        <v>1125522.3800000001</v>
      </c>
      <c r="U139" s="2">
        <f t="shared" si="16"/>
        <v>19494.348064516129</v>
      </c>
      <c r="V139" s="10">
        <f>+'A) Base RI'!O139</f>
        <v>0</v>
      </c>
      <c r="W139" s="10">
        <f>+'A) Base RI'!P139</f>
        <v>45475.55</v>
      </c>
      <c r="X139" s="10">
        <f>+'A) Base RI'!R139</f>
        <v>58184.75</v>
      </c>
      <c r="Y139" s="2">
        <f t="shared" si="17"/>
        <v>103660.3</v>
      </c>
      <c r="Z139" s="10">
        <f>+'A) Base RI'!N139</f>
        <v>16284.8</v>
      </c>
      <c r="AA139" s="10">
        <f>+'A) Base RI'!S139+'A) Base RI'!T139</f>
        <v>0</v>
      </c>
      <c r="AB139" s="10">
        <f>+'A) Base RI'!U139</f>
        <v>0</v>
      </c>
      <c r="AC139" s="10">
        <f>+'A) Base RI'!V139</f>
        <v>0</v>
      </c>
      <c r="AD139" s="10">
        <f>+'A) Base RI'!W139</f>
        <v>0</v>
      </c>
      <c r="AE139" s="10">
        <f>+'A) Base RI'!Y139</f>
        <v>24000</v>
      </c>
      <c r="AF139" s="10">
        <f>+'A) Base RI'!Z139</f>
        <v>0</v>
      </c>
      <c r="AG139" s="10">
        <f>+'A) Base RI'!AA139</f>
        <v>69357.05</v>
      </c>
      <c r="AH139" s="10">
        <f>+'A) Base RI'!AB139</f>
        <v>0</v>
      </c>
      <c r="AI139" s="10">
        <f>+'A) Base RI'!AC139</f>
        <v>20387.8</v>
      </c>
      <c r="AJ139" s="10">
        <f>+'A) Base RI'!AD139</f>
        <v>0</v>
      </c>
      <c r="AK139" s="10">
        <f>+'A) Base RI'!AE139</f>
        <v>0</v>
      </c>
      <c r="AL139" s="10">
        <f>+'A) Base RI'!AF139</f>
        <v>0</v>
      </c>
      <c r="AM139" s="10">
        <f>+'A) Base RI'!AG139</f>
        <v>0</v>
      </c>
      <c r="AN139" s="10">
        <f>+'A) Base RI'!AH139</f>
        <v>8692.5499999999993</v>
      </c>
      <c r="AO139" s="10">
        <f>+'A) Base RI'!AI139</f>
        <v>0</v>
      </c>
      <c r="AP139" s="10">
        <f>+'A) Base RI'!AJ139</f>
        <v>0</v>
      </c>
      <c r="AQ139" s="10">
        <f>+'A) Base RI'!AK139</f>
        <v>0</v>
      </c>
      <c r="AR139" s="10">
        <f>'A) Base RI'!AN139</f>
        <v>338</v>
      </c>
    </row>
    <row r="140" spans="1:44" x14ac:dyDescent="0.25">
      <c r="A140" s="8">
        <f>'A) Base RI'!A140</f>
        <v>5629</v>
      </c>
      <c r="B140" s="34" t="str">
        <f>'A) Base RI'!B140</f>
        <v>Clarmont</v>
      </c>
      <c r="C140" s="10">
        <f>'A) Base RI'!C140+'A) Base RI'!D140</f>
        <v>526156.01</v>
      </c>
      <c r="D140" s="10">
        <f>'A) Base RI'!AO140</f>
        <v>-17162.919999999998</v>
      </c>
      <c r="E140" s="33">
        <f>'A) Base RI'!AP140</f>
        <v>0</v>
      </c>
      <c r="F140" s="33">
        <f>'A) Base RI'!AQ140</f>
        <v>0</v>
      </c>
      <c r="G140" s="2">
        <f t="shared" si="12"/>
        <v>508993.09</v>
      </c>
      <c r="H140" s="10">
        <f>+'A) Base RI'!E140</f>
        <v>0</v>
      </c>
      <c r="I140" s="10">
        <f>+'A) Base RI'!F140</f>
        <v>0</v>
      </c>
      <c r="J140" s="10">
        <f>+'A) Base RI'!G140+'A) Base RI'!H140</f>
        <v>12247.3</v>
      </c>
      <c r="K140" s="10">
        <f>+'A) Base RI'!I140</f>
        <v>0</v>
      </c>
      <c r="L140" s="10">
        <f>+'A) Base RI'!J140</f>
        <v>4511.34</v>
      </c>
      <c r="M140" s="10">
        <f>+'A) Base RI'!K140</f>
        <v>1728.55</v>
      </c>
      <c r="N140" s="10">
        <f>+'A) Base RI'!Q140</f>
        <v>0</v>
      </c>
      <c r="O140" s="10">
        <f t="shared" si="13"/>
        <v>35909.1</v>
      </c>
      <c r="P140" s="10">
        <f>+'A) Base RI'!L140</f>
        <v>35909.1</v>
      </c>
      <c r="Q140" s="36">
        <f>'A) Base RI'!AR140</f>
        <v>1</v>
      </c>
      <c r="R140" s="2">
        <f t="shared" si="14"/>
        <v>563389.38</v>
      </c>
      <c r="S140" s="35">
        <f>+'A) Base RI'!AM140</f>
        <v>75</v>
      </c>
      <c r="T140" s="2">
        <f t="shared" si="15"/>
        <v>525751.73</v>
      </c>
      <c r="U140" s="2">
        <f t="shared" si="16"/>
        <v>7511.8584000000001</v>
      </c>
      <c r="V140" s="10">
        <f>+'A) Base RI'!O140</f>
        <v>0</v>
      </c>
      <c r="W140" s="10">
        <f>+'A) Base RI'!P140</f>
        <v>24134.6</v>
      </c>
      <c r="X140" s="10">
        <f>+'A) Base RI'!R140</f>
        <v>0</v>
      </c>
      <c r="Y140" s="2">
        <f t="shared" si="17"/>
        <v>24134.6</v>
      </c>
      <c r="Z140" s="10">
        <f>+'A) Base RI'!N140</f>
        <v>0</v>
      </c>
      <c r="AA140" s="10">
        <f>+'A) Base RI'!S140+'A) Base RI'!T140</f>
        <v>0</v>
      </c>
      <c r="AB140" s="10">
        <f>+'A) Base RI'!U140</f>
        <v>675</v>
      </c>
      <c r="AC140" s="10">
        <f>+'A) Base RI'!V140</f>
        <v>0</v>
      </c>
      <c r="AD140" s="10">
        <f>+'A) Base RI'!W140</f>
        <v>0</v>
      </c>
      <c r="AE140" s="10">
        <f>+'A) Base RI'!Y140</f>
        <v>6378.15</v>
      </c>
      <c r="AF140" s="10">
        <f>+'A) Base RI'!Z140</f>
        <v>0</v>
      </c>
      <c r="AG140" s="10">
        <f>+'A) Base RI'!AA140</f>
        <v>40038.1</v>
      </c>
      <c r="AH140" s="10">
        <f>+'A) Base RI'!AB140</f>
        <v>0</v>
      </c>
      <c r="AI140" s="10">
        <f>+'A) Base RI'!AC140</f>
        <v>15713.3</v>
      </c>
      <c r="AJ140" s="10">
        <f>+'A) Base RI'!AD140</f>
        <v>7972.7</v>
      </c>
      <c r="AK140" s="10">
        <f>+'A) Base RI'!AE140</f>
        <v>0</v>
      </c>
      <c r="AL140" s="10">
        <f>+'A) Base RI'!AF140</f>
        <v>0</v>
      </c>
      <c r="AM140" s="10">
        <f>+'A) Base RI'!AG140</f>
        <v>0</v>
      </c>
      <c r="AN140" s="10">
        <f>+'A) Base RI'!AH140</f>
        <v>0</v>
      </c>
      <c r="AO140" s="10">
        <f>+'A) Base RI'!AI140</f>
        <v>0</v>
      </c>
      <c r="AP140" s="10">
        <f>+'A) Base RI'!AJ140</f>
        <v>0</v>
      </c>
      <c r="AQ140" s="10">
        <f>+'A) Base RI'!AK140</f>
        <v>0</v>
      </c>
      <c r="AR140" s="10">
        <f>'A) Base RI'!AN140</f>
        <v>189</v>
      </c>
    </row>
    <row r="141" spans="1:44" x14ac:dyDescent="0.25">
      <c r="A141" s="8">
        <f>'A) Base RI'!A141</f>
        <v>5631</v>
      </c>
      <c r="B141" s="34" t="str">
        <f>'A) Base RI'!B141</f>
        <v>Denens</v>
      </c>
      <c r="C141" s="10">
        <f>'A) Base RI'!C141+'A) Base RI'!D141</f>
        <v>2776115.04</v>
      </c>
      <c r="D141" s="10">
        <f>'A) Base RI'!AO141</f>
        <v>-12514.81</v>
      </c>
      <c r="E141" s="33">
        <f>'A) Base RI'!AP141</f>
        <v>0</v>
      </c>
      <c r="F141" s="33">
        <f>'A) Base RI'!AQ141</f>
        <v>-204.82</v>
      </c>
      <c r="G141" s="2">
        <f t="shared" si="12"/>
        <v>2763395.41</v>
      </c>
      <c r="H141" s="10">
        <f>+'A) Base RI'!E141</f>
        <v>0</v>
      </c>
      <c r="I141" s="10">
        <f>+'A) Base RI'!F141</f>
        <v>0</v>
      </c>
      <c r="J141" s="10">
        <f>+'A) Base RI'!G141+'A) Base RI'!H141</f>
        <v>32880.1</v>
      </c>
      <c r="K141" s="10">
        <f>+'A) Base RI'!I141</f>
        <v>111331.45</v>
      </c>
      <c r="L141" s="10">
        <f>+'A) Base RI'!J141</f>
        <v>69297.86</v>
      </c>
      <c r="M141" s="10">
        <f>+'A) Base RI'!K141</f>
        <v>-261.10000000000002</v>
      </c>
      <c r="N141" s="10">
        <f>+'A) Base RI'!Q141</f>
        <v>10206.709999999999</v>
      </c>
      <c r="O141" s="10">
        <f t="shared" si="13"/>
        <v>193401.65</v>
      </c>
      <c r="P141" s="10">
        <f>+'A) Base RI'!L141</f>
        <v>193401.65</v>
      </c>
      <c r="Q141" s="36">
        <f>'A) Base RI'!AR141</f>
        <v>1</v>
      </c>
      <c r="R141" s="2">
        <f t="shared" si="14"/>
        <v>3180252.08</v>
      </c>
      <c r="S141" s="35">
        <f>+'A) Base RI'!AM141</f>
        <v>70</v>
      </c>
      <c r="T141" s="2">
        <f t="shared" si="15"/>
        <v>2987111.5300000003</v>
      </c>
      <c r="U141" s="2">
        <f t="shared" si="16"/>
        <v>45432.172571428571</v>
      </c>
      <c r="V141" s="10">
        <f>+'A) Base RI'!O141</f>
        <v>8896.2999999999993</v>
      </c>
      <c r="W141" s="10">
        <f>+'A) Base RI'!P141</f>
        <v>71248.2</v>
      </c>
      <c r="X141" s="10">
        <f>+'A) Base RI'!R141</f>
        <v>131699.95000000001</v>
      </c>
      <c r="Y141" s="2">
        <f t="shared" si="17"/>
        <v>211844.45</v>
      </c>
      <c r="Z141" s="10">
        <f>+'A) Base RI'!N141</f>
        <v>0</v>
      </c>
      <c r="AA141" s="10">
        <f>+'A) Base RI'!S141+'A) Base RI'!T141</f>
        <v>859.75</v>
      </c>
      <c r="AB141" s="10">
        <f>+'A) Base RI'!U141</f>
        <v>1737.5</v>
      </c>
      <c r="AC141" s="10">
        <f>+'A) Base RI'!V141</f>
        <v>0</v>
      </c>
      <c r="AD141" s="10">
        <f>+'A) Base RI'!W141</f>
        <v>0</v>
      </c>
      <c r="AE141" s="10">
        <f>+'A) Base RI'!Y141</f>
        <v>-4250.7</v>
      </c>
      <c r="AF141" s="10">
        <f>+'A) Base RI'!Z141</f>
        <v>0</v>
      </c>
      <c r="AG141" s="10">
        <f>+'A) Base RI'!AA141</f>
        <v>127239.35</v>
      </c>
      <c r="AH141" s="10">
        <f>+'A) Base RI'!AB141</f>
        <v>0</v>
      </c>
      <c r="AI141" s="10">
        <f>+'A) Base RI'!AC141</f>
        <v>50708.1</v>
      </c>
      <c r="AJ141" s="10">
        <f>+'A) Base RI'!AD141</f>
        <v>0</v>
      </c>
      <c r="AK141" s="10">
        <f>+'A) Base RI'!AE141</f>
        <v>0</v>
      </c>
      <c r="AL141" s="10">
        <f>+'A) Base RI'!AF141</f>
        <v>0</v>
      </c>
      <c r="AM141" s="10">
        <f>+'A) Base RI'!AG141</f>
        <v>0</v>
      </c>
      <c r="AN141" s="10">
        <f>+'A) Base RI'!AH141</f>
        <v>0</v>
      </c>
      <c r="AO141" s="10">
        <f>+'A) Base RI'!AI141</f>
        <v>0</v>
      </c>
      <c r="AP141" s="10">
        <f>+'A) Base RI'!AJ141</f>
        <v>0</v>
      </c>
      <c r="AQ141" s="10">
        <f>+'A) Base RI'!AK141</f>
        <v>0</v>
      </c>
      <c r="AR141" s="10">
        <f>'A) Base RI'!AN141</f>
        <v>774</v>
      </c>
    </row>
    <row r="142" spans="1:44" x14ac:dyDescent="0.25">
      <c r="A142" s="8">
        <f>'A) Base RI'!A142</f>
        <v>5632</v>
      </c>
      <c r="B142" s="34" t="str">
        <f>'A) Base RI'!B142</f>
        <v>Denges</v>
      </c>
      <c r="C142" s="10">
        <f>'A) Base RI'!C142+'A) Base RI'!D142</f>
        <v>3528220.1300000004</v>
      </c>
      <c r="D142" s="10">
        <f>'A) Base RI'!AO142</f>
        <v>-25911.85</v>
      </c>
      <c r="E142" s="33">
        <f>'A) Base RI'!AP142</f>
        <v>0</v>
      </c>
      <c r="F142" s="33">
        <f>'A) Base RI'!AQ142</f>
        <v>-282.55</v>
      </c>
      <c r="G142" s="2">
        <f t="shared" si="12"/>
        <v>3502025.7300000004</v>
      </c>
      <c r="H142" s="10">
        <f>+'A) Base RI'!E142</f>
        <v>0</v>
      </c>
      <c r="I142" s="10">
        <f>+'A) Base RI'!F142</f>
        <v>0</v>
      </c>
      <c r="J142" s="10">
        <f>+'A) Base RI'!G142+'A) Base RI'!H142</f>
        <v>160992.65000000002</v>
      </c>
      <c r="K142" s="10">
        <f>+'A) Base RI'!I142</f>
        <v>0</v>
      </c>
      <c r="L142" s="10">
        <f>+'A) Base RI'!J142</f>
        <v>185267.79</v>
      </c>
      <c r="M142" s="10">
        <f>+'A) Base RI'!K142</f>
        <v>18381.8</v>
      </c>
      <c r="N142" s="10">
        <f>+'A) Base RI'!Q142</f>
        <v>15184.06</v>
      </c>
      <c r="O142" s="10">
        <f t="shared" si="13"/>
        <v>327637.40000000002</v>
      </c>
      <c r="P142" s="10">
        <f>+'A) Base RI'!L142</f>
        <v>327637.40000000002</v>
      </c>
      <c r="Q142" s="36">
        <f>'A) Base RI'!AR142</f>
        <v>1</v>
      </c>
      <c r="R142" s="2">
        <f t="shared" si="14"/>
        <v>4209489.4300000006</v>
      </c>
      <c r="S142" s="35">
        <f>+'A) Base RI'!AM142</f>
        <v>62</v>
      </c>
      <c r="T142" s="2">
        <f t="shared" si="15"/>
        <v>3863470.2300000004</v>
      </c>
      <c r="U142" s="2">
        <f t="shared" si="16"/>
        <v>67894.99080645162</v>
      </c>
      <c r="V142" s="10">
        <f>+'A) Base RI'!O142</f>
        <v>0</v>
      </c>
      <c r="W142" s="10">
        <f>+'A) Base RI'!P142</f>
        <v>157830.6</v>
      </c>
      <c r="X142" s="10">
        <f>+'A) Base RI'!R142</f>
        <v>95149.85</v>
      </c>
      <c r="Y142" s="2">
        <f t="shared" si="17"/>
        <v>252980.45</v>
      </c>
      <c r="Z142" s="10">
        <f>+'A) Base RI'!N142</f>
        <v>63037.35</v>
      </c>
      <c r="AA142" s="10">
        <f>+'A) Base RI'!S142+'A) Base RI'!T142</f>
        <v>500</v>
      </c>
      <c r="AB142" s="10">
        <f>+'A) Base RI'!U142</f>
        <v>4650</v>
      </c>
      <c r="AC142" s="10">
        <f>+'A) Base RI'!V142</f>
        <v>0</v>
      </c>
      <c r="AD142" s="10">
        <f>+'A) Base RI'!W142</f>
        <v>0</v>
      </c>
      <c r="AE142" s="10">
        <f>+'A) Base RI'!Y142</f>
        <v>28358.9</v>
      </c>
      <c r="AF142" s="10">
        <f>+'A) Base RI'!Z142</f>
        <v>0</v>
      </c>
      <c r="AG142" s="10">
        <f>+'A) Base RI'!AA142</f>
        <v>223930.75</v>
      </c>
      <c r="AH142" s="10">
        <f>+'A) Base RI'!AB142</f>
        <v>80927.95</v>
      </c>
      <c r="AI142" s="10">
        <f>+'A) Base RI'!AC142</f>
        <v>108715</v>
      </c>
      <c r="AJ142" s="10">
        <f>+'A) Base RI'!AD142</f>
        <v>0</v>
      </c>
      <c r="AK142" s="10">
        <f>+'A) Base RI'!AE142</f>
        <v>0</v>
      </c>
      <c r="AL142" s="10">
        <f>+'A) Base RI'!AF142</f>
        <v>0</v>
      </c>
      <c r="AM142" s="10">
        <f>+'A) Base RI'!AG142</f>
        <v>0</v>
      </c>
      <c r="AN142" s="10">
        <f>+'A) Base RI'!AH142</f>
        <v>51520.95</v>
      </c>
      <c r="AO142" s="10">
        <f>+'A) Base RI'!AI142</f>
        <v>0</v>
      </c>
      <c r="AP142" s="10">
        <f>+'A) Base RI'!AJ142</f>
        <v>0</v>
      </c>
      <c r="AQ142" s="10">
        <f>+'A) Base RI'!AK142</f>
        <v>0</v>
      </c>
      <c r="AR142" s="10">
        <f>'A) Base RI'!AN142</f>
        <v>1614</v>
      </c>
    </row>
    <row r="143" spans="1:44" x14ac:dyDescent="0.25">
      <c r="A143" s="8">
        <f>'A) Base RI'!A143</f>
        <v>5633</v>
      </c>
      <c r="B143" s="34" t="str">
        <f>'A) Base RI'!B143</f>
        <v>Echandens</v>
      </c>
      <c r="C143" s="10">
        <f>'A) Base RI'!C143+'A) Base RI'!D143</f>
        <v>7036207.75</v>
      </c>
      <c r="D143" s="10">
        <f>'A) Base RI'!AO143</f>
        <v>-121189.36</v>
      </c>
      <c r="E143" s="33">
        <f>'A) Base RI'!AP143</f>
        <v>0</v>
      </c>
      <c r="F143" s="33">
        <f>'A) Base RI'!AQ143</f>
        <v>0</v>
      </c>
      <c r="G143" s="2">
        <f t="shared" si="12"/>
        <v>6915018.3899999997</v>
      </c>
      <c r="H143" s="10">
        <f>+'A) Base RI'!E143</f>
        <v>0</v>
      </c>
      <c r="I143" s="10">
        <f>+'A) Base RI'!F143</f>
        <v>0</v>
      </c>
      <c r="J143" s="10">
        <f>+'A) Base RI'!G143+'A) Base RI'!H143</f>
        <v>424333.2</v>
      </c>
      <c r="K143" s="10">
        <f>+'A) Base RI'!I143</f>
        <v>0</v>
      </c>
      <c r="L143" s="10">
        <f>+'A) Base RI'!J143</f>
        <v>219133.24</v>
      </c>
      <c r="M143" s="10">
        <f>+'A) Base RI'!K143</f>
        <v>22085.05</v>
      </c>
      <c r="N143" s="10">
        <f>+'A) Base RI'!Q143</f>
        <v>158.19</v>
      </c>
      <c r="O143" s="10">
        <f t="shared" si="13"/>
        <v>596444.1</v>
      </c>
      <c r="P143" s="10">
        <f>+'A) Base RI'!L143</f>
        <v>596444.1</v>
      </c>
      <c r="Q143" s="36">
        <f>'A) Base RI'!AR143</f>
        <v>1</v>
      </c>
      <c r="R143" s="2">
        <f t="shared" si="14"/>
        <v>8177172.1699999999</v>
      </c>
      <c r="S143" s="35">
        <f>+'A) Base RI'!AM143</f>
        <v>62</v>
      </c>
      <c r="T143" s="2">
        <f t="shared" si="15"/>
        <v>7558643.0200000005</v>
      </c>
      <c r="U143" s="2">
        <f t="shared" si="16"/>
        <v>131889.87370967743</v>
      </c>
      <c r="V143" s="10">
        <f>+'A) Base RI'!O143</f>
        <v>42687.199999999997</v>
      </c>
      <c r="W143" s="10">
        <f>+'A) Base RI'!P143</f>
        <v>313303</v>
      </c>
      <c r="X143" s="10">
        <f>+'A) Base RI'!R143</f>
        <v>249959.14</v>
      </c>
      <c r="Y143" s="2">
        <f t="shared" si="17"/>
        <v>605949.34000000008</v>
      </c>
      <c r="Z143" s="10">
        <f>+'A) Base RI'!N143</f>
        <v>159886.15</v>
      </c>
      <c r="AA143" s="10">
        <f>+'A) Base RI'!S143+'A) Base RI'!T143</f>
        <v>10790.9</v>
      </c>
      <c r="AB143" s="10">
        <f>+'A) Base RI'!U143</f>
        <v>8880</v>
      </c>
      <c r="AC143" s="10">
        <f>+'A) Base RI'!V143</f>
        <v>0</v>
      </c>
      <c r="AD143" s="10">
        <f>+'A) Base RI'!W143</f>
        <v>0</v>
      </c>
      <c r="AE143" s="10">
        <f>+'A) Base RI'!Y143</f>
        <v>239278.6</v>
      </c>
      <c r="AF143" s="10">
        <f>+'A) Base RI'!Z143</f>
        <v>0</v>
      </c>
      <c r="AG143" s="10">
        <f>+'A) Base RI'!AA143</f>
        <v>346727.95</v>
      </c>
      <c r="AH143" s="10">
        <f>+'A) Base RI'!AB143</f>
        <v>0</v>
      </c>
      <c r="AI143" s="10">
        <f>+'A) Base RI'!AC143</f>
        <v>166261.51999999999</v>
      </c>
      <c r="AJ143" s="10">
        <f>+'A) Base RI'!AD143</f>
        <v>0</v>
      </c>
      <c r="AK143" s="10">
        <f>+'A) Base RI'!AE143</f>
        <v>0</v>
      </c>
      <c r="AL143" s="10">
        <f>+'A) Base RI'!AF143</f>
        <v>0</v>
      </c>
      <c r="AM143" s="10">
        <f>+'A) Base RI'!AG143</f>
        <v>0</v>
      </c>
      <c r="AN143" s="10">
        <f>+'A) Base RI'!AH143</f>
        <v>0</v>
      </c>
      <c r="AO143" s="10">
        <f>+'A) Base RI'!AI143</f>
        <v>0</v>
      </c>
      <c r="AP143" s="10">
        <f>+'A) Base RI'!AJ143</f>
        <v>0</v>
      </c>
      <c r="AQ143" s="10">
        <f>+'A) Base RI'!AK143</f>
        <v>0</v>
      </c>
      <c r="AR143" s="10">
        <f>'A) Base RI'!AN143</f>
        <v>2757</v>
      </c>
    </row>
    <row r="144" spans="1:44" x14ac:dyDescent="0.25">
      <c r="A144" s="8">
        <f>'A) Base RI'!A144</f>
        <v>5634</v>
      </c>
      <c r="B144" s="34" t="str">
        <f>'A) Base RI'!B144</f>
        <v>Echichens</v>
      </c>
      <c r="C144" s="10">
        <f>'A) Base RI'!C144+'A) Base RI'!D144</f>
        <v>7770226.3499999996</v>
      </c>
      <c r="D144" s="10">
        <f>'A) Base RI'!AO144</f>
        <v>-50443.32</v>
      </c>
      <c r="E144" s="33">
        <f>'A) Base RI'!AP144</f>
        <v>0</v>
      </c>
      <c r="F144" s="33">
        <f>'A) Base RI'!AQ144</f>
        <v>-1289.6500000000001</v>
      </c>
      <c r="G144" s="2">
        <f t="shared" si="12"/>
        <v>7718493.379999999</v>
      </c>
      <c r="H144" s="10">
        <f>+'A) Base RI'!E144</f>
        <v>0</v>
      </c>
      <c r="I144" s="10">
        <f>+'A) Base RI'!F144</f>
        <v>0</v>
      </c>
      <c r="J144" s="10">
        <f>+'A) Base RI'!G144+'A) Base RI'!H144</f>
        <v>109337.59999999999</v>
      </c>
      <c r="K144" s="10">
        <f>+'A) Base RI'!I144</f>
        <v>112104</v>
      </c>
      <c r="L144" s="10">
        <f>+'A) Base RI'!J144</f>
        <v>100347.37</v>
      </c>
      <c r="M144" s="10">
        <f>+'A) Base RI'!K144</f>
        <v>19338.5</v>
      </c>
      <c r="N144" s="10">
        <f>+'A) Base RI'!Q144</f>
        <v>21715.52</v>
      </c>
      <c r="O144" s="10">
        <f t="shared" si="13"/>
        <v>566075.30000000005</v>
      </c>
      <c r="P144" s="10">
        <f>+'A) Base RI'!L144</f>
        <v>566075.30000000005</v>
      </c>
      <c r="Q144" s="36">
        <f>'A) Base RI'!AR144</f>
        <v>1</v>
      </c>
      <c r="R144" s="2">
        <f t="shared" si="14"/>
        <v>8647411.6699999981</v>
      </c>
      <c r="S144" s="35">
        <f>+'A) Base RI'!AM144</f>
        <v>68</v>
      </c>
      <c r="T144" s="2">
        <f t="shared" si="15"/>
        <v>8061997.8699999982</v>
      </c>
      <c r="U144" s="2">
        <f t="shared" si="16"/>
        <v>127167.81867647056</v>
      </c>
      <c r="V144" s="10">
        <f>+'A) Base RI'!O144</f>
        <v>63849.599999999999</v>
      </c>
      <c r="W144" s="10">
        <f>+'A) Base RI'!P144</f>
        <v>647553.65</v>
      </c>
      <c r="X144" s="10">
        <f>+'A) Base RI'!R144</f>
        <v>324565.84999999998</v>
      </c>
      <c r="Y144" s="2">
        <f t="shared" si="17"/>
        <v>1035969.1</v>
      </c>
      <c r="Z144" s="10">
        <f>+'A) Base RI'!N144</f>
        <v>28133.7</v>
      </c>
      <c r="AA144" s="10">
        <f>+'A) Base RI'!S144+'A) Base RI'!T144</f>
        <v>3621.85</v>
      </c>
      <c r="AB144" s="10">
        <f>+'A) Base RI'!U144</f>
        <v>7525</v>
      </c>
      <c r="AC144" s="10">
        <f>+'A) Base RI'!V144</f>
        <v>0</v>
      </c>
      <c r="AD144" s="10">
        <f>+'A) Base RI'!W144</f>
        <v>0</v>
      </c>
      <c r="AE144" s="10">
        <f>+'A) Base RI'!Y144</f>
        <v>198031.8</v>
      </c>
      <c r="AF144" s="10">
        <f>+'A) Base RI'!Z144</f>
        <v>0</v>
      </c>
      <c r="AG144" s="10">
        <f>+'A) Base RI'!AA144</f>
        <v>535372.85</v>
      </c>
      <c r="AH144" s="10">
        <f>+'A) Base RI'!AB144</f>
        <v>0</v>
      </c>
      <c r="AI144" s="10">
        <f>+'A) Base RI'!AC144</f>
        <v>187189.55</v>
      </c>
      <c r="AJ144" s="10">
        <f>+'A) Base RI'!AD144</f>
        <v>207262.85</v>
      </c>
      <c r="AK144" s="10">
        <f>+'A) Base RI'!AE144</f>
        <v>0</v>
      </c>
      <c r="AL144" s="10">
        <f>+'A) Base RI'!AF144</f>
        <v>0</v>
      </c>
      <c r="AM144" s="10">
        <f>+'A) Base RI'!AG144</f>
        <v>0</v>
      </c>
      <c r="AN144" s="10">
        <f>+'A) Base RI'!AH144</f>
        <v>0</v>
      </c>
      <c r="AO144" s="10">
        <f>+'A) Base RI'!AI144</f>
        <v>0</v>
      </c>
      <c r="AP144" s="10">
        <f>+'A) Base RI'!AJ144</f>
        <v>0</v>
      </c>
      <c r="AQ144" s="10">
        <f>+'A) Base RI'!AK144</f>
        <v>0</v>
      </c>
      <c r="AR144" s="10">
        <f>'A) Base RI'!AN144</f>
        <v>2712</v>
      </c>
    </row>
    <row r="145" spans="1:44" x14ac:dyDescent="0.25">
      <c r="A145" s="8">
        <f>'A) Base RI'!A145</f>
        <v>5635</v>
      </c>
      <c r="B145" s="34" t="str">
        <f>'A) Base RI'!B145</f>
        <v>Ecublens</v>
      </c>
      <c r="C145" s="10">
        <f>'A) Base RI'!C145+'A) Base RI'!D145</f>
        <v>20813920.91</v>
      </c>
      <c r="D145" s="10">
        <f>'A) Base RI'!AO145</f>
        <v>-2110666.2799999998</v>
      </c>
      <c r="E145" s="33">
        <f>'A) Base RI'!AP145</f>
        <v>0</v>
      </c>
      <c r="F145" s="33">
        <f>'A) Base RI'!AQ145</f>
        <v>-58029.9</v>
      </c>
      <c r="G145" s="2">
        <f t="shared" si="12"/>
        <v>18645224.73</v>
      </c>
      <c r="H145" s="10">
        <f>+'A) Base RI'!E145</f>
        <v>0</v>
      </c>
      <c r="I145" s="10">
        <f>+'A) Base RI'!F145</f>
        <v>0</v>
      </c>
      <c r="J145" s="10">
        <f>+'A) Base RI'!G145+'A) Base RI'!H145</f>
        <v>3571476.55</v>
      </c>
      <c r="K145" s="10">
        <f>+'A) Base RI'!I145</f>
        <v>49883.55</v>
      </c>
      <c r="L145" s="10">
        <f>+'A) Base RI'!J145</f>
        <v>1466306.67</v>
      </c>
      <c r="M145" s="10">
        <f>+'A) Base RI'!K145</f>
        <v>375200.3</v>
      </c>
      <c r="N145" s="10">
        <f>+'A) Base RI'!Q145</f>
        <v>1831699.09</v>
      </c>
      <c r="O145" s="10">
        <f t="shared" si="13"/>
        <v>2205356.6315789474</v>
      </c>
      <c r="P145" s="10">
        <f>+'A) Base RI'!L145</f>
        <v>2095088.8</v>
      </c>
      <c r="Q145" s="36">
        <f>'A) Base RI'!AR145</f>
        <v>0.95</v>
      </c>
      <c r="R145" s="2">
        <f t="shared" si="14"/>
        <v>28145147.521578949</v>
      </c>
      <c r="S145" s="35">
        <f>+'A) Base RI'!AM145</f>
        <v>62</v>
      </c>
      <c r="T145" s="2">
        <f t="shared" si="15"/>
        <v>25564590.59</v>
      </c>
      <c r="U145" s="2">
        <f t="shared" si="16"/>
        <v>453953.99228353141</v>
      </c>
      <c r="V145" s="10">
        <f>+'A) Base RI'!O145</f>
        <v>240163</v>
      </c>
      <c r="W145" s="10">
        <f>+'A) Base RI'!P145</f>
        <v>637904.5</v>
      </c>
      <c r="X145" s="10">
        <f>+'A) Base RI'!R145</f>
        <v>592282.65</v>
      </c>
      <c r="Y145" s="2">
        <f t="shared" si="17"/>
        <v>1470350.15</v>
      </c>
      <c r="Z145" s="10">
        <f>+'A) Base RI'!N145</f>
        <v>2168934.3999999999</v>
      </c>
      <c r="AA145" s="10">
        <f>+'A) Base RI'!S145+'A) Base RI'!T145</f>
        <v>63779.8</v>
      </c>
      <c r="AB145" s="10">
        <f>+'A) Base RI'!U145</f>
        <v>43750</v>
      </c>
      <c r="AC145" s="10">
        <f>+'A) Base RI'!V145</f>
        <v>95756.36</v>
      </c>
      <c r="AD145" s="10">
        <f>+'A) Base RI'!W145</f>
        <v>0</v>
      </c>
      <c r="AE145" s="10">
        <f>+'A) Base RI'!Y145</f>
        <v>101114.5</v>
      </c>
      <c r="AF145" s="10">
        <f>+'A) Base RI'!Z145</f>
        <v>0</v>
      </c>
      <c r="AG145" s="10">
        <f>+'A) Base RI'!AA145</f>
        <v>1328054.6599999999</v>
      </c>
      <c r="AH145" s="10">
        <f>+'A) Base RI'!AB145</f>
        <v>0</v>
      </c>
      <c r="AI145" s="10">
        <f>+'A) Base RI'!AC145</f>
        <v>1263043.05</v>
      </c>
      <c r="AJ145" s="10">
        <f>+'A) Base RI'!AD145</f>
        <v>0</v>
      </c>
      <c r="AK145" s="10">
        <f>+'A) Base RI'!AE145</f>
        <v>0</v>
      </c>
      <c r="AL145" s="10">
        <f>+'A) Base RI'!AF145</f>
        <v>0</v>
      </c>
      <c r="AM145" s="10">
        <f>+'A) Base RI'!AG145</f>
        <v>397472.8</v>
      </c>
      <c r="AN145" s="10">
        <f>+'A) Base RI'!AH145</f>
        <v>1193803.8500000001</v>
      </c>
      <c r="AO145" s="10">
        <f>+'A) Base RI'!AI145</f>
        <v>400138.5</v>
      </c>
      <c r="AP145" s="10">
        <f>+'A) Base RI'!AJ145</f>
        <v>0</v>
      </c>
      <c r="AQ145" s="10">
        <f>+'A) Base RI'!AK145</f>
        <v>170543.25</v>
      </c>
      <c r="AR145" s="10">
        <f>'A) Base RI'!AN145</f>
        <v>12560</v>
      </c>
    </row>
    <row r="146" spans="1:44" x14ac:dyDescent="0.25">
      <c r="A146" s="8">
        <f>'A) Base RI'!A146</f>
        <v>5636</v>
      </c>
      <c r="B146" s="34" t="str">
        <f>'A) Base RI'!B146</f>
        <v>Etoy</v>
      </c>
      <c r="C146" s="10">
        <f>'A) Base RI'!C146+'A) Base RI'!D146</f>
        <v>6311904.7400000002</v>
      </c>
      <c r="D146" s="10">
        <f>'A) Base RI'!AO146</f>
        <v>-68314.05</v>
      </c>
      <c r="E146" s="33">
        <f>'A) Base RI'!AP146</f>
        <v>0</v>
      </c>
      <c r="F146" s="33">
        <f>'A) Base RI'!AQ146</f>
        <v>-731.93</v>
      </c>
      <c r="G146" s="2">
        <f t="shared" si="12"/>
        <v>6242858.7600000007</v>
      </c>
      <c r="H146" s="10">
        <f>+'A) Base RI'!E146</f>
        <v>0</v>
      </c>
      <c r="I146" s="10">
        <f>+'A) Base RI'!F146</f>
        <v>0</v>
      </c>
      <c r="J146" s="10">
        <f>+'A) Base RI'!G146+'A) Base RI'!H146</f>
        <v>1649521.5999999999</v>
      </c>
      <c r="K146" s="10">
        <f>+'A) Base RI'!I146</f>
        <v>68376.399999999994</v>
      </c>
      <c r="L146" s="10">
        <f>+'A) Base RI'!J146</f>
        <v>528459.61</v>
      </c>
      <c r="M146" s="10">
        <f>+'A) Base RI'!K146</f>
        <v>83168</v>
      </c>
      <c r="N146" s="10">
        <f>+'A) Base RI'!Q146</f>
        <v>37666.69</v>
      </c>
      <c r="O146" s="10">
        <f t="shared" si="13"/>
        <v>985456.65</v>
      </c>
      <c r="P146" s="10">
        <f>+'A) Base RI'!L146</f>
        <v>985456.65</v>
      </c>
      <c r="Q146" s="36">
        <f>'A) Base RI'!AR146</f>
        <v>1</v>
      </c>
      <c r="R146" s="2">
        <f t="shared" si="14"/>
        <v>9595507.7100000009</v>
      </c>
      <c r="S146" s="35">
        <f>+'A) Base RI'!AM146</f>
        <v>61</v>
      </c>
      <c r="T146" s="2">
        <f t="shared" si="15"/>
        <v>8526883.0600000005</v>
      </c>
      <c r="U146" s="2">
        <f t="shared" si="16"/>
        <v>157303.40508196724</v>
      </c>
      <c r="V146" s="10">
        <f>+'A) Base RI'!O146</f>
        <v>29299.75</v>
      </c>
      <c r="W146" s="10">
        <f>+'A) Base RI'!P146</f>
        <v>919081.05</v>
      </c>
      <c r="X146" s="10">
        <f>+'A) Base RI'!R146</f>
        <v>149314.9</v>
      </c>
      <c r="Y146" s="2">
        <f t="shared" si="17"/>
        <v>1097695.7</v>
      </c>
      <c r="Z146" s="10">
        <f>+'A) Base RI'!N146</f>
        <v>560619.75</v>
      </c>
      <c r="AA146" s="10">
        <f>+'A) Base RI'!S146+'A) Base RI'!T146</f>
        <v>32470.45</v>
      </c>
      <c r="AB146" s="10">
        <f>+'A) Base RI'!U146</f>
        <v>7550</v>
      </c>
      <c r="AC146" s="10">
        <f>+'A) Base RI'!V146</f>
        <v>0</v>
      </c>
      <c r="AD146" s="10">
        <f>+'A) Base RI'!W146</f>
        <v>0</v>
      </c>
      <c r="AE146" s="10">
        <f>+'A) Base RI'!Y146</f>
        <v>282252.5</v>
      </c>
      <c r="AF146" s="10">
        <f>+'A) Base RI'!Z146</f>
        <v>0</v>
      </c>
      <c r="AG146" s="10">
        <f>+'A) Base RI'!AA146</f>
        <v>522024.85</v>
      </c>
      <c r="AH146" s="10">
        <f>+'A) Base RI'!AB146</f>
        <v>0</v>
      </c>
      <c r="AI146" s="10">
        <f>+'A) Base RI'!AC146</f>
        <v>117731.3</v>
      </c>
      <c r="AJ146" s="10">
        <f>+'A) Base RI'!AD146</f>
        <v>0</v>
      </c>
      <c r="AK146" s="10">
        <f>+'A) Base RI'!AE146</f>
        <v>0</v>
      </c>
      <c r="AL146" s="10">
        <f>+'A) Base RI'!AF146</f>
        <v>0</v>
      </c>
      <c r="AM146" s="10">
        <f>+'A) Base RI'!AG146</f>
        <v>0</v>
      </c>
      <c r="AN146" s="10">
        <f>+'A) Base RI'!AH146</f>
        <v>170573.55</v>
      </c>
      <c r="AO146" s="10">
        <f>+'A) Base RI'!AI146</f>
        <v>0</v>
      </c>
      <c r="AP146" s="10">
        <f>+'A) Base RI'!AJ146</f>
        <v>0</v>
      </c>
      <c r="AQ146" s="10">
        <f>+'A) Base RI'!AK146</f>
        <v>0</v>
      </c>
      <c r="AR146" s="10">
        <f>'A) Base RI'!AN146</f>
        <v>2908</v>
      </c>
    </row>
    <row r="147" spans="1:44" x14ac:dyDescent="0.25">
      <c r="A147" s="8">
        <f>'A) Base RI'!A147</f>
        <v>5637</v>
      </c>
      <c r="B147" s="34" t="str">
        <f>'A) Base RI'!B147</f>
        <v>Lavigny</v>
      </c>
      <c r="C147" s="10">
        <f>'A) Base RI'!C147+'A) Base RI'!D147</f>
        <v>2378757.1799999997</v>
      </c>
      <c r="D147" s="10">
        <f>'A) Base RI'!AO147</f>
        <v>-22607.79</v>
      </c>
      <c r="E147" s="33">
        <f>'A) Base RI'!AP147</f>
        <v>0</v>
      </c>
      <c r="F147" s="33">
        <f>'A) Base RI'!AQ147</f>
        <v>-80.459999999999994</v>
      </c>
      <c r="G147" s="2">
        <f t="shared" si="12"/>
        <v>2356068.9299999997</v>
      </c>
      <c r="H147" s="10">
        <f>+'A) Base RI'!E147</f>
        <v>0</v>
      </c>
      <c r="I147" s="10">
        <f>+'A) Base RI'!F147</f>
        <v>0</v>
      </c>
      <c r="J147" s="10">
        <f>+'A) Base RI'!G147+'A) Base RI'!H147</f>
        <v>40022.700000000004</v>
      </c>
      <c r="K147" s="10">
        <f>+'A) Base RI'!I147</f>
        <v>0</v>
      </c>
      <c r="L147" s="10">
        <f>+'A) Base RI'!J147</f>
        <v>98356.86</v>
      </c>
      <c r="M147" s="10">
        <f>+'A) Base RI'!K147</f>
        <v>4736.6000000000004</v>
      </c>
      <c r="N147" s="10">
        <f>+'A) Base RI'!Q147</f>
        <v>16109.05</v>
      </c>
      <c r="O147" s="10">
        <f t="shared" si="13"/>
        <v>186043.23333333331</v>
      </c>
      <c r="P147" s="10">
        <f>+'A) Base RI'!L147</f>
        <v>279064.84999999998</v>
      </c>
      <c r="Q147" s="36">
        <f>'A) Base RI'!AR147</f>
        <v>1.5</v>
      </c>
      <c r="R147" s="2">
        <f t="shared" si="14"/>
        <v>2701337.3733333331</v>
      </c>
      <c r="S147" s="35">
        <f>+'A) Base RI'!AM147</f>
        <v>74.5</v>
      </c>
      <c r="T147" s="2">
        <f t="shared" si="15"/>
        <v>2510557.5399999996</v>
      </c>
      <c r="U147" s="2">
        <f t="shared" si="16"/>
        <v>36259.562058165546</v>
      </c>
      <c r="V147" s="10">
        <f>+'A) Base RI'!O147</f>
        <v>57122.7</v>
      </c>
      <c r="W147" s="10">
        <f>+'A) Base RI'!P147</f>
        <v>25719.85</v>
      </c>
      <c r="X147" s="10">
        <f>+'A) Base RI'!R147</f>
        <v>24433.599999999999</v>
      </c>
      <c r="Y147" s="2">
        <f t="shared" si="17"/>
        <v>107276.15</v>
      </c>
      <c r="Z147" s="10">
        <f>+'A) Base RI'!N147</f>
        <v>214244</v>
      </c>
      <c r="AA147" s="10">
        <f>+'A) Base RI'!S147+'A) Base RI'!T147</f>
        <v>943.6</v>
      </c>
      <c r="AB147" s="10">
        <f>+'A) Base RI'!U147</f>
        <v>3760</v>
      </c>
      <c r="AC147" s="10">
        <f>+'A) Base RI'!V147</f>
        <v>0</v>
      </c>
      <c r="AD147" s="10">
        <f>+'A) Base RI'!W147</f>
        <v>0</v>
      </c>
      <c r="AE147" s="10">
        <f>+'A) Base RI'!Y147</f>
        <v>48228.05</v>
      </c>
      <c r="AF147" s="10">
        <f>+'A) Base RI'!Z147</f>
        <v>0</v>
      </c>
      <c r="AG147" s="10">
        <f>+'A) Base RI'!AA147</f>
        <v>179989.15</v>
      </c>
      <c r="AH147" s="10">
        <f>+'A) Base RI'!AB147</f>
        <v>0</v>
      </c>
      <c r="AI147" s="10">
        <f>+'A) Base RI'!AC147</f>
        <v>103632.15</v>
      </c>
      <c r="AJ147" s="10">
        <f>+'A) Base RI'!AD147</f>
        <v>48774.95</v>
      </c>
      <c r="AK147" s="10">
        <f>+'A) Base RI'!AE147</f>
        <v>0</v>
      </c>
      <c r="AL147" s="10">
        <f>+'A) Base RI'!AF147</f>
        <v>0</v>
      </c>
      <c r="AM147" s="10">
        <f>+'A) Base RI'!AG147</f>
        <v>0</v>
      </c>
      <c r="AN147" s="10">
        <f>+'A) Base RI'!AH147</f>
        <v>38588.1</v>
      </c>
      <c r="AO147" s="10">
        <f>+'A) Base RI'!AI147</f>
        <v>0</v>
      </c>
      <c r="AP147" s="10">
        <f>+'A) Base RI'!AJ147</f>
        <v>0</v>
      </c>
      <c r="AQ147" s="10">
        <f>+'A) Base RI'!AK147</f>
        <v>0</v>
      </c>
      <c r="AR147" s="10">
        <f>'A) Base RI'!AN147</f>
        <v>1007</v>
      </c>
    </row>
    <row r="148" spans="1:44" x14ac:dyDescent="0.25">
      <c r="A148" s="8">
        <f>'A) Base RI'!A148</f>
        <v>5638</v>
      </c>
      <c r="B148" s="34" t="str">
        <f>'A) Base RI'!B148</f>
        <v>Lonay</v>
      </c>
      <c r="C148" s="10">
        <f>'A) Base RI'!C148+'A) Base RI'!D148</f>
        <v>6352943.5</v>
      </c>
      <c r="D148" s="10">
        <f>'A) Base RI'!AO148</f>
        <v>-69205.56</v>
      </c>
      <c r="E148" s="33">
        <f>'A) Base RI'!AP148</f>
        <v>0</v>
      </c>
      <c r="F148" s="33">
        <f>'A) Base RI'!AQ148</f>
        <v>-3963.67</v>
      </c>
      <c r="G148" s="2">
        <f t="shared" si="12"/>
        <v>6279774.2700000005</v>
      </c>
      <c r="H148" s="10">
        <f>+'A) Base RI'!E148</f>
        <v>0</v>
      </c>
      <c r="I148" s="10">
        <f>+'A) Base RI'!F148</f>
        <v>0</v>
      </c>
      <c r="J148" s="10">
        <f>+'A) Base RI'!G148+'A) Base RI'!H148</f>
        <v>1211424.6499999999</v>
      </c>
      <c r="K148" s="10">
        <f>+'A) Base RI'!I148</f>
        <v>125707.6</v>
      </c>
      <c r="L148" s="10">
        <f>+'A) Base RI'!J148</f>
        <v>150854.95000000001</v>
      </c>
      <c r="M148" s="10">
        <f>+'A) Base RI'!K148</f>
        <v>58783.25</v>
      </c>
      <c r="N148" s="10">
        <f>+'A) Base RI'!Q148</f>
        <v>30336.52</v>
      </c>
      <c r="O148" s="10">
        <f t="shared" si="13"/>
        <v>610987.55000000005</v>
      </c>
      <c r="P148" s="10">
        <f>+'A) Base RI'!L148</f>
        <v>610987.55000000005</v>
      </c>
      <c r="Q148" s="36">
        <f>'A) Base RI'!AR148</f>
        <v>1</v>
      </c>
      <c r="R148" s="2">
        <f t="shared" si="14"/>
        <v>8467868.7899999991</v>
      </c>
      <c r="S148" s="35">
        <f>+'A) Base RI'!AM148</f>
        <v>55</v>
      </c>
      <c r="T148" s="2">
        <f t="shared" si="15"/>
        <v>7798097.9899999993</v>
      </c>
      <c r="U148" s="2">
        <f t="shared" si="16"/>
        <v>153961.25072727271</v>
      </c>
      <c r="V148" s="10">
        <f>+'A) Base RI'!O148</f>
        <v>5372126.9000000004</v>
      </c>
      <c r="W148" s="10">
        <f>+'A) Base RI'!P148</f>
        <v>327617.2</v>
      </c>
      <c r="X148" s="10">
        <f>+'A) Base RI'!R148</f>
        <v>212938.75</v>
      </c>
      <c r="Y148" s="2">
        <f t="shared" si="17"/>
        <v>5912682.8500000006</v>
      </c>
      <c r="Z148" s="10">
        <f>+'A) Base RI'!N148</f>
        <v>195178.05</v>
      </c>
      <c r="AA148" s="10">
        <f>+'A) Base RI'!S148+'A) Base RI'!T148</f>
        <v>8126.5</v>
      </c>
      <c r="AB148" s="10">
        <f>+'A) Base RI'!U148</f>
        <v>18400</v>
      </c>
      <c r="AC148" s="10">
        <f>+'A) Base RI'!V148</f>
        <v>0</v>
      </c>
      <c r="AD148" s="10">
        <f>+'A) Base RI'!W148</f>
        <v>0</v>
      </c>
      <c r="AE148" s="10">
        <f>+'A) Base RI'!Y148</f>
        <v>362260</v>
      </c>
      <c r="AF148" s="10">
        <f>+'A) Base RI'!Z148</f>
        <v>0</v>
      </c>
      <c r="AG148" s="10">
        <f>+'A) Base RI'!AA148</f>
        <v>0</v>
      </c>
      <c r="AH148" s="10">
        <f>+'A) Base RI'!AB148</f>
        <v>427862.95</v>
      </c>
      <c r="AI148" s="10">
        <f>+'A) Base RI'!AC148</f>
        <v>273576.3</v>
      </c>
      <c r="AJ148" s="10">
        <f>+'A) Base RI'!AD148</f>
        <v>0</v>
      </c>
      <c r="AK148" s="10">
        <f>+'A) Base RI'!AE148</f>
        <v>0</v>
      </c>
      <c r="AL148" s="10">
        <f>+'A) Base RI'!AF148</f>
        <v>0</v>
      </c>
      <c r="AM148" s="10">
        <f>+'A) Base RI'!AG148</f>
        <v>0</v>
      </c>
      <c r="AN148" s="10">
        <f>+'A) Base RI'!AH148</f>
        <v>0</v>
      </c>
      <c r="AO148" s="10">
        <f>+'A) Base RI'!AI148</f>
        <v>0</v>
      </c>
      <c r="AP148" s="10">
        <f>+'A) Base RI'!AJ148</f>
        <v>0</v>
      </c>
      <c r="AQ148" s="10">
        <f>+'A) Base RI'!AK148</f>
        <v>0</v>
      </c>
      <c r="AR148" s="10">
        <f>'A) Base RI'!AN148</f>
        <v>2492</v>
      </c>
    </row>
    <row r="149" spans="1:44" x14ac:dyDescent="0.25">
      <c r="A149" s="8">
        <f>'A) Base RI'!A149</f>
        <v>5639</v>
      </c>
      <c r="B149" s="34" t="str">
        <f>'A) Base RI'!B149</f>
        <v>Lully</v>
      </c>
      <c r="C149" s="10">
        <f>'A) Base RI'!C149+'A) Base RI'!D149</f>
        <v>2858491.58</v>
      </c>
      <c r="D149" s="10">
        <f>'A) Base RI'!AO149</f>
        <v>-10891.22</v>
      </c>
      <c r="E149" s="33">
        <f>'A) Base RI'!AP149</f>
        <v>0</v>
      </c>
      <c r="F149" s="33">
        <f>'A) Base RI'!AQ149</f>
        <v>0</v>
      </c>
      <c r="G149" s="2">
        <f t="shared" si="12"/>
        <v>2847600.36</v>
      </c>
      <c r="H149" s="10">
        <f>+'A) Base RI'!E149</f>
        <v>0</v>
      </c>
      <c r="I149" s="10">
        <f>+'A) Base RI'!F149</f>
        <v>0</v>
      </c>
      <c r="J149" s="10">
        <f>+'A) Base RI'!G149+'A) Base RI'!H149</f>
        <v>85592.55</v>
      </c>
      <c r="K149" s="10">
        <f>+'A) Base RI'!I149</f>
        <v>0</v>
      </c>
      <c r="L149" s="10">
        <f>+'A) Base RI'!J149</f>
        <v>34548.29</v>
      </c>
      <c r="M149" s="10">
        <f>+'A) Base RI'!K149</f>
        <v>2910.85</v>
      </c>
      <c r="N149" s="10">
        <f>+'A) Base RI'!Q149</f>
        <v>0</v>
      </c>
      <c r="O149" s="10">
        <f t="shared" si="13"/>
        <v>186284.12</v>
      </c>
      <c r="P149" s="10">
        <f>+'A) Base RI'!L149</f>
        <v>232855.15</v>
      </c>
      <c r="Q149" s="36">
        <f>'A) Base RI'!AR149</f>
        <v>1.25</v>
      </c>
      <c r="R149" s="2">
        <f t="shared" si="14"/>
        <v>3156936.17</v>
      </c>
      <c r="S149" s="35">
        <f>+'A) Base RI'!AM149</f>
        <v>61</v>
      </c>
      <c r="T149" s="2">
        <f t="shared" si="15"/>
        <v>2967741.1999999997</v>
      </c>
      <c r="U149" s="2">
        <f t="shared" si="16"/>
        <v>51753.051967213112</v>
      </c>
      <c r="V149" s="10">
        <f>+'A) Base RI'!O149</f>
        <v>4672.2</v>
      </c>
      <c r="W149" s="10">
        <f>+'A) Base RI'!P149</f>
        <v>103464.2</v>
      </c>
      <c r="X149" s="10">
        <f>+'A) Base RI'!R149</f>
        <v>74264.649999999994</v>
      </c>
      <c r="Y149" s="2">
        <f t="shared" si="17"/>
        <v>182401.05</v>
      </c>
      <c r="Z149" s="10">
        <f>+'A) Base RI'!N149</f>
        <v>7673.95</v>
      </c>
      <c r="AA149" s="10">
        <f>+'A) Base RI'!S149+'A) Base RI'!T149</f>
        <v>194.5</v>
      </c>
      <c r="AB149" s="10">
        <f>+'A) Base RI'!U149</f>
        <v>2400</v>
      </c>
      <c r="AC149" s="10">
        <f>+'A) Base RI'!V149</f>
        <v>0</v>
      </c>
      <c r="AD149" s="10">
        <f>+'A) Base RI'!W149</f>
        <v>0</v>
      </c>
      <c r="AE149" s="10">
        <f>+'A) Base RI'!Y149</f>
        <v>16686.55</v>
      </c>
      <c r="AF149" s="10">
        <f>+'A) Base RI'!Z149</f>
        <v>0</v>
      </c>
      <c r="AG149" s="10">
        <f>+'A) Base RI'!AA149</f>
        <v>111374.45</v>
      </c>
      <c r="AH149" s="10">
        <f>+'A) Base RI'!AB149</f>
        <v>0</v>
      </c>
      <c r="AI149" s="10">
        <f>+'A) Base RI'!AC149</f>
        <v>63466.55</v>
      </c>
      <c r="AJ149" s="10">
        <f>+'A) Base RI'!AD149</f>
        <v>0</v>
      </c>
      <c r="AK149" s="10">
        <f>+'A) Base RI'!AE149</f>
        <v>0</v>
      </c>
      <c r="AL149" s="10">
        <f>+'A) Base RI'!AF149</f>
        <v>0</v>
      </c>
      <c r="AM149" s="10">
        <f>+'A) Base RI'!AG149</f>
        <v>0</v>
      </c>
      <c r="AN149" s="10">
        <f>+'A) Base RI'!AH149</f>
        <v>0</v>
      </c>
      <c r="AO149" s="10">
        <f>+'A) Base RI'!AI149</f>
        <v>0</v>
      </c>
      <c r="AP149" s="10">
        <f>+'A) Base RI'!AJ149</f>
        <v>0</v>
      </c>
      <c r="AQ149" s="10">
        <f>+'A) Base RI'!AK149</f>
        <v>0</v>
      </c>
      <c r="AR149" s="10">
        <f>'A) Base RI'!AN149</f>
        <v>795</v>
      </c>
    </row>
    <row r="150" spans="1:44" x14ac:dyDescent="0.25">
      <c r="A150" s="8">
        <f>'A) Base RI'!A150</f>
        <v>5640</v>
      </c>
      <c r="B150" s="34" t="str">
        <f>'A) Base RI'!B150</f>
        <v>Lussy-sur-Morges</v>
      </c>
      <c r="C150" s="10">
        <f>'A) Base RI'!C150+'A) Base RI'!D150</f>
        <v>3255614.81</v>
      </c>
      <c r="D150" s="10">
        <f>'A) Base RI'!AO150</f>
        <v>-1896.95</v>
      </c>
      <c r="E150" s="33">
        <f>'A) Base RI'!AP150</f>
        <v>0</v>
      </c>
      <c r="F150" s="33">
        <f>'A) Base RI'!AQ150</f>
        <v>-5013.92</v>
      </c>
      <c r="G150" s="2">
        <f t="shared" si="12"/>
        <v>3248703.94</v>
      </c>
      <c r="H150" s="10">
        <f>+'A) Base RI'!E150</f>
        <v>0</v>
      </c>
      <c r="I150" s="10">
        <f>+'A) Base RI'!F150</f>
        <v>0</v>
      </c>
      <c r="J150" s="10">
        <f>+'A) Base RI'!G150+'A) Base RI'!H150</f>
        <v>114784.25</v>
      </c>
      <c r="K150" s="10">
        <f>+'A) Base RI'!I150</f>
        <v>112456.95</v>
      </c>
      <c r="L150" s="10">
        <f>+'A) Base RI'!J150</f>
        <v>13011.45</v>
      </c>
      <c r="M150" s="10">
        <f>+'A) Base RI'!K150</f>
        <v>3311.15</v>
      </c>
      <c r="N150" s="10">
        <f>+'A) Base RI'!Q150</f>
        <v>0</v>
      </c>
      <c r="O150" s="10">
        <f t="shared" si="13"/>
        <v>177094.65</v>
      </c>
      <c r="P150" s="10">
        <f>+'A) Base RI'!L150</f>
        <v>177094.65</v>
      </c>
      <c r="Q150" s="36">
        <f>'A) Base RI'!AR150</f>
        <v>1</v>
      </c>
      <c r="R150" s="2">
        <f t="shared" si="14"/>
        <v>3669362.39</v>
      </c>
      <c r="S150" s="35">
        <f>+'A) Base RI'!AM150</f>
        <v>66</v>
      </c>
      <c r="T150" s="2">
        <f t="shared" si="15"/>
        <v>3488956.5900000003</v>
      </c>
      <c r="U150" s="2">
        <f t="shared" si="16"/>
        <v>55596.399848484849</v>
      </c>
      <c r="V150" s="10">
        <f>+'A) Base RI'!O150</f>
        <v>1179708.6000000001</v>
      </c>
      <c r="W150" s="10">
        <f>+'A) Base RI'!P150</f>
        <v>99486.5</v>
      </c>
      <c r="X150" s="10">
        <f>+'A) Base RI'!R150</f>
        <v>165951.20000000001</v>
      </c>
      <c r="Y150" s="2">
        <f t="shared" si="17"/>
        <v>1445146.3</v>
      </c>
      <c r="Z150" s="10">
        <f>+'A) Base RI'!N150</f>
        <v>20858.45</v>
      </c>
      <c r="AA150" s="10">
        <f>+'A) Base RI'!S150+'A) Base RI'!T150</f>
        <v>0</v>
      </c>
      <c r="AB150" s="10">
        <f>+'A) Base RI'!U150</f>
        <v>4450</v>
      </c>
      <c r="AC150" s="10">
        <f>+'A) Base RI'!V150</f>
        <v>0</v>
      </c>
      <c r="AD150" s="10">
        <f>+'A) Base RI'!W150</f>
        <v>0</v>
      </c>
      <c r="AE150" s="10">
        <f>+'A) Base RI'!Y150</f>
        <v>7935.15</v>
      </c>
      <c r="AF150" s="10">
        <f>+'A) Base RI'!Z150</f>
        <v>0</v>
      </c>
      <c r="AG150" s="10">
        <f>+'A) Base RI'!AA150</f>
        <v>67156.149999999994</v>
      </c>
      <c r="AH150" s="10">
        <f>+'A) Base RI'!AB150</f>
        <v>0</v>
      </c>
      <c r="AI150" s="10">
        <f>+'A) Base RI'!AC150</f>
        <v>38659</v>
      </c>
      <c r="AJ150" s="10">
        <f>+'A) Base RI'!AD150</f>
        <v>0</v>
      </c>
      <c r="AK150" s="10">
        <f>+'A) Base RI'!AE150</f>
        <v>0</v>
      </c>
      <c r="AL150" s="10">
        <f>+'A) Base RI'!AF150</f>
        <v>0</v>
      </c>
      <c r="AM150" s="10">
        <f>+'A) Base RI'!AG150</f>
        <v>0</v>
      </c>
      <c r="AN150" s="10">
        <f>+'A) Base RI'!AH150</f>
        <v>0</v>
      </c>
      <c r="AO150" s="10">
        <f>+'A) Base RI'!AI150</f>
        <v>0</v>
      </c>
      <c r="AP150" s="10">
        <f>+'A) Base RI'!AJ150</f>
        <v>0</v>
      </c>
      <c r="AQ150" s="10">
        <f>+'A) Base RI'!AK150</f>
        <v>0</v>
      </c>
      <c r="AR150" s="10">
        <f>'A) Base RI'!AN150</f>
        <v>667</v>
      </c>
    </row>
    <row r="151" spans="1:44" x14ac:dyDescent="0.25">
      <c r="A151" s="8">
        <f>'A) Base RI'!A151</f>
        <v>5642</v>
      </c>
      <c r="B151" s="34" t="str">
        <f>'A) Base RI'!B151</f>
        <v>Morges</v>
      </c>
      <c r="C151" s="10">
        <f>'A) Base RI'!C151+'A) Base RI'!D151</f>
        <v>39336680.07</v>
      </c>
      <c r="D151" s="10">
        <f>'A) Base RI'!AO151</f>
        <v>-578734.39</v>
      </c>
      <c r="E151" s="33">
        <f>'A) Base RI'!AP151</f>
        <v>0</v>
      </c>
      <c r="F151" s="33">
        <f>'A) Base RI'!AQ151</f>
        <v>-30349.71</v>
      </c>
      <c r="G151" s="2">
        <f t="shared" si="12"/>
        <v>38727595.969999999</v>
      </c>
      <c r="H151" s="10">
        <f>+'A) Base RI'!E151</f>
        <v>0</v>
      </c>
      <c r="I151" s="10">
        <f>+'A) Base RI'!F151</f>
        <v>0</v>
      </c>
      <c r="J151" s="10">
        <f>+'A) Base RI'!G151+'A) Base RI'!H151</f>
        <v>8654534.3500000015</v>
      </c>
      <c r="K151" s="10">
        <f>+'A) Base RI'!I151</f>
        <v>532169.51</v>
      </c>
      <c r="L151" s="10">
        <f>+'A) Base RI'!J151</f>
        <v>1876864.23</v>
      </c>
      <c r="M151" s="10">
        <f>+'A) Base RI'!K151</f>
        <v>341755.65</v>
      </c>
      <c r="N151" s="10">
        <f>+'A) Base RI'!Q151</f>
        <v>64558.37</v>
      </c>
      <c r="O151" s="10">
        <f t="shared" si="13"/>
        <v>3094735.4</v>
      </c>
      <c r="P151" s="10">
        <f>+'A) Base RI'!L151</f>
        <v>3094735.4</v>
      </c>
      <c r="Q151" s="36">
        <f>'A) Base RI'!AR151</f>
        <v>1</v>
      </c>
      <c r="R151" s="2">
        <f t="shared" si="14"/>
        <v>53292213.479999989</v>
      </c>
      <c r="S151" s="35">
        <f>+'A) Base RI'!AM151</f>
        <v>68.5</v>
      </c>
      <c r="T151" s="2">
        <f t="shared" si="15"/>
        <v>49855722.429999992</v>
      </c>
      <c r="U151" s="2">
        <f t="shared" si="16"/>
        <v>777988.51795620425</v>
      </c>
      <c r="V151" s="10">
        <f>+'A) Base RI'!O151</f>
        <v>3711652.25</v>
      </c>
      <c r="W151" s="10">
        <f>+'A) Base RI'!P151</f>
        <v>1319928.1499999999</v>
      </c>
      <c r="X151" s="10">
        <f>+'A) Base RI'!R151</f>
        <v>894656.9</v>
      </c>
      <c r="Y151" s="2">
        <f t="shared" si="17"/>
        <v>5926237.3000000007</v>
      </c>
      <c r="Z151" s="10">
        <f>+'A) Base RI'!N151</f>
        <v>1182879.75</v>
      </c>
      <c r="AA151" s="10">
        <f>+'A) Base RI'!S151+'A) Base RI'!T151</f>
        <v>89076.75</v>
      </c>
      <c r="AB151" s="10">
        <f>+'A) Base RI'!U151</f>
        <v>45600</v>
      </c>
      <c r="AC151" s="10">
        <f>+'A) Base RI'!V151</f>
        <v>0</v>
      </c>
      <c r="AD151" s="10">
        <f>+'A) Base RI'!W151</f>
        <v>0</v>
      </c>
      <c r="AE151" s="10">
        <f>+'A) Base RI'!Y151</f>
        <v>1013641.95</v>
      </c>
      <c r="AF151" s="10">
        <f>+'A) Base RI'!Z151</f>
        <v>0</v>
      </c>
      <c r="AG151" s="10">
        <f>+'A) Base RI'!AA151</f>
        <v>3822223.65</v>
      </c>
      <c r="AH151" s="10">
        <f>+'A) Base RI'!AB151</f>
        <v>0</v>
      </c>
      <c r="AI151" s="10">
        <f>+'A) Base RI'!AC151</f>
        <v>1071084.8999999999</v>
      </c>
      <c r="AJ151" s="10">
        <f>+'A) Base RI'!AD151</f>
        <v>1524358.6</v>
      </c>
      <c r="AK151" s="10">
        <f>+'A) Base RI'!AE151</f>
        <v>0</v>
      </c>
      <c r="AL151" s="10">
        <f>+'A) Base RI'!AF151</f>
        <v>0</v>
      </c>
      <c r="AM151" s="10">
        <f>+'A) Base RI'!AG151</f>
        <v>227060</v>
      </c>
      <c r="AN151" s="10">
        <f>+'A) Base RI'!AH151</f>
        <v>0</v>
      </c>
      <c r="AO151" s="10">
        <f>+'A) Base RI'!AI151</f>
        <v>0</v>
      </c>
      <c r="AP151" s="10">
        <f>+'A) Base RI'!AJ151</f>
        <v>0</v>
      </c>
      <c r="AQ151" s="10">
        <f>+'A) Base RI'!AK151</f>
        <v>0</v>
      </c>
      <c r="AR151" s="10">
        <f>'A) Base RI'!AN151</f>
        <v>15839</v>
      </c>
    </row>
    <row r="152" spans="1:44" x14ac:dyDescent="0.25">
      <c r="A152" s="8">
        <f>'A) Base RI'!A152</f>
        <v>5643</v>
      </c>
      <c r="B152" s="34" t="str">
        <f>'A) Base RI'!B152</f>
        <v>Préverenges</v>
      </c>
      <c r="C152" s="10">
        <f>'A) Base RI'!C152+'A) Base RI'!D152</f>
        <v>14150863.309999999</v>
      </c>
      <c r="D152" s="10">
        <f>'A) Base RI'!AO152</f>
        <v>-137338.57999999999</v>
      </c>
      <c r="E152" s="33">
        <f>'A) Base RI'!AP152</f>
        <v>0</v>
      </c>
      <c r="F152" s="33">
        <f>'A) Base RI'!AQ152</f>
        <v>-6905.63</v>
      </c>
      <c r="G152" s="2">
        <f t="shared" si="12"/>
        <v>14006619.099999998</v>
      </c>
      <c r="H152" s="10">
        <f>+'A) Base RI'!E152</f>
        <v>0</v>
      </c>
      <c r="I152" s="10">
        <f>+'A) Base RI'!F152</f>
        <v>0</v>
      </c>
      <c r="J152" s="10">
        <f>+'A) Base RI'!G152+'A) Base RI'!H152</f>
        <v>718467.2</v>
      </c>
      <c r="K152" s="10">
        <f>+'A) Base RI'!I152</f>
        <v>525939.9</v>
      </c>
      <c r="L152" s="10">
        <f>+'A) Base RI'!J152</f>
        <v>480997.42</v>
      </c>
      <c r="M152" s="10">
        <f>+'A) Base RI'!K152</f>
        <v>90581.25</v>
      </c>
      <c r="N152" s="10">
        <f>+'A) Base RI'!Q152</f>
        <v>32882.79</v>
      </c>
      <c r="O152" s="10">
        <f t="shared" si="13"/>
        <v>1087622.55</v>
      </c>
      <c r="P152" s="10">
        <f>+'A) Base RI'!L152</f>
        <v>1087622.55</v>
      </c>
      <c r="Q152" s="36">
        <f>'A) Base RI'!AR152</f>
        <v>1</v>
      </c>
      <c r="R152" s="2">
        <f t="shared" si="14"/>
        <v>16943110.209999997</v>
      </c>
      <c r="S152" s="35">
        <f>+'A) Base RI'!AM152</f>
        <v>64</v>
      </c>
      <c r="T152" s="2">
        <f t="shared" si="15"/>
        <v>15764906.409999996</v>
      </c>
      <c r="U152" s="2">
        <f t="shared" si="16"/>
        <v>264736.09703124996</v>
      </c>
      <c r="V152" s="10">
        <f>+'A) Base RI'!O152</f>
        <v>87618.7</v>
      </c>
      <c r="W152" s="10">
        <f>+'A) Base RI'!P152</f>
        <v>302692.05</v>
      </c>
      <c r="X152" s="10">
        <f>+'A) Base RI'!R152</f>
        <v>221118.95</v>
      </c>
      <c r="Y152" s="2">
        <f t="shared" si="17"/>
        <v>611429.69999999995</v>
      </c>
      <c r="Z152" s="10">
        <f>+'A) Base RI'!N152</f>
        <v>146777.79999999999</v>
      </c>
      <c r="AA152" s="10">
        <f>+'A) Base RI'!S152+'A) Base RI'!T152</f>
        <v>4369.75</v>
      </c>
      <c r="AB152" s="10">
        <f>+'A) Base RI'!U152</f>
        <v>17190</v>
      </c>
      <c r="AC152" s="10">
        <f>+'A) Base RI'!V152</f>
        <v>0</v>
      </c>
      <c r="AD152" s="10">
        <f>+'A) Base RI'!W152</f>
        <v>0</v>
      </c>
      <c r="AE152" s="10">
        <f>+'A) Base RI'!Y152</f>
        <v>76631.7</v>
      </c>
      <c r="AF152" s="10">
        <f>+'A) Base RI'!Z152</f>
        <v>0</v>
      </c>
      <c r="AG152" s="10">
        <f>+'A) Base RI'!AA152</f>
        <v>864597.04</v>
      </c>
      <c r="AH152" s="10">
        <f>+'A) Base RI'!AB152</f>
        <v>0</v>
      </c>
      <c r="AI152" s="10">
        <f>+'A) Base RI'!AC152</f>
        <v>395706.1</v>
      </c>
      <c r="AJ152" s="10">
        <f>+'A) Base RI'!AD152</f>
        <v>0</v>
      </c>
      <c r="AK152" s="10">
        <f>+'A) Base RI'!AE152</f>
        <v>0</v>
      </c>
      <c r="AL152" s="10">
        <f>+'A) Base RI'!AF152</f>
        <v>0</v>
      </c>
      <c r="AM152" s="10">
        <f>+'A) Base RI'!AG152</f>
        <v>0</v>
      </c>
      <c r="AN152" s="10">
        <f>+'A) Base RI'!AH152</f>
        <v>117833.45</v>
      </c>
      <c r="AO152" s="10">
        <f>+'A) Base RI'!AI152</f>
        <v>0</v>
      </c>
      <c r="AP152" s="10">
        <f>+'A) Base RI'!AJ152</f>
        <v>0</v>
      </c>
      <c r="AQ152" s="10">
        <f>+'A) Base RI'!AK152</f>
        <v>0</v>
      </c>
      <c r="AR152" s="10">
        <f>'A) Base RI'!AN152</f>
        <v>5291</v>
      </c>
    </row>
    <row r="153" spans="1:44" x14ac:dyDescent="0.25">
      <c r="A153" s="8">
        <f>'A) Base RI'!A153</f>
        <v>5644</v>
      </c>
      <c r="B153" s="34" t="str">
        <f>'A) Base RI'!B153</f>
        <v>Reverolle</v>
      </c>
      <c r="C153" s="10">
        <f>'A) Base RI'!C153+'A) Base RI'!D153</f>
        <v>1027127.14</v>
      </c>
      <c r="D153" s="10">
        <f>'A) Base RI'!AO153</f>
        <v>-1783.14</v>
      </c>
      <c r="E153" s="33">
        <f>'A) Base RI'!AP153</f>
        <v>0</v>
      </c>
      <c r="F153" s="33">
        <f>'A) Base RI'!AQ153</f>
        <v>0</v>
      </c>
      <c r="G153" s="2">
        <f t="shared" si="12"/>
        <v>1025344</v>
      </c>
      <c r="H153" s="10">
        <f>+'A) Base RI'!E153</f>
        <v>0</v>
      </c>
      <c r="I153" s="10">
        <f>+'A) Base RI'!F153</f>
        <v>0</v>
      </c>
      <c r="J153" s="10">
        <f>+'A) Base RI'!G153+'A) Base RI'!H153</f>
        <v>35242.5</v>
      </c>
      <c r="K153" s="10">
        <f>+'A) Base RI'!I153</f>
        <v>0</v>
      </c>
      <c r="L153" s="10">
        <f>+'A) Base RI'!J153</f>
        <v>17628.66</v>
      </c>
      <c r="M153" s="10">
        <f>+'A) Base RI'!K153</f>
        <v>150</v>
      </c>
      <c r="N153" s="10">
        <f>+'A) Base RI'!Q153</f>
        <v>0</v>
      </c>
      <c r="O153" s="10">
        <f t="shared" si="13"/>
        <v>72080.45</v>
      </c>
      <c r="P153" s="10">
        <f>+'A) Base RI'!L153</f>
        <v>72080.45</v>
      </c>
      <c r="Q153" s="36">
        <f>'A) Base RI'!AR153</f>
        <v>1</v>
      </c>
      <c r="R153" s="2">
        <f t="shared" si="14"/>
        <v>1150445.6099999999</v>
      </c>
      <c r="S153" s="35">
        <f>+'A) Base RI'!AM153</f>
        <v>76</v>
      </c>
      <c r="T153" s="2">
        <f t="shared" si="15"/>
        <v>1078215.1599999999</v>
      </c>
      <c r="U153" s="2">
        <f t="shared" si="16"/>
        <v>15137.442236842104</v>
      </c>
      <c r="V153" s="10">
        <f>+'A) Base RI'!O153</f>
        <v>0</v>
      </c>
      <c r="W153" s="10">
        <f>+'A) Base RI'!P153</f>
        <v>40112.050000000003</v>
      </c>
      <c r="X153" s="10">
        <f>+'A) Base RI'!R153</f>
        <v>4106.05</v>
      </c>
      <c r="Y153" s="2">
        <f t="shared" si="17"/>
        <v>44218.100000000006</v>
      </c>
      <c r="Z153" s="10">
        <f>+'A) Base RI'!N153</f>
        <v>11543.65</v>
      </c>
      <c r="AA153" s="10">
        <f>+'A) Base RI'!S153+'A) Base RI'!T153</f>
        <v>300</v>
      </c>
      <c r="AB153" s="10">
        <f>+'A) Base RI'!U153</f>
        <v>2900</v>
      </c>
      <c r="AC153" s="10">
        <f>+'A) Base RI'!V153</f>
        <v>0</v>
      </c>
      <c r="AD153" s="10">
        <f>+'A) Base RI'!W153</f>
        <v>0</v>
      </c>
      <c r="AE153" s="10">
        <f>+'A) Base RI'!Y153</f>
        <v>17074.5</v>
      </c>
      <c r="AF153" s="10">
        <f>+'A) Base RI'!Z153</f>
        <v>0</v>
      </c>
      <c r="AG153" s="10">
        <f>+'A) Base RI'!AA153</f>
        <v>62671.1</v>
      </c>
      <c r="AH153" s="10">
        <f>+'A) Base RI'!AB153</f>
        <v>0</v>
      </c>
      <c r="AI153" s="10">
        <f>+'A) Base RI'!AC153</f>
        <v>35080</v>
      </c>
      <c r="AJ153" s="10">
        <f>+'A) Base RI'!AD153</f>
        <v>12375</v>
      </c>
      <c r="AK153" s="10">
        <f>+'A) Base RI'!AE153</f>
        <v>0</v>
      </c>
      <c r="AL153" s="10">
        <f>+'A) Base RI'!AF153</f>
        <v>0</v>
      </c>
      <c r="AM153" s="10">
        <f>+'A) Base RI'!AG153</f>
        <v>0</v>
      </c>
      <c r="AN153" s="10">
        <f>+'A) Base RI'!AH153</f>
        <v>7160.5</v>
      </c>
      <c r="AO153" s="10">
        <f>+'A) Base RI'!AI153</f>
        <v>0</v>
      </c>
      <c r="AP153" s="10">
        <f>+'A) Base RI'!AJ153</f>
        <v>0</v>
      </c>
      <c r="AQ153" s="10">
        <f>+'A) Base RI'!AK153</f>
        <v>0</v>
      </c>
      <c r="AR153" s="10">
        <f>'A) Base RI'!AN153</f>
        <v>382</v>
      </c>
    </row>
    <row r="154" spans="1:44" x14ac:dyDescent="0.25">
      <c r="A154" s="8">
        <f>'A) Base RI'!A154</f>
        <v>5645</v>
      </c>
      <c r="B154" s="34" t="str">
        <f>'A) Base RI'!B154</f>
        <v>Romanel-sur-Morges</v>
      </c>
      <c r="C154" s="10">
        <f>'A) Base RI'!C154+'A) Base RI'!D154</f>
        <v>1178573.4099999999</v>
      </c>
      <c r="D154" s="10">
        <f>'A) Base RI'!AO154</f>
        <v>-13033.28</v>
      </c>
      <c r="E154" s="33">
        <f>'A) Base RI'!AP154</f>
        <v>0</v>
      </c>
      <c r="F154" s="33">
        <f>'A) Base RI'!AQ154</f>
        <v>-35.659999999999997</v>
      </c>
      <c r="G154" s="2">
        <f t="shared" si="12"/>
        <v>1165504.47</v>
      </c>
      <c r="H154" s="10">
        <f>+'A) Base RI'!E154</f>
        <v>0</v>
      </c>
      <c r="I154" s="10">
        <f>+'A) Base RI'!F154</f>
        <v>0</v>
      </c>
      <c r="J154" s="10">
        <f>+'A) Base RI'!G154+'A) Base RI'!H154</f>
        <v>106232.1</v>
      </c>
      <c r="K154" s="10">
        <f>+'A) Base RI'!I154</f>
        <v>0</v>
      </c>
      <c r="L154" s="10">
        <f>+'A) Base RI'!J154</f>
        <v>85108.88</v>
      </c>
      <c r="M154" s="10">
        <f>+'A) Base RI'!K154</f>
        <v>6457.6</v>
      </c>
      <c r="N154" s="10">
        <f>+'A) Base RI'!Q154</f>
        <v>773.43</v>
      </c>
      <c r="O154" s="10">
        <f t="shared" si="13"/>
        <v>144275.6875</v>
      </c>
      <c r="P154" s="10">
        <f>+'A) Base RI'!L154</f>
        <v>115420.55</v>
      </c>
      <c r="Q154" s="36">
        <f>'A) Base RI'!AR154</f>
        <v>0.8</v>
      </c>
      <c r="R154" s="2">
        <f t="shared" si="14"/>
        <v>1508352.1675000002</v>
      </c>
      <c r="S154" s="35">
        <f>+'A) Base RI'!AM154</f>
        <v>56</v>
      </c>
      <c r="T154" s="2">
        <f t="shared" si="15"/>
        <v>1357618.8800000001</v>
      </c>
      <c r="U154" s="2">
        <f t="shared" si="16"/>
        <v>26934.860133928574</v>
      </c>
      <c r="V154" s="10">
        <f>+'A) Base RI'!O154</f>
        <v>9635.4</v>
      </c>
      <c r="W154" s="10">
        <f>+'A) Base RI'!P154</f>
        <v>14008.5</v>
      </c>
      <c r="X154" s="10">
        <f>+'A) Base RI'!R154</f>
        <v>0</v>
      </c>
      <c r="Y154" s="2">
        <f t="shared" si="17"/>
        <v>23643.9</v>
      </c>
      <c r="Z154" s="10">
        <f>+'A) Base RI'!N154</f>
        <v>64803.7</v>
      </c>
      <c r="AA154" s="10">
        <f>+'A) Base RI'!S154+'A) Base RI'!T154</f>
        <v>75</v>
      </c>
      <c r="AB154" s="10">
        <f>+'A) Base RI'!U154</f>
        <v>975</v>
      </c>
      <c r="AC154" s="10">
        <f>+'A) Base RI'!V154</f>
        <v>0</v>
      </c>
      <c r="AD154" s="10">
        <f>+'A) Base RI'!W154</f>
        <v>0</v>
      </c>
      <c r="AE154" s="10">
        <f>+'A) Base RI'!Y154</f>
        <v>143185.60000000001</v>
      </c>
      <c r="AF154" s="10">
        <f>+'A) Base RI'!Z154</f>
        <v>0</v>
      </c>
      <c r="AG154" s="10">
        <f>+'A) Base RI'!AA154</f>
        <v>111082.35</v>
      </c>
      <c r="AH154" s="10">
        <f>+'A) Base RI'!AB154</f>
        <v>0</v>
      </c>
      <c r="AI154" s="10">
        <f>+'A) Base RI'!AC154</f>
        <v>58623</v>
      </c>
      <c r="AJ154" s="10">
        <f>+'A) Base RI'!AD154</f>
        <v>685.6</v>
      </c>
      <c r="AK154" s="10">
        <f>+'A) Base RI'!AE154</f>
        <v>0</v>
      </c>
      <c r="AL154" s="10">
        <f>+'A) Base RI'!AF154</f>
        <v>0</v>
      </c>
      <c r="AM154" s="10">
        <f>+'A) Base RI'!AG154</f>
        <v>0</v>
      </c>
      <c r="AN154" s="10">
        <f>+'A) Base RI'!AH154</f>
        <v>27865.4</v>
      </c>
      <c r="AO154" s="10">
        <f>+'A) Base RI'!AI154</f>
        <v>0</v>
      </c>
      <c r="AP154" s="10">
        <f>+'A) Base RI'!AJ154</f>
        <v>0</v>
      </c>
      <c r="AQ154" s="10">
        <f>+'A) Base RI'!AK154</f>
        <v>0</v>
      </c>
      <c r="AR154" s="10">
        <f>'A) Base RI'!AN154</f>
        <v>470</v>
      </c>
    </row>
    <row r="155" spans="1:44" x14ac:dyDescent="0.25">
      <c r="A155" s="8">
        <f>'A) Base RI'!A155</f>
        <v>5646</v>
      </c>
      <c r="B155" s="34" t="str">
        <f>'A) Base RI'!B155</f>
        <v>Saint-Prex</v>
      </c>
      <c r="C155" s="10">
        <f>'A) Base RI'!C155+'A) Base RI'!D155</f>
        <v>13812939.719999999</v>
      </c>
      <c r="D155" s="10">
        <f>'A) Base RI'!AO155</f>
        <v>-156511.45000000001</v>
      </c>
      <c r="E155" s="33">
        <f>'A) Base RI'!AP155</f>
        <v>0</v>
      </c>
      <c r="F155" s="33">
        <f>'A) Base RI'!AQ155</f>
        <v>-3473.21</v>
      </c>
      <c r="G155" s="2">
        <f t="shared" si="12"/>
        <v>13652955.059999999</v>
      </c>
      <c r="H155" s="10">
        <f>+'A) Base RI'!E155</f>
        <v>0</v>
      </c>
      <c r="I155" s="10">
        <f>+'A) Base RI'!F155</f>
        <v>0</v>
      </c>
      <c r="J155" s="10">
        <f>+'A) Base RI'!G155+'A) Base RI'!H155</f>
        <v>4739190.8499999996</v>
      </c>
      <c r="K155" s="10">
        <f>+'A) Base RI'!I155</f>
        <v>796369.16</v>
      </c>
      <c r="L155" s="10">
        <f>+'A) Base RI'!J155</f>
        <v>400412.17</v>
      </c>
      <c r="M155" s="10">
        <f>+'A) Base RI'!K155</f>
        <v>90214.399999999994</v>
      </c>
      <c r="N155" s="10">
        <f>+'A) Base RI'!Q155</f>
        <v>17737.5</v>
      </c>
      <c r="O155" s="10">
        <f t="shared" si="13"/>
        <v>1541528.45</v>
      </c>
      <c r="P155" s="10">
        <f>+'A) Base RI'!L155</f>
        <v>1541528.45</v>
      </c>
      <c r="Q155" s="36">
        <f>'A) Base RI'!AR155</f>
        <v>1</v>
      </c>
      <c r="R155" s="2">
        <f t="shared" si="14"/>
        <v>21238407.589999996</v>
      </c>
      <c r="S155" s="35">
        <f>+'A) Base RI'!AM155</f>
        <v>55</v>
      </c>
      <c r="T155" s="2">
        <f t="shared" si="15"/>
        <v>19606664.739999998</v>
      </c>
      <c r="U155" s="2">
        <f t="shared" si="16"/>
        <v>386152.86527272721</v>
      </c>
      <c r="V155" s="10">
        <f>+'A) Base RI'!O155</f>
        <v>324599.7</v>
      </c>
      <c r="W155" s="10">
        <f>+'A) Base RI'!P155</f>
        <v>730417.9</v>
      </c>
      <c r="X155" s="10">
        <f>+'A) Base RI'!R155</f>
        <v>825938.3</v>
      </c>
      <c r="Y155" s="2">
        <f t="shared" si="17"/>
        <v>1880955.9000000001</v>
      </c>
      <c r="Z155" s="10">
        <f>+'A) Base RI'!N155</f>
        <v>442944.65</v>
      </c>
      <c r="AA155" s="10">
        <f>+'A) Base RI'!S155+'A) Base RI'!T155</f>
        <v>21550.15</v>
      </c>
      <c r="AB155" s="10">
        <f>+'A) Base RI'!U155</f>
        <v>45300</v>
      </c>
      <c r="AC155" s="10">
        <f>+'A) Base RI'!V155</f>
        <v>159.6</v>
      </c>
      <c r="AD155" s="10">
        <f>+'A) Base RI'!W155</f>
        <v>0</v>
      </c>
      <c r="AE155" s="10">
        <f>+'A) Base RI'!Y155</f>
        <v>138632.41</v>
      </c>
      <c r="AF155" s="10">
        <f>+'A) Base RI'!Z155</f>
        <v>0</v>
      </c>
      <c r="AG155" s="10">
        <f>+'A) Base RI'!AA155</f>
        <v>860069.68</v>
      </c>
      <c r="AH155" s="10">
        <f>+'A) Base RI'!AB155</f>
        <v>0</v>
      </c>
      <c r="AI155" s="10">
        <f>+'A) Base RI'!AC155</f>
        <v>544538.05000000005</v>
      </c>
      <c r="AJ155" s="10">
        <f>+'A) Base RI'!AD155</f>
        <v>84517.94</v>
      </c>
      <c r="AK155" s="10">
        <f>+'A) Base RI'!AE155</f>
        <v>0</v>
      </c>
      <c r="AL155" s="10">
        <f>+'A) Base RI'!AF155</f>
        <v>0</v>
      </c>
      <c r="AM155" s="10">
        <f>+'A) Base RI'!AG155</f>
        <v>0</v>
      </c>
      <c r="AN155" s="10">
        <f>+'A) Base RI'!AH155</f>
        <v>0</v>
      </c>
      <c r="AO155" s="10">
        <f>+'A) Base RI'!AI155</f>
        <v>0</v>
      </c>
      <c r="AP155" s="10">
        <f>+'A) Base RI'!AJ155</f>
        <v>0</v>
      </c>
      <c r="AQ155" s="10">
        <f>+'A) Base RI'!AK155</f>
        <v>0</v>
      </c>
      <c r="AR155" s="10">
        <f>'A) Base RI'!AN155</f>
        <v>5695</v>
      </c>
    </row>
    <row r="156" spans="1:44" x14ac:dyDescent="0.25">
      <c r="A156" s="8">
        <f>'A) Base RI'!A156</f>
        <v>5648</v>
      </c>
      <c r="B156" s="34" t="str">
        <f>'A) Base RI'!B156</f>
        <v>Saint-Sulpice</v>
      </c>
      <c r="C156" s="10">
        <f>'A) Base RI'!C156+'A) Base RI'!D156</f>
        <v>16254940.350000001</v>
      </c>
      <c r="D156" s="10">
        <f>'A) Base RI'!AO156</f>
        <v>-44795.58</v>
      </c>
      <c r="E156" s="33">
        <f>'A) Base RI'!AP156</f>
        <v>0</v>
      </c>
      <c r="F156" s="33">
        <f>'A) Base RI'!AQ156</f>
        <v>-18715.68</v>
      </c>
      <c r="G156" s="2">
        <f t="shared" si="12"/>
        <v>16191429.090000002</v>
      </c>
      <c r="H156" s="10">
        <f>+'A) Base RI'!E156</f>
        <v>0</v>
      </c>
      <c r="I156" s="10">
        <f>+'A) Base RI'!F156</f>
        <v>0</v>
      </c>
      <c r="J156" s="10">
        <f>+'A) Base RI'!G156+'A) Base RI'!H156</f>
        <v>1145989.25</v>
      </c>
      <c r="K156" s="10">
        <f>+'A) Base RI'!I156</f>
        <v>400643.54</v>
      </c>
      <c r="L156" s="10">
        <f>+'A) Base RI'!J156</f>
        <v>866041.95</v>
      </c>
      <c r="M156" s="10">
        <f>+'A) Base RI'!K156</f>
        <v>74742.2</v>
      </c>
      <c r="N156" s="10">
        <f>+'A) Base RI'!Q156</f>
        <v>1736.93</v>
      </c>
      <c r="O156" s="10">
        <f t="shared" si="13"/>
        <v>1326045.3499999999</v>
      </c>
      <c r="P156" s="10">
        <f>+'A) Base RI'!L156</f>
        <v>1060836.28</v>
      </c>
      <c r="Q156" s="36">
        <f>'A) Base RI'!AR156</f>
        <v>0.8</v>
      </c>
      <c r="R156" s="2">
        <f t="shared" si="14"/>
        <v>20006628.310000002</v>
      </c>
      <c r="S156" s="35">
        <f>+'A) Base RI'!AM156</f>
        <v>55</v>
      </c>
      <c r="T156" s="2">
        <f t="shared" si="15"/>
        <v>18605840.760000002</v>
      </c>
      <c r="U156" s="2">
        <f t="shared" si="16"/>
        <v>363756.87836363638</v>
      </c>
      <c r="V156" s="10">
        <f>+'A) Base RI'!O156</f>
        <v>608307.6</v>
      </c>
      <c r="W156" s="10">
        <f>+'A) Base RI'!P156</f>
        <v>1232099.75</v>
      </c>
      <c r="X156" s="10">
        <f>+'A) Base RI'!R156</f>
        <v>554617.85</v>
      </c>
      <c r="Y156" s="2">
        <f t="shared" si="17"/>
        <v>2395025.2000000002</v>
      </c>
      <c r="Z156" s="10">
        <f>+'A) Base RI'!N156</f>
        <v>51473.55</v>
      </c>
      <c r="AA156" s="10">
        <f>+'A) Base RI'!S156+'A) Base RI'!T156</f>
        <v>795.9</v>
      </c>
      <c r="AB156" s="10">
        <f>+'A) Base RI'!U156</f>
        <v>17550</v>
      </c>
      <c r="AC156" s="10">
        <f>+'A) Base RI'!V156</f>
        <v>269</v>
      </c>
      <c r="AD156" s="10">
        <f>+'A) Base RI'!W156</f>
        <v>0</v>
      </c>
      <c r="AE156" s="10">
        <f>+'A) Base RI'!Y156</f>
        <v>785568.5</v>
      </c>
      <c r="AF156" s="10">
        <f>+'A) Base RI'!Z156</f>
        <v>0</v>
      </c>
      <c r="AG156" s="10">
        <f>+'A) Base RI'!AA156</f>
        <v>1020660.53</v>
      </c>
      <c r="AH156" s="10">
        <f>+'A) Base RI'!AB156</f>
        <v>0</v>
      </c>
      <c r="AI156" s="10">
        <f>+'A) Base RI'!AC156</f>
        <v>334972.36</v>
      </c>
      <c r="AJ156" s="10">
        <f>+'A) Base RI'!AD156</f>
        <v>0</v>
      </c>
      <c r="AK156" s="10">
        <f>+'A) Base RI'!AE156</f>
        <v>0</v>
      </c>
      <c r="AL156" s="10">
        <f>+'A) Base RI'!AF156</f>
        <v>0</v>
      </c>
      <c r="AM156" s="10">
        <f>+'A) Base RI'!AG156</f>
        <v>202461.18</v>
      </c>
      <c r="AN156" s="10">
        <f>+'A) Base RI'!AH156</f>
        <v>142524.4</v>
      </c>
      <c r="AO156" s="10">
        <f>+'A) Base RI'!AI156</f>
        <v>0</v>
      </c>
      <c r="AP156" s="10">
        <f>+'A) Base RI'!AJ156</f>
        <v>0</v>
      </c>
      <c r="AQ156" s="10">
        <f>+'A) Base RI'!AK156</f>
        <v>0</v>
      </c>
      <c r="AR156" s="10">
        <f>'A) Base RI'!AN156</f>
        <v>4524</v>
      </c>
    </row>
    <row r="157" spans="1:44" x14ac:dyDescent="0.25">
      <c r="A157" s="8">
        <f>'A) Base RI'!A157</f>
        <v>5649</v>
      </c>
      <c r="B157" s="34" t="str">
        <f>'A) Base RI'!B157</f>
        <v>Tolochenaz</v>
      </c>
      <c r="C157" s="10">
        <f>'A) Base RI'!C157+'A) Base RI'!D157</f>
        <v>4882888.82</v>
      </c>
      <c r="D157" s="10">
        <f>'A) Base RI'!AO157</f>
        <v>-55457.45</v>
      </c>
      <c r="E157" s="33">
        <f>'A) Base RI'!AP157</f>
        <v>0</v>
      </c>
      <c r="F157" s="33">
        <f>'A) Base RI'!AQ157</f>
        <v>-690.72</v>
      </c>
      <c r="G157" s="2">
        <f t="shared" si="12"/>
        <v>4826740.6500000004</v>
      </c>
      <c r="H157" s="10">
        <f>+'A) Base RI'!E157</f>
        <v>0</v>
      </c>
      <c r="I157" s="10">
        <f>+'A) Base RI'!F157</f>
        <v>0</v>
      </c>
      <c r="J157" s="10">
        <f>+'A) Base RI'!G157+'A) Base RI'!H157</f>
        <v>9736792.5499999989</v>
      </c>
      <c r="K157" s="10">
        <f>+'A) Base RI'!I157</f>
        <v>159637.71</v>
      </c>
      <c r="L157" s="10">
        <f>+'A) Base RI'!J157</f>
        <v>161641.66</v>
      </c>
      <c r="M157" s="10">
        <f>+'A) Base RI'!K157</f>
        <v>63516.6</v>
      </c>
      <c r="N157" s="10">
        <f>+'A) Base RI'!Q157</f>
        <v>30.2</v>
      </c>
      <c r="O157" s="10">
        <f t="shared" si="13"/>
        <v>540169.69999999995</v>
      </c>
      <c r="P157" s="10">
        <f>+'A) Base RI'!L157</f>
        <v>540169.69999999995</v>
      </c>
      <c r="Q157" s="36">
        <f>'A) Base RI'!AR157</f>
        <v>1</v>
      </c>
      <c r="R157" s="2">
        <f t="shared" si="14"/>
        <v>15488529.069999998</v>
      </c>
      <c r="S157" s="35">
        <f>+'A) Base RI'!AM157</f>
        <v>65</v>
      </c>
      <c r="T157" s="2">
        <f t="shared" si="15"/>
        <v>14884842.77</v>
      </c>
      <c r="U157" s="2">
        <f t="shared" si="16"/>
        <v>238285.06261538458</v>
      </c>
      <c r="V157" s="10">
        <f>+'A) Base RI'!O157</f>
        <v>5548.9</v>
      </c>
      <c r="W157" s="10">
        <f>+'A) Base RI'!P157</f>
        <v>121751.25</v>
      </c>
      <c r="X157" s="10">
        <f>+'A) Base RI'!R157</f>
        <v>263442.95</v>
      </c>
      <c r="Y157" s="2">
        <f t="shared" si="17"/>
        <v>390743.1</v>
      </c>
      <c r="Z157" s="10">
        <f>+'A) Base RI'!N157</f>
        <v>610323.6</v>
      </c>
      <c r="AA157" s="10">
        <f>+'A) Base RI'!S157+'A) Base RI'!T157</f>
        <v>2777.05</v>
      </c>
      <c r="AB157" s="10">
        <f>+'A) Base RI'!U157</f>
        <v>3600</v>
      </c>
      <c r="AC157" s="10">
        <f>+'A) Base RI'!V157</f>
        <v>0</v>
      </c>
      <c r="AD157" s="10">
        <f>+'A) Base RI'!W157</f>
        <v>0</v>
      </c>
      <c r="AE157" s="10">
        <f>+'A) Base RI'!Y157</f>
        <v>39710.550000000003</v>
      </c>
      <c r="AF157" s="10">
        <f>+'A) Base RI'!Z157</f>
        <v>0</v>
      </c>
      <c r="AG157" s="10">
        <f>+'A) Base RI'!AA157</f>
        <v>458741.05</v>
      </c>
      <c r="AH157" s="10">
        <f>+'A) Base RI'!AB157</f>
        <v>0</v>
      </c>
      <c r="AI157" s="10">
        <f>+'A) Base RI'!AC157</f>
        <v>97645</v>
      </c>
      <c r="AJ157" s="10">
        <f>+'A) Base RI'!AD157</f>
        <v>0</v>
      </c>
      <c r="AK157" s="10">
        <f>+'A) Base RI'!AE157</f>
        <v>0</v>
      </c>
      <c r="AL157" s="10">
        <f>+'A) Base RI'!AF157</f>
        <v>0</v>
      </c>
      <c r="AM157" s="10">
        <f>+'A) Base RI'!AG157</f>
        <v>0</v>
      </c>
      <c r="AN157" s="10">
        <f>+'A) Base RI'!AH157</f>
        <v>125022.65</v>
      </c>
      <c r="AO157" s="10">
        <f>+'A) Base RI'!AI157</f>
        <v>0</v>
      </c>
      <c r="AP157" s="10">
        <f>+'A) Base RI'!AJ157</f>
        <v>0</v>
      </c>
      <c r="AQ157" s="10">
        <f>+'A) Base RI'!AK157</f>
        <v>0</v>
      </c>
      <c r="AR157" s="10">
        <f>'A) Base RI'!AN157</f>
        <v>1883</v>
      </c>
    </row>
    <row r="158" spans="1:44" x14ac:dyDescent="0.25">
      <c r="A158" s="8">
        <f>'A) Base RI'!A158</f>
        <v>5650</v>
      </c>
      <c r="B158" s="34" t="str">
        <f>'A) Base RI'!B158</f>
        <v>Vaux-sur-Morges</v>
      </c>
      <c r="C158" s="10">
        <f>'A) Base RI'!C158+'A) Base RI'!D158</f>
        <v>9434726.5199999996</v>
      </c>
      <c r="D158" s="10">
        <f>'A) Base RI'!AO158</f>
        <v>-116.03</v>
      </c>
      <c r="E158" s="33">
        <f>'A) Base RI'!AP158</f>
        <v>0</v>
      </c>
      <c r="F158" s="33">
        <f>'A) Base RI'!AQ158</f>
        <v>0</v>
      </c>
      <c r="G158" s="2">
        <f t="shared" si="12"/>
        <v>9434610.4900000002</v>
      </c>
      <c r="H158" s="10">
        <f>+'A) Base RI'!E158</f>
        <v>0</v>
      </c>
      <c r="I158" s="10">
        <f>+'A) Base RI'!F158</f>
        <v>0</v>
      </c>
      <c r="J158" s="10">
        <f>+'A) Base RI'!G158+'A) Base RI'!H158</f>
        <v>25081.5</v>
      </c>
      <c r="K158" s="10">
        <f>+'A) Base RI'!I158</f>
        <v>0</v>
      </c>
      <c r="L158" s="10">
        <f>+'A) Base RI'!J158</f>
        <v>4629.63</v>
      </c>
      <c r="M158" s="10">
        <f>+'A) Base RI'!K158</f>
        <v>0</v>
      </c>
      <c r="N158" s="10">
        <f>+'A) Base RI'!Q158</f>
        <v>0</v>
      </c>
      <c r="O158" s="10">
        <f t="shared" si="13"/>
        <v>43606.96</v>
      </c>
      <c r="P158" s="10">
        <f>+'A) Base RI'!L158</f>
        <v>54508.7</v>
      </c>
      <c r="Q158" s="36">
        <f>'A) Base RI'!AR158</f>
        <v>1.25</v>
      </c>
      <c r="R158" s="2">
        <f t="shared" si="14"/>
        <v>9507928.5800000019</v>
      </c>
      <c r="S158" s="35">
        <f>+'A) Base RI'!AM158</f>
        <v>56</v>
      </c>
      <c r="T158" s="2">
        <f t="shared" si="15"/>
        <v>9464321.620000001</v>
      </c>
      <c r="U158" s="2">
        <f t="shared" si="16"/>
        <v>169784.43892857147</v>
      </c>
      <c r="V158" s="10">
        <f>+'A) Base RI'!O158</f>
        <v>0</v>
      </c>
      <c r="W158" s="10">
        <f>+'A) Base RI'!P158</f>
        <v>12100</v>
      </c>
      <c r="X158" s="10">
        <f>+'A) Base RI'!R158</f>
        <v>10000.5</v>
      </c>
      <c r="Y158" s="2">
        <f t="shared" si="17"/>
        <v>22100.5</v>
      </c>
      <c r="Z158" s="10">
        <f>+'A) Base RI'!N158</f>
        <v>93.95</v>
      </c>
      <c r="AA158" s="10">
        <f>+'A) Base RI'!S158+'A) Base RI'!T158</f>
        <v>0</v>
      </c>
      <c r="AB158" s="10">
        <f>+'A) Base RI'!U158</f>
        <v>270</v>
      </c>
      <c r="AC158" s="10">
        <f>+'A) Base RI'!V158</f>
        <v>0</v>
      </c>
      <c r="AD158" s="10">
        <f>+'A) Base RI'!W158</f>
        <v>0</v>
      </c>
      <c r="AE158" s="10">
        <f>+'A) Base RI'!Y158</f>
        <v>0</v>
      </c>
      <c r="AF158" s="10">
        <f>+'A) Base RI'!Z158</f>
        <v>-62.2</v>
      </c>
      <c r="AG158" s="10">
        <f>+'A) Base RI'!AA158</f>
        <v>23407.9</v>
      </c>
      <c r="AH158" s="10">
        <f>+'A) Base RI'!AB158</f>
        <v>0</v>
      </c>
      <c r="AI158" s="10">
        <f>+'A) Base RI'!AC158</f>
        <v>26812.25</v>
      </c>
      <c r="AJ158" s="10">
        <f>+'A) Base RI'!AD158</f>
        <v>0</v>
      </c>
      <c r="AK158" s="10">
        <f>+'A) Base RI'!AE158</f>
        <v>0</v>
      </c>
      <c r="AL158" s="10">
        <f>+'A) Base RI'!AF158</f>
        <v>0</v>
      </c>
      <c r="AM158" s="10">
        <f>+'A) Base RI'!AG158</f>
        <v>0</v>
      </c>
      <c r="AN158" s="10">
        <f>+'A) Base RI'!AH158</f>
        <v>0</v>
      </c>
      <c r="AO158" s="10">
        <f>+'A) Base RI'!AI158</f>
        <v>0</v>
      </c>
      <c r="AP158" s="10">
        <f>+'A) Base RI'!AJ158</f>
        <v>0</v>
      </c>
      <c r="AQ158" s="10">
        <f>+'A) Base RI'!AK158</f>
        <v>0</v>
      </c>
      <c r="AR158" s="10">
        <f>'A) Base RI'!AN158</f>
        <v>199</v>
      </c>
    </row>
    <row r="159" spans="1:44" x14ac:dyDescent="0.25">
      <c r="A159" s="8">
        <f>'A) Base RI'!A159</f>
        <v>5651</v>
      </c>
      <c r="B159" s="34" t="str">
        <f>'A) Base RI'!B159</f>
        <v>Villars-Sainte-Croix</v>
      </c>
      <c r="C159" s="10">
        <f>'A) Base RI'!C159+'A) Base RI'!D159</f>
        <v>2103515.06</v>
      </c>
      <c r="D159" s="10">
        <f>'A) Base RI'!AO159</f>
        <v>-11745.78</v>
      </c>
      <c r="E159" s="33">
        <f>'A) Base RI'!AP159</f>
        <v>0</v>
      </c>
      <c r="F159" s="33">
        <f>'A) Base RI'!AQ159</f>
        <v>-94.59</v>
      </c>
      <c r="G159" s="2">
        <f t="shared" si="12"/>
        <v>2091674.69</v>
      </c>
      <c r="H159" s="10">
        <f>+'A) Base RI'!E159</f>
        <v>0</v>
      </c>
      <c r="I159" s="10">
        <f>+'A) Base RI'!F159</f>
        <v>0</v>
      </c>
      <c r="J159" s="10">
        <f>+'A) Base RI'!G159+'A) Base RI'!H159</f>
        <v>710875.9</v>
      </c>
      <c r="K159" s="10">
        <f>+'A) Base RI'!I159</f>
        <v>0</v>
      </c>
      <c r="L159" s="10">
        <f>+'A) Base RI'!J159</f>
        <v>48414.5</v>
      </c>
      <c r="M159" s="10">
        <f>+'A) Base RI'!K159</f>
        <v>18278</v>
      </c>
      <c r="N159" s="10">
        <f>+'A) Base RI'!Q159</f>
        <v>2357.8000000000002</v>
      </c>
      <c r="O159" s="10">
        <f t="shared" si="13"/>
        <v>264848.09999999998</v>
      </c>
      <c r="P159" s="10">
        <f>+'A) Base RI'!L159</f>
        <v>264848.09999999998</v>
      </c>
      <c r="Q159" s="36">
        <f>'A) Base RI'!AR159</f>
        <v>1</v>
      </c>
      <c r="R159" s="2">
        <f t="shared" si="14"/>
        <v>3136448.9899999998</v>
      </c>
      <c r="S159" s="35">
        <f>+'A) Base RI'!AM159</f>
        <v>59</v>
      </c>
      <c r="T159" s="2">
        <f t="shared" si="15"/>
        <v>2853322.8899999997</v>
      </c>
      <c r="U159" s="2">
        <f t="shared" si="16"/>
        <v>53160.152372881355</v>
      </c>
      <c r="V159" s="10">
        <f>+'A) Base RI'!O159</f>
        <v>0</v>
      </c>
      <c r="W159" s="10">
        <f>+'A) Base RI'!P159</f>
        <v>231689.8</v>
      </c>
      <c r="X159" s="10">
        <f>+'A) Base RI'!R159</f>
        <v>42894.6</v>
      </c>
      <c r="Y159" s="2">
        <f t="shared" si="17"/>
        <v>274584.39999999997</v>
      </c>
      <c r="Z159" s="10">
        <f>+'A) Base RI'!N159</f>
        <v>166753.75</v>
      </c>
      <c r="AA159" s="10">
        <f>+'A) Base RI'!S159+'A) Base RI'!T159</f>
        <v>0</v>
      </c>
      <c r="AB159" s="10">
        <f>+'A) Base RI'!U159</f>
        <v>4440</v>
      </c>
      <c r="AC159" s="10">
        <f>+'A) Base RI'!V159</f>
        <v>0</v>
      </c>
      <c r="AD159" s="10">
        <f>+'A) Base RI'!W159</f>
        <v>0</v>
      </c>
      <c r="AE159" s="10">
        <f>+'A) Base RI'!Y159</f>
        <v>0</v>
      </c>
      <c r="AF159" s="10">
        <f>+'A) Base RI'!Z159</f>
        <v>290863.2</v>
      </c>
      <c r="AG159" s="10">
        <f>+'A) Base RI'!AA159</f>
        <v>107176.85</v>
      </c>
      <c r="AH159" s="10">
        <f>+'A) Base RI'!AB159</f>
        <v>0</v>
      </c>
      <c r="AI159" s="10">
        <f>+'A) Base RI'!AC159</f>
        <v>100089.1</v>
      </c>
      <c r="AJ159" s="10">
        <f>+'A) Base RI'!AD159</f>
        <v>0</v>
      </c>
      <c r="AK159" s="10">
        <f>+'A) Base RI'!AE159</f>
        <v>140332.15</v>
      </c>
      <c r="AL159" s="10">
        <f>+'A) Base RI'!AF159</f>
        <v>0</v>
      </c>
      <c r="AM159" s="10">
        <f>+'A) Base RI'!AG159</f>
        <v>0</v>
      </c>
      <c r="AN159" s="10">
        <f>+'A) Base RI'!AH159</f>
        <v>0</v>
      </c>
      <c r="AO159" s="10">
        <f>+'A) Base RI'!AI159</f>
        <v>0</v>
      </c>
      <c r="AP159" s="10">
        <f>+'A) Base RI'!AJ159</f>
        <v>0</v>
      </c>
      <c r="AQ159" s="10">
        <f>+'A) Base RI'!AK159</f>
        <v>0</v>
      </c>
      <c r="AR159" s="10">
        <f>'A) Base RI'!AN159</f>
        <v>935</v>
      </c>
    </row>
    <row r="160" spans="1:44" x14ac:dyDescent="0.25">
      <c r="A160" s="8">
        <f>'A) Base RI'!A160</f>
        <v>5652</v>
      </c>
      <c r="B160" s="34" t="str">
        <f>'A) Base RI'!B160</f>
        <v>Villars-sous-Yens</v>
      </c>
      <c r="C160" s="10">
        <f>'A) Base RI'!C160+'A) Base RI'!D160</f>
        <v>1813085.78</v>
      </c>
      <c r="D160" s="10">
        <f>'A) Base RI'!AO160</f>
        <v>-6913.36</v>
      </c>
      <c r="E160" s="33">
        <f>'A) Base RI'!AP160</f>
        <v>0</v>
      </c>
      <c r="F160" s="33">
        <f>'A) Base RI'!AQ160</f>
        <v>-143.91999999999999</v>
      </c>
      <c r="G160" s="2">
        <f t="shared" si="12"/>
        <v>1806028.5</v>
      </c>
      <c r="H160" s="10">
        <f>+'A) Base RI'!E160</f>
        <v>0</v>
      </c>
      <c r="I160" s="10">
        <f>+'A) Base RI'!F160</f>
        <v>0</v>
      </c>
      <c r="J160" s="10">
        <f>+'A) Base RI'!G160+'A) Base RI'!H160</f>
        <v>18422.7</v>
      </c>
      <c r="K160" s="10">
        <f>+'A) Base RI'!I160</f>
        <v>0</v>
      </c>
      <c r="L160" s="10">
        <f>+'A) Base RI'!J160</f>
        <v>36632.910000000003</v>
      </c>
      <c r="M160" s="10">
        <f>+'A) Base RI'!K160</f>
        <v>614.15</v>
      </c>
      <c r="N160" s="10">
        <f>+'A) Base RI'!Q160</f>
        <v>0</v>
      </c>
      <c r="O160" s="10">
        <f t="shared" si="13"/>
        <v>106119.20833333334</v>
      </c>
      <c r="P160" s="10">
        <f>+'A) Base RI'!L160</f>
        <v>127343.05</v>
      </c>
      <c r="Q160" s="36">
        <f>'A) Base RI'!AR160</f>
        <v>1.2</v>
      </c>
      <c r="R160" s="2">
        <f t="shared" si="14"/>
        <v>1967817.468333333</v>
      </c>
      <c r="S160" s="35">
        <f>+'A) Base RI'!AM160</f>
        <v>76</v>
      </c>
      <c r="T160" s="2">
        <f t="shared" si="15"/>
        <v>1861084.1099999999</v>
      </c>
      <c r="U160" s="2">
        <f t="shared" si="16"/>
        <v>25892.335109649121</v>
      </c>
      <c r="V160" s="10">
        <f>+'A) Base RI'!O160</f>
        <v>0</v>
      </c>
      <c r="W160" s="10">
        <f>+'A) Base RI'!P160</f>
        <v>41371</v>
      </c>
      <c r="X160" s="10">
        <f>+'A) Base RI'!R160</f>
        <v>11871.95</v>
      </c>
      <c r="Y160" s="2">
        <f t="shared" si="17"/>
        <v>53242.95</v>
      </c>
      <c r="Z160" s="10">
        <f>+'A) Base RI'!N160</f>
        <v>7470.6</v>
      </c>
      <c r="AA160" s="10">
        <f>+'A) Base RI'!S160+'A) Base RI'!T160</f>
        <v>555.95000000000005</v>
      </c>
      <c r="AB160" s="10">
        <f>+'A) Base RI'!U160</f>
        <v>4200</v>
      </c>
      <c r="AC160" s="10">
        <f>+'A) Base RI'!V160</f>
        <v>0</v>
      </c>
      <c r="AD160" s="10">
        <f>+'A) Base RI'!W160</f>
        <v>0</v>
      </c>
      <c r="AE160" s="10">
        <f>+'A) Base RI'!Y160</f>
        <v>22712.35</v>
      </c>
      <c r="AF160" s="10">
        <f>+'A) Base RI'!Z160</f>
        <v>0</v>
      </c>
      <c r="AG160" s="10">
        <f>+'A) Base RI'!AA160</f>
        <v>81178.8</v>
      </c>
      <c r="AH160" s="10">
        <f>+'A) Base RI'!AB160</f>
        <v>0</v>
      </c>
      <c r="AI160" s="10">
        <f>+'A) Base RI'!AC160</f>
        <v>40137.550000000003</v>
      </c>
      <c r="AJ160" s="10">
        <f>+'A) Base RI'!AD160</f>
        <v>0</v>
      </c>
      <c r="AK160" s="10">
        <f>+'A) Base RI'!AE160</f>
        <v>0</v>
      </c>
      <c r="AL160" s="10">
        <f>+'A) Base RI'!AF160</f>
        <v>0</v>
      </c>
      <c r="AM160" s="10">
        <f>+'A) Base RI'!AG160</f>
        <v>0</v>
      </c>
      <c r="AN160" s="10">
        <f>+'A) Base RI'!AH160</f>
        <v>0</v>
      </c>
      <c r="AO160" s="10">
        <f>+'A) Base RI'!AI160</f>
        <v>0</v>
      </c>
      <c r="AP160" s="10">
        <f>+'A) Base RI'!AJ160</f>
        <v>0</v>
      </c>
      <c r="AQ160" s="10">
        <f>+'A) Base RI'!AK160</f>
        <v>0</v>
      </c>
      <c r="AR160" s="10">
        <f>'A) Base RI'!AN160</f>
        <v>614</v>
      </c>
    </row>
    <row r="161" spans="1:44" x14ac:dyDescent="0.25">
      <c r="A161" s="8">
        <f>'A) Base RI'!A161</f>
        <v>5653</v>
      </c>
      <c r="B161" s="34" t="str">
        <f>'A) Base RI'!B161</f>
        <v>Vufflens-le-Château</v>
      </c>
      <c r="C161" s="10">
        <f>'A) Base RI'!C161+'A) Base RI'!D161</f>
        <v>2830480.58</v>
      </c>
      <c r="D161" s="10">
        <f>'A) Base RI'!AO161</f>
        <v>-8804.7199999999993</v>
      </c>
      <c r="E161" s="33">
        <f>'A) Base RI'!AP161</f>
        <v>0</v>
      </c>
      <c r="F161" s="33">
        <f>'A) Base RI'!AQ161</f>
        <v>-2908.68</v>
      </c>
      <c r="G161" s="2">
        <f t="shared" si="12"/>
        <v>2818767.1799999997</v>
      </c>
      <c r="H161" s="10">
        <f>+'A) Base RI'!E161</f>
        <v>0</v>
      </c>
      <c r="I161" s="10">
        <f>+'A) Base RI'!F161</f>
        <v>0</v>
      </c>
      <c r="J161" s="10">
        <f>+'A) Base RI'!G161+'A) Base RI'!H161</f>
        <v>7281.15</v>
      </c>
      <c r="K161" s="10">
        <f>+'A) Base RI'!I161</f>
        <v>92686.65</v>
      </c>
      <c r="L161" s="10">
        <f>+'A) Base RI'!J161</f>
        <v>45413.88</v>
      </c>
      <c r="M161" s="10">
        <f>+'A) Base RI'!K161</f>
        <v>1537</v>
      </c>
      <c r="N161" s="10">
        <f>+'A) Base RI'!Q161</f>
        <v>0</v>
      </c>
      <c r="O161" s="10">
        <f t="shared" si="13"/>
        <v>231607</v>
      </c>
      <c r="P161" s="10">
        <f>+'A) Base RI'!L161</f>
        <v>185285.6</v>
      </c>
      <c r="Q161" s="36">
        <f>'A) Base RI'!AR161</f>
        <v>0.8</v>
      </c>
      <c r="R161" s="2">
        <f t="shared" si="14"/>
        <v>3197292.8599999994</v>
      </c>
      <c r="S161" s="35">
        <f>+'A) Base RI'!AM161</f>
        <v>55</v>
      </c>
      <c r="T161" s="2">
        <f t="shared" si="15"/>
        <v>2964148.8599999994</v>
      </c>
      <c r="U161" s="2">
        <f t="shared" si="16"/>
        <v>58132.597454545445</v>
      </c>
      <c r="V161" s="10">
        <f>+'A) Base RI'!O161</f>
        <v>0</v>
      </c>
      <c r="W161" s="10">
        <f>+'A) Base RI'!P161</f>
        <v>66731.55</v>
      </c>
      <c r="X161" s="10">
        <f>+'A) Base RI'!R161</f>
        <v>9370.1</v>
      </c>
      <c r="Y161" s="2">
        <f t="shared" si="17"/>
        <v>76101.650000000009</v>
      </c>
      <c r="Z161" s="10">
        <f>+'A) Base RI'!N161</f>
        <v>406.8</v>
      </c>
      <c r="AA161" s="10">
        <f>+'A) Base RI'!S161+'A) Base RI'!T161</f>
        <v>0</v>
      </c>
      <c r="AB161" s="10">
        <f>+'A) Base RI'!U161</f>
        <v>6050</v>
      </c>
      <c r="AC161" s="10">
        <f>+'A) Base RI'!V161</f>
        <v>0</v>
      </c>
      <c r="AD161" s="10">
        <f>+'A) Base RI'!W161</f>
        <v>0</v>
      </c>
      <c r="AE161" s="10">
        <f>+'A) Base RI'!Y161</f>
        <v>26077.1</v>
      </c>
      <c r="AF161" s="10">
        <f>+'A) Base RI'!Z161</f>
        <v>0</v>
      </c>
      <c r="AG161" s="10">
        <f>+'A) Base RI'!AA161</f>
        <v>88096.1</v>
      </c>
      <c r="AH161" s="10">
        <f>+'A) Base RI'!AB161</f>
        <v>0</v>
      </c>
      <c r="AI161" s="10">
        <f>+'A) Base RI'!AC161</f>
        <v>48405.15</v>
      </c>
      <c r="AJ161" s="10">
        <f>+'A) Base RI'!AD161</f>
        <v>0</v>
      </c>
      <c r="AK161" s="10">
        <f>+'A) Base RI'!AE161</f>
        <v>0</v>
      </c>
      <c r="AL161" s="10">
        <f>+'A) Base RI'!AF161</f>
        <v>0</v>
      </c>
      <c r="AM161" s="10">
        <f>+'A) Base RI'!AG161</f>
        <v>0</v>
      </c>
      <c r="AN161" s="10">
        <f>+'A) Base RI'!AH161</f>
        <v>0</v>
      </c>
      <c r="AO161" s="10">
        <f>+'A) Base RI'!AI161</f>
        <v>0</v>
      </c>
      <c r="AP161" s="10">
        <f>+'A) Base RI'!AJ161</f>
        <v>0</v>
      </c>
      <c r="AQ161" s="10">
        <f>+'A) Base RI'!AK161</f>
        <v>0</v>
      </c>
      <c r="AR161" s="10">
        <f>'A) Base RI'!AN161</f>
        <v>884</v>
      </c>
    </row>
    <row r="162" spans="1:44" x14ac:dyDescent="0.25">
      <c r="A162" s="8">
        <f>'A) Base RI'!A162</f>
        <v>5654</v>
      </c>
      <c r="B162" s="34" t="str">
        <f>'A) Base RI'!B162</f>
        <v>Vullierens</v>
      </c>
      <c r="C162" s="10">
        <f>'A) Base RI'!C162+'A) Base RI'!D162</f>
        <v>1275551.5</v>
      </c>
      <c r="D162" s="10">
        <f>'A) Base RI'!AO162</f>
        <v>-10334.25</v>
      </c>
      <c r="E162" s="33">
        <f>'A) Base RI'!AP162</f>
        <v>0</v>
      </c>
      <c r="F162" s="33">
        <f>'A) Base RI'!AQ162</f>
        <v>-1458.99</v>
      </c>
      <c r="G162" s="2">
        <f t="shared" si="12"/>
        <v>1263758.26</v>
      </c>
      <c r="H162" s="10">
        <f>+'A) Base RI'!E162</f>
        <v>0</v>
      </c>
      <c r="I162" s="10">
        <f>+'A) Base RI'!F162</f>
        <v>0</v>
      </c>
      <c r="J162" s="10">
        <f>+'A) Base RI'!G162+'A) Base RI'!H162</f>
        <v>29176.449999999997</v>
      </c>
      <c r="K162" s="10">
        <f>+'A) Base RI'!I162</f>
        <v>0</v>
      </c>
      <c r="L162" s="10">
        <f>+'A) Base RI'!J162</f>
        <v>37052.31</v>
      </c>
      <c r="M162" s="10">
        <f>+'A) Base RI'!K162</f>
        <v>1251.95</v>
      </c>
      <c r="N162" s="10">
        <f>+'A) Base RI'!Q162</f>
        <v>0</v>
      </c>
      <c r="O162" s="10">
        <f t="shared" si="13"/>
        <v>89335.35</v>
      </c>
      <c r="P162" s="10">
        <f>+'A) Base RI'!L162</f>
        <v>89335.35</v>
      </c>
      <c r="Q162" s="36">
        <f>'A) Base RI'!AR162</f>
        <v>1</v>
      </c>
      <c r="R162" s="2">
        <f t="shared" si="14"/>
        <v>1420574.32</v>
      </c>
      <c r="S162" s="35">
        <f>+'A) Base RI'!AM162</f>
        <v>76</v>
      </c>
      <c r="T162" s="2">
        <f t="shared" si="15"/>
        <v>1329987.02</v>
      </c>
      <c r="U162" s="2">
        <f t="shared" si="16"/>
        <v>18691.767368421053</v>
      </c>
      <c r="V162" s="10">
        <f>+'A) Base RI'!O162</f>
        <v>4667.3</v>
      </c>
      <c r="W162" s="10">
        <f>+'A) Base RI'!P162</f>
        <v>13695.05</v>
      </c>
      <c r="X162" s="10">
        <f>+'A) Base RI'!R162</f>
        <v>17352.400000000001</v>
      </c>
      <c r="Y162" s="2">
        <f t="shared" si="17"/>
        <v>35714.75</v>
      </c>
      <c r="Z162" s="10">
        <f>+'A) Base RI'!N162</f>
        <v>2445.85</v>
      </c>
      <c r="AA162" s="10">
        <f>+'A) Base RI'!S162+'A) Base RI'!T162</f>
        <v>1153.7</v>
      </c>
      <c r="AB162" s="10">
        <f>+'A) Base RI'!U162</f>
        <v>3900</v>
      </c>
      <c r="AC162" s="10">
        <f>+'A) Base RI'!V162</f>
        <v>0</v>
      </c>
      <c r="AD162" s="10">
        <f>+'A) Base RI'!W162</f>
        <v>0</v>
      </c>
      <c r="AE162" s="10">
        <f>+'A) Base RI'!Y162</f>
        <v>82709.600000000006</v>
      </c>
      <c r="AF162" s="10">
        <f>+'A) Base RI'!Z162</f>
        <v>0</v>
      </c>
      <c r="AG162" s="10">
        <f>+'A) Base RI'!AA162</f>
        <v>152269.75</v>
      </c>
      <c r="AH162" s="10">
        <f>+'A) Base RI'!AB162</f>
        <v>0</v>
      </c>
      <c r="AI162" s="10">
        <f>+'A) Base RI'!AC162</f>
        <v>24445.85</v>
      </c>
      <c r="AJ162" s="10">
        <f>+'A) Base RI'!AD162</f>
        <v>8000</v>
      </c>
      <c r="AK162" s="10">
        <f>+'A) Base RI'!AE162</f>
        <v>0</v>
      </c>
      <c r="AL162" s="10">
        <f>+'A) Base RI'!AF162</f>
        <v>0</v>
      </c>
      <c r="AM162" s="10">
        <f>+'A) Base RI'!AG162</f>
        <v>0</v>
      </c>
      <c r="AN162" s="10">
        <f>+'A) Base RI'!AH162</f>
        <v>12556.25</v>
      </c>
      <c r="AO162" s="10">
        <f>+'A) Base RI'!AI162</f>
        <v>0</v>
      </c>
      <c r="AP162" s="10">
        <f>+'A) Base RI'!AJ162</f>
        <v>0</v>
      </c>
      <c r="AQ162" s="10">
        <f>+'A) Base RI'!AK162</f>
        <v>0</v>
      </c>
      <c r="AR162" s="10">
        <f>'A) Base RI'!AN162</f>
        <v>499</v>
      </c>
    </row>
    <row r="163" spans="1:44" x14ac:dyDescent="0.25">
      <c r="A163" s="8">
        <f>'A) Base RI'!A163</f>
        <v>5655</v>
      </c>
      <c r="B163" s="34" t="str">
        <f>'A) Base RI'!B163</f>
        <v>Yens</v>
      </c>
      <c r="C163" s="10">
        <f>'A) Base RI'!C163+'A) Base RI'!D163</f>
        <v>4687538.33</v>
      </c>
      <c r="D163" s="10">
        <f>'A) Base RI'!AO163</f>
        <v>-11152.45</v>
      </c>
      <c r="E163" s="33">
        <f>'A) Base RI'!AP163</f>
        <v>0</v>
      </c>
      <c r="F163" s="33">
        <f>'A) Base RI'!AQ163</f>
        <v>-536.85</v>
      </c>
      <c r="G163" s="2">
        <f t="shared" si="12"/>
        <v>4675849.03</v>
      </c>
      <c r="H163" s="10">
        <f>+'A) Base RI'!E163</f>
        <v>0</v>
      </c>
      <c r="I163" s="10">
        <f>+'A) Base RI'!F163</f>
        <v>0</v>
      </c>
      <c r="J163" s="10">
        <f>+'A) Base RI'!G163+'A) Base RI'!H163</f>
        <v>147652.54999999999</v>
      </c>
      <c r="K163" s="10">
        <f>+'A) Base RI'!I163</f>
        <v>-11254.2</v>
      </c>
      <c r="L163" s="10">
        <f>+'A) Base RI'!J163</f>
        <v>85854.02</v>
      </c>
      <c r="M163" s="10">
        <f>+'A) Base RI'!K163</f>
        <v>8464</v>
      </c>
      <c r="N163" s="10">
        <f>+'A) Base RI'!Q163</f>
        <v>1492.99</v>
      </c>
      <c r="O163" s="10">
        <f t="shared" si="13"/>
        <v>371490.85</v>
      </c>
      <c r="P163" s="10">
        <f>+'A) Base RI'!L163</f>
        <v>371490.85</v>
      </c>
      <c r="Q163" s="36">
        <f>'A) Base RI'!AR163</f>
        <v>1</v>
      </c>
      <c r="R163" s="2">
        <f t="shared" si="14"/>
        <v>5279549.2399999993</v>
      </c>
      <c r="S163" s="35">
        <f>+'A) Base RI'!AM163</f>
        <v>73</v>
      </c>
      <c r="T163" s="2">
        <f t="shared" si="15"/>
        <v>4899594.3899999997</v>
      </c>
      <c r="U163" s="2">
        <f t="shared" si="16"/>
        <v>72322.592328767118</v>
      </c>
      <c r="V163" s="10">
        <f>+'A) Base RI'!O163</f>
        <v>121137.3</v>
      </c>
      <c r="W163" s="10">
        <f>+'A) Base RI'!P163</f>
        <v>301458.3</v>
      </c>
      <c r="X163" s="10">
        <f>+'A) Base RI'!R163</f>
        <v>354268.85</v>
      </c>
      <c r="Y163" s="2">
        <f t="shared" si="17"/>
        <v>776864.45</v>
      </c>
      <c r="Z163" s="10">
        <f>+'A) Base RI'!N163</f>
        <v>60612.05</v>
      </c>
      <c r="AA163" s="10">
        <f>+'A) Base RI'!S163+'A) Base RI'!T163</f>
        <v>950</v>
      </c>
      <c r="AB163" s="10">
        <f>+'A) Base RI'!U163</f>
        <v>7530</v>
      </c>
      <c r="AC163" s="10">
        <f>+'A) Base RI'!V163</f>
        <v>1560</v>
      </c>
      <c r="AD163" s="10">
        <f>+'A) Base RI'!W163</f>
        <v>0</v>
      </c>
      <c r="AE163" s="10">
        <f>+'A) Base RI'!Y163</f>
        <v>54130.25</v>
      </c>
      <c r="AF163" s="10">
        <f>+'A) Base RI'!Z163</f>
        <v>0</v>
      </c>
      <c r="AG163" s="10">
        <f>+'A) Base RI'!AA163</f>
        <v>175740.3</v>
      </c>
      <c r="AH163" s="10">
        <f>+'A) Base RI'!AB163</f>
        <v>0</v>
      </c>
      <c r="AI163" s="10">
        <f>+'A) Base RI'!AC163</f>
        <v>72214.25</v>
      </c>
      <c r="AJ163" s="10">
        <f>+'A) Base RI'!AD163</f>
        <v>83121.850000000006</v>
      </c>
      <c r="AK163" s="10">
        <f>+'A) Base RI'!AE163</f>
        <v>0</v>
      </c>
      <c r="AL163" s="10">
        <f>+'A) Base RI'!AF163</f>
        <v>0</v>
      </c>
      <c r="AM163" s="10">
        <f>+'A) Base RI'!AG163</f>
        <v>0</v>
      </c>
      <c r="AN163" s="10">
        <f>+'A) Base RI'!AH163</f>
        <v>0</v>
      </c>
      <c r="AO163" s="10">
        <f>+'A) Base RI'!AI163</f>
        <v>0</v>
      </c>
      <c r="AP163" s="10">
        <f>+'A) Base RI'!AJ163</f>
        <v>0</v>
      </c>
      <c r="AQ163" s="10">
        <f>+'A) Base RI'!AK163</f>
        <v>0</v>
      </c>
      <c r="AR163" s="10">
        <f>'A) Base RI'!AN163</f>
        <v>1395</v>
      </c>
    </row>
    <row r="164" spans="1:44" x14ac:dyDescent="0.25">
      <c r="A164" s="8">
        <f>'A) Base RI'!A164</f>
        <v>5661</v>
      </c>
      <c r="B164" s="34" t="str">
        <f>'A) Base RI'!B164</f>
        <v>Boulens</v>
      </c>
      <c r="C164" s="10">
        <f>'A) Base RI'!C164+'A) Base RI'!D164</f>
        <v>661942</v>
      </c>
      <c r="D164" s="10">
        <f>'A) Base RI'!AO164</f>
        <v>-34.590000000000003</v>
      </c>
      <c r="E164" s="33">
        <f>'A) Base RI'!AP164</f>
        <v>0</v>
      </c>
      <c r="F164" s="33">
        <f>'A) Base RI'!AQ164</f>
        <v>0</v>
      </c>
      <c r="G164" s="2">
        <f t="shared" si="12"/>
        <v>661907.41</v>
      </c>
      <c r="H164" s="10">
        <f>+'A) Base RI'!E164</f>
        <v>0</v>
      </c>
      <c r="I164" s="10">
        <f>+'A) Base RI'!F164</f>
        <v>1710</v>
      </c>
      <c r="J164" s="10">
        <f>+'A) Base RI'!G164+'A) Base RI'!H164</f>
        <v>1560</v>
      </c>
      <c r="K164" s="10">
        <f>+'A) Base RI'!I164</f>
        <v>0</v>
      </c>
      <c r="L164" s="10">
        <f>+'A) Base RI'!J164</f>
        <v>4775.05</v>
      </c>
      <c r="M164" s="10">
        <f>+'A) Base RI'!K164</f>
        <v>202.5</v>
      </c>
      <c r="N164" s="10">
        <f>+'A) Base RI'!Q164</f>
        <v>1100</v>
      </c>
      <c r="O164" s="10">
        <f t="shared" si="13"/>
        <v>44429.599999999999</v>
      </c>
      <c r="P164" s="10">
        <f>+'A) Base RI'!L164</f>
        <v>44429.599999999999</v>
      </c>
      <c r="Q164" s="36">
        <f>'A) Base RI'!AR164</f>
        <v>1</v>
      </c>
      <c r="R164" s="2">
        <f t="shared" si="14"/>
        <v>715684.56</v>
      </c>
      <c r="S164" s="35">
        <f>+'A) Base RI'!AM164</f>
        <v>79</v>
      </c>
      <c r="T164" s="2">
        <f t="shared" si="15"/>
        <v>669342.46000000008</v>
      </c>
      <c r="U164" s="2">
        <f t="shared" si="16"/>
        <v>9059.2982278481013</v>
      </c>
      <c r="V164" s="10">
        <f>+'A) Base RI'!O164</f>
        <v>0</v>
      </c>
      <c r="W164" s="10">
        <f>+'A) Base RI'!P164</f>
        <v>12018.25</v>
      </c>
      <c r="X164" s="10">
        <f>+'A) Base RI'!R164</f>
        <v>3640.55</v>
      </c>
      <c r="Y164" s="2">
        <f t="shared" si="17"/>
        <v>15658.8</v>
      </c>
      <c r="Z164" s="10">
        <f>+'A) Base RI'!N164</f>
        <v>13524.6</v>
      </c>
      <c r="AA164" s="10">
        <f>+'A) Base RI'!S164+'A) Base RI'!T164</f>
        <v>0</v>
      </c>
      <c r="AB164" s="10">
        <f>+'A) Base RI'!U164</f>
        <v>3700</v>
      </c>
      <c r="AC164" s="10">
        <f>+'A) Base RI'!V164</f>
        <v>0</v>
      </c>
      <c r="AD164" s="10">
        <f>+'A) Base RI'!W164</f>
        <v>0</v>
      </c>
      <c r="AE164" s="10">
        <f>+'A) Base RI'!Y164</f>
        <v>0</v>
      </c>
      <c r="AF164" s="10">
        <f>+'A) Base RI'!Z164</f>
        <v>0</v>
      </c>
      <c r="AG164" s="10">
        <f>+'A) Base RI'!AA164</f>
        <v>34489.75</v>
      </c>
      <c r="AH164" s="10">
        <f>+'A) Base RI'!AB164</f>
        <v>0</v>
      </c>
      <c r="AI164" s="10">
        <f>+'A) Base RI'!AC164</f>
        <v>25433.25</v>
      </c>
      <c r="AJ164" s="10">
        <f>+'A) Base RI'!AD164</f>
        <v>0</v>
      </c>
      <c r="AK164" s="10">
        <f>+'A) Base RI'!AE164</f>
        <v>0</v>
      </c>
      <c r="AL164" s="10">
        <f>+'A) Base RI'!AF164</f>
        <v>0</v>
      </c>
      <c r="AM164" s="10">
        <f>+'A) Base RI'!AG164</f>
        <v>0</v>
      </c>
      <c r="AN164" s="10">
        <f>+'A) Base RI'!AH164</f>
        <v>0</v>
      </c>
      <c r="AO164" s="10">
        <f>+'A) Base RI'!AI164</f>
        <v>0</v>
      </c>
      <c r="AP164" s="10">
        <f>+'A) Base RI'!AJ164</f>
        <v>0</v>
      </c>
      <c r="AQ164" s="10">
        <f>+'A) Base RI'!AK164</f>
        <v>0</v>
      </c>
      <c r="AR164" s="10">
        <f>'A) Base RI'!AN164</f>
        <v>377</v>
      </c>
    </row>
    <row r="165" spans="1:44" x14ac:dyDescent="0.25">
      <c r="A165" s="8">
        <f>'A) Base RI'!A165</f>
        <v>5663</v>
      </c>
      <c r="B165" s="34" t="str">
        <f>'A) Base RI'!B165</f>
        <v>Bussy-sur-Moudon</v>
      </c>
      <c r="C165" s="10">
        <f>'A) Base RI'!C165+'A) Base RI'!D165</f>
        <v>414326.72</v>
      </c>
      <c r="D165" s="10">
        <f>'A) Base RI'!AO165</f>
        <v>-1735.59</v>
      </c>
      <c r="E165" s="33">
        <f>'A) Base RI'!AP165</f>
        <v>0</v>
      </c>
      <c r="F165" s="33">
        <f>'A) Base RI'!AQ165</f>
        <v>0</v>
      </c>
      <c r="G165" s="2">
        <f t="shared" si="12"/>
        <v>412591.12999999995</v>
      </c>
      <c r="H165" s="10">
        <f>+'A) Base RI'!E165</f>
        <v>0</v>
      </c>
      <c r="I165" s="10">
        <f>+'A) Base RI'!F165</f>
        <v>1290</v>
      </c>
      <c r="J165" s="10">
        <f>+'A) Base RI'!G165+'A) Base RI'!H165</f>
        <v>5155.45</v>
      </c>
      <c r="K165" s="10">
        <f>+'A) Base RI'!I165</f>
        <v>0</v>
      </c>
      <c r="L165" s="10">
        <f>+'A) Base RI'!J165</f>
        <v>4576.3</v>
      </c>
      <c r="M165" s="10">
        <f>+'A) Base RI'!K165</f>
        <v>456.15</v>
      </c>
      <c r="N165" s="10">
        <f>+'A) Base RI'!Q165</f>
        <v>0</v>
      </c>
      <c r="O165" s="10">
        <f t="shared" si="13"/>
        <v>30302.3</v>
      </c>
      <c r="P165" s="10">
        <f>+'A) Base RI'!L165</f>
        <v>30302.3</v>
      </c>
      <c r="Q165" s="36">
        <f>'A) Base RI'!AR165</f>
        <v>1</v>
      </c>
      <c r="R165" s="2">
        <f t="shared" si="14"/>
        <v>454371.32999999996</v>
      </c>
      <c r="S165" s="35">
        <f>+'A) Base RI'!AM165</f>
        <v>80</v>
      </c>
      <c r="T165" s="2">
        <f t="shared" si="15"/>
        <v>422322.87999999995</v>
      </c>
      <c r="U165" s="2">
        <f t="shared" si="16"/>
        <v>5679.6416249999993</v>
      </c>
      <c r="V165" s="10">
        <f>+'A) Base RI'!O165</f>
        <v>19363.400000000001</v>
      </c>
      <c r="W165" s="10">
        <f>+'A) Base RI'!P165</f>
        <v>9130</v>
      </c>
      <c r="X165" s="10">
        <f>+'A) Base RI'!R165</f>
        <v>0</v>
      </c>
      <c r="Y165" s="2">
        <f t="shared" si="17"/>
        <v>28493.4</v>
      </c>
      <c r="Z165" s="10">
        <f>+'A) Base RI'!N165</f>
        <v>0</v>
      </c>
      <c r="AA165" s="10">
        <f>+'A) Base RI'!S165+'A) Base RI'!T165</f>
        <v>0</v>
      </c>
      <c r="AB165" s="10">
        <f>+'A) Base RI'!U165</f>
        <v>1290</v>
      </c>
      <c r="AC165" s="10">
        <f>+'A) Base RI'!V165</f>
        <v>0</v>
      </c>
      <c r="AD165" s="10">
        <f>+'A) Base RI'!W165</f>
        <v>0</v>
      </c>
      <c r="AE165" s="10">
        <f>+'A) Base RI'!Y165</f>
        <v>0</v>
      </c>
      <c r="AF165" s="10">
        <f>+'A) Base RI'!Z165</f>
        <v>0</v>
      </c>
      <c r="AG165" s="10">
        <f>+'A) Base RI'!AA165</f>
        <v>27125.45</v>
      </c>
      <c r="AH165" s="10">
        <f>+'A) Base RI'!AB165</f>
        <v>0</v>
      </c>
      <c r="AI165" s="10">
        <f>+'A) Base RI'!AC165</f>
        <v>16433</v>
      </c>
      <c r="AJ165" s="10">
        <f>+'A) Base RI'!AD165</f>
        <v>0</v>
      </c>
      <c r="AK165" s="10">
        <f>+'A) Base RI'!AE165</f>
        <v>0</v>
      </c>
      <c r="AL165" s="10">
        <f>+'A) Base RI'!AF165</f>
        <v>0</v>
      </c>
      <c r="AM165" s="10">
        <f>+'A) Base RI'!AG165</f>
        <v>0</v>
      </c>
      <c r="AN165" s="10">
        <f>+'A) Base RI'!AH165</f>
        <v>0</v>
      </c>
      <c r="AO165" s="10">
        <f>+'A) Base RI'!AI165</f>
        <v>0</v>
      </c>
      <c r="AP165" s="10">
        <f>+'A) Base RI'!AJ165</f>
        <v>0</v>
      </c>
      <c r="AQ165" s="10">
        <f>+'A) Base RI'!AK165</f>
        <v>0</v>
      </c>
      <c r="AR165" s="10">
        <f>'A) Base RI'!AN165</f>
        <v>209</v>
      </c>
    </row>
    <row r="166" spans="1:44" x14ac:dyDescent="0.25">
      <c r="A166" s="8">
        <f>'A) Base RI'!A166</f>
        <v>5665</v>
      </c>
      <c r="B166" s="34" t="str">
        <f>'A) Base RI'!B166</f>
        <v>Chavannes-sur-Moudon</v>
      </c>
      <c r="C166" s="10">
        <f>'A) Base RI'!C166+'A) Base RI'!D166</f>
        <v>345875.75</v>
      </c>
      <c r="D166" s="10">
        <f>'A) Base RI'!AO166</f>
        <v>-5811.92</v>
      </c>
      <c r="E166" s="33">
        <f>'A) Base RI'!AP166</f>
        <v>0</v>
      </c>
      <c r="F166" s="33">
        <f>'A) Base RI'!AQ166</f>
        <v>0</v>
      </c>
      <c r="G166" s="2">
        <f t="shared" si="12"/>
        <v>340063.83</v>
      </c>
      <c r="H166" s="10">
        <f>+'A) Base RI'!E166</f>
        <v>0</v>
      </c>
      <c r="I166" s="10">
        <f>+'A) Base RI'!F166</f>
        <v>0</v>
      </c>
      <c r="J166" s="10">
        <f>+'A) Base RI'!G166+'A) Base RI'!H166</f>
        <v>3015.1</v>
      </c>
      <c r="K166" s="10">
        <f>+'A) Base RI'!I166</f>
        <v>0</v>
      </c>
      <c r="L166" s="10">
        <f>+'A) Base RI'!J166</f>
        <v>1084.27</v>
      </c>
      <c r="M166" s="10">
        <f>+'A) Base RI'!K166</f>
        <v>4.5</v>
      </c>
      <c r="N166" s="10">
        <f>+'A) Base RI'!Q166</f>
        <v>0</v>
      </c>
      <c r="O166" s="10">
        <f t="shared" si="13"/>
        <v>23890.799999999999</v>
      </c>
      <c r="P166" s="10">
        <f>+'A) Base RI'!L166</f>
        <v>23890.799999999999</v>
      </c>
      <c r="Q166" s="36">
        <f>'A) Base RI'!AR166</f>
        <v>1</v>
      </c>
      <c r="R166" s="2">
        <f t="shared" si="14"/>
        <v>368058.5</v>
      </c>
      <c r="S166" s="35">
        <f>+'A) Base RI'!AM166</f>
        <v>73</v>
      </c>
      <c r="T166" s="2">
        <f t="shared" si="15"/>
        <v>344163.2</v>
      </c>
      <c r="U166" s="2">
        <f t="shared" si="16"/>
        <v>5041.8972602739723</v>
      </c>
      <c r="V166" s="10">
        <f>+'A) Base RI'!O166</f>
        <v>0</v>
      </c>
      <c r="W166" s="10">
        <f>+'A) Base RI'!P166</f>
        <v>3091.35</v>
      </c>
      <c r="X166" s="10">
        <f>+'A) Base RI'!R166</f>
        <v>0</v>
      </c>
      <c r="Y166" s="2">
        <f t="shared" si="17"/>
        <v>3091.35</v>
      </c>
      <c r="Z166" s="10">
        <f>+'A) Base RI'!N166</f>
        <v>0</v>
      </c>
      <c r="AA166" s="10">
        <f>+'A) Base RI'!S166+'A) Base RI'!T166</f>
        <v>250</v>
      </c>
      <c r="AB166" s="10">
        <f>+'A) Base RI'!U166</f>
        <v>880</v>
      </c>
      <c r="AC166" s="10">
        <f>+'A) Base RI'!V166</f>
        <v>0</v>
      </c>
      <c r="AD166" s="10">
        <f>+'A) Base RI'!W166</f>
        <v>0</v>
      </c>
      <c r="AE166" s="10">
        <f>+'A) Base RI'!Y166</f>
        <v>0</v>
      </c>
      <c r="AF166" s="10">
        <f>+'A) Base RI'!Z166</f>
        <v>0</v>
      </c>
      <c r="AG166" s="10">
        <f>+'A) Base RI'!AA166</f>
        <v>14281.7</v>
      </c>
      <c r="AH166" s="10">
        <f>+'A) Base RI'!AB166</f>
        <v>0</v>
      </c>
      <c r="AI166" s="10">
        <f>+'A) Base RI'!AC166</f>
        <v>19856.55</v>
      </c>
      <c r="AJ166" s="10">
        <f>+'A) Base RI'!AD166</f>
        <v>0</v>
      </c>
      <c r="AK166" s="10">
        <f>+'A) Base RI'!AE166</f>
        <v>0</v>
      </c>
      <c r="AL166" s="10">
        <f>+'A) Base RI'!AF166</f>
        <v>0</v>
      </c>
      <c r="AM166" s="10">
        <f>+'A) Base RI'!AG166</f>
        <v>0</v>
      </c>
      <c r="AN166" s="10">
        <f>+'A) Base RI'!AH166</f>
        <v>0</v>
      </c>
      <c r="AO166" s="10">
        <f>+'A) Base RI'!AI166</f>
        <v>0</v>
      </c>
      <c r="AP166" s="10">
        <f>+'A) Base RI'!AJ166</f>
        <v>0</v>
      </c>
      <c r="AQ166" s="10">
        <f>+'A) Base RI'!AK166</f>
        <v>0</v>
      </c>
      <c r="AR166" s="10">
        <f>'A) Base RI'!AN166</f>
        <v>220</v>
      </c>
    </row>
    <row r="167" spans="1:44" x14ac:dyDescent="0.25">
      <c r="A167" s="8">
        <f>'A) Base RI'!A167</f>
        <v>5669</v>
      </c>
      <c r="B167" s="34" t="str">
        <f>'A) Base RI'!B167</f>
        <v>Curtilles</v>
      </c>
      <c r="C167" s="10">
        <f>'A) Base RI'!C167+'A) Base RI'!D167</f>
        <v>626129.63</v>
      </c>
      <c r="D167" s="10">
        <f>'A) Base RI'!AO167</f>
        <v>-7769.79</v>
      </c>
      <c r="E167" s="33">
        <f>'A) Base RI'!AP167</f>
        <v>0</v>
      </c>
      <c r="F167" s="33">
        <f>'A) Base RI'!AQ167</f>
        <v>-102.05</v>
      </c>
      <c r="G167" s="2">
        <f t="shared" si="12"/>
        <v>618257.78999999992</v>
      </c>
      <c r="H167" s="10">
        <f>+'A) Base RI'!E167</f>
        <v>0</v>
      </c>
      <c r="I167" s="10">
        <f>+'A) Base RI'!F167</f>
        <v>0</v>
      </c>
      <c r="J167" s="10">
        <f>+'A) Base RI'!G167+'A) Base RI'!H167</f>
        <v>607.85</v>
      </c>
      <c r="K167" s="10">
        <f>+'A) Base RI'!I167</f>
        <v>0</v>
      </c>
      <c r="L167" s="10">
        <f>+'A) Base RI'!J167</f>
        <v>11123.14</v>
      </c>
      <c r="M167" s="10">
        <f>+'A) Base RI'!K167</f>
        <v>356.7</v>
      </c>
      <c r="N167" s="10">
        <f>+'A) Base RI'!Q167</f>
        <v>0</v>
      </c>
      <c r="O167" s="10">
        <f t="shared" si="13"/>
        <v>44846.8</v>
      </c>
      <c r="P167" s="10">
        <f>+'A) Base RI'!L167</f>
        <v>22423.4</v>
      </c>
      <c r="Q167" s="36">
        <f>'A) Base RI'!AR167</f>
        <v>0.5</v>
      </c>
      <c r="R167" s="2">
        <f t="shared" si="14"/>
        <v>675192.27999999991</v>
      </c>
      <c r="S167" s="35">
        <f>+'A) Base RI'!AM167</f>
        <v>75</v>
      </c>
      <c r="T167" s="2">
        <f t="shared" si="15"/>
        <v>629988.77999999991</v>
      </c>
      <c r="U167" s="2">
        <f t="shared" si="16"/>
        <v>9002.5637333333325</v>
      </c>
      <c r="V167" s="10">
        <f>+'A) Base RI'!O167</f>
        <v>19284.599999999999</v>
      </c>
      <c r="W167" s="10">
        <f>+'A) Base RI'!P167</f>
        <v>15239.4</v>
      </c>
      <c r="X167" s="10">
        <f>+'A) Base RI'!R167</f>
        <v>31148.2</v>
      </c>
      <c r="Y167" s="2">
        <f t="shared" si="17"/>
        <v>65672.2</v>
      </c>
      <c r="Z167" s="10">
        <f>+'A) Base RI'!N167</f>
        <v>0</v>
      </c>
      <c r="AA167" s="10">
        <f>+'A) Base RI'!S167+'A) Base RI'!T167</f>
        <v>60</v>
      </c>
      <c r="AB167" s="10">
        <f>+'A) Base RI'!U167</f>
        <v>4000</v>
      </c>
      <c r="AC167" s="10">
        <f>+'A) Base RI'!V167</f>
        <v>0</v>
      </c>
      <c r="AD167" s="10">
        <f>+'A) Base RI'!W167</f>
        <v>0</v>
      </c>
      <c r="AE167" s="10">
        <f>+'A) Base RI'!Y167</f>
        <v>6000</v>
      </c>
      <c r="AF167" s="10">
        <f>+'A) Base RI'!Z167</f>
        <v>0</v>
      </c>
      <c r="AG167" s="10">
        <f>+'A) Base RI'!AA167</f>
        <v>21576.55</v>
      </c>
      <c r="AH167" s="10">
        <f>+'A) Base RI'!AB167</f>
        <v>0</v>
      </c>
      <c r="AI167" s="10">
        <f>+'A) Base RI'!AC167</f>
        <v>28161.95</v>
      </c>
      <c r="AJ167" s="10">
        <f>+'A) Base RI'!AD167</f>
        <v>0</v>
      </c>
      <c r="AK167" s="10">
        <f>+'A) Base RI'!AE167</f>
        <v>0</v>
      </c>
      <c r="AL167" s="10">
        <f>+'A) Base RI'!AF167</f>
        <v>0</v>
      </c>
      <c r="AM167" s="10">
        <f>+'A) Base RI'!AG167</f>
        <v>0</v>
      </c>
      <c r="AN167" s="10">
        <f>+'A) Base RI'!AH167</f>
        <v>0</v>
      </c>
      <c r="AO167" s="10">
        <f>+'A) Base RI'!AI167</f>
        <v>0</v>
      </c>
      <c r="AP167" s="10">
        <f>+'A) Base RI'!AJ167</f>
        <v>0</v>
      </c>
      <c r="AQ167" s="10">
        <f>+'A) Base RI'!AK167</f>
        <v>0</v>
      </c>
      <c r="AR167" s="10">
        <f>'A) Base RI'!AN167</f>
        <v>318</v>
      </c>
    </row>
    <row r="168" spans="1:44" x14ac:dyDescent="0.25">
      <c r="A168" s="8">
        <f>'A) Base RI'!A168</f>
        <v>5671</v>
      </c>
      <c r="B168" s="34" t="str">
        <f>'A) Base RI'!B168</f>
        <v>Dompierre</v>
      </c>
      <c r="C168" s="10">
        <f>'A) Base RI'!C168+'A) Base RI'!D168</f>
        <v>454074.18</v>
      </c>
      <c r="D168" s="10">
        <f>'A) Base RI'!AO168</f>
        <v>-117.47</v>
      </c>
      <c r="E168" s="33">
        <f>'A) Base RI'!AP168</f>
        <v>0</v>
      </c>
      <c r="F168" s="33">
        <f>'A) Base RI'!AQ168</f>
        <v>0</v>
      </c>
      <c r="G168" s="2">
        <f t="shared" si="12"/>
        <v>453956.71</v>
      </c>
      <c r="H168" s="10">
        <f>+'A) Base RI'!E168</f>
        <v>0</v>
      </c>
      <c r="I168" s="10">
        <f>+'A) Base RI'!F168</f>
        <v>1685.8</v>
      </c>
      <c r="J168" s="10">
        <f>+'A) Base RI'!G168+'A) Base RI'!H168</f>
        <v>11298</v>
      </c>
      <c r="K168" s="10">
        <f>+'A) Base RI'!I168</f>
        <v>0</v>
      </c>
      <c r="L168" s="10">
        <f>+'A) Base RI'!J168</f>
        <v>6972.68</v>
      </c>
      <c r="M168" s="10">
        <f>+'A) Base RI'!K168</f>
        <v>223.5</v>
      </c>
      <c r="N168" s="10">
        <f>+'A) Base RI'!Q168</f>
        <v>3246.14</v>
      </c>
      <c r="O168" s="10">
        <f t="shared" si="13"/>
        <v>32638.400000000001</v>
      </c>
      <c r="P168" s="10">
        <f>+'A) Base RI'!L168</f>
        <v>32638.400000000001</v>
      </c>
      <c r="Q168" s="36">
        <f>'A) Base RI'!AR168</f>
        <v>1</v>
      </c>
      <c r="R168" s="2">
        <f t="shared" si="14"/>
        <v>510021.23000000004</v>
      </c>
      <c r="S168" s="35">
        <f>+'A) Base RI'!AM168</f>
        <v>80</v>
      </c>
      <c r="T168" s="2">
        <f t="shared" si="15"/>
        <v>475473.53</v>
      </c>
      <c r="U168" s="2">
        <f t="shared" si="16"/>
        <v>6375.2653750000009</v>
      </c>
      <c r="V168" s="10">
        <f>+'A) Base RI'!O168</f>
        <v>0</v>
      </c>
      <c r="W168" s="10">
        <f>+'A) Base RI'!P168</f>
        <v>55</v>
      </c>
      <c r="X168" s="10">
        <f>+'A) Base RI'!R168</f>
        <v>0</v>
      </c>
      <c r="Y168" s="2">
        <f t="shared" si="17"/>
        <v>55</v>
      </c>
      <c r="Z168" s="10">
        <f>+'A) Base RI'!N168</f>
        <v>0</v>
      </c>
      <c r="AA168" s="10">
        <f>+'A) Base RI'!S168+'A) Base RI'!T168</f>
        <v>240</v>
      </c>
      <c r="AB168" s="10">
        <f>+'A) Base RI'!U168</f>
        <v>2475</v>
      </c>
      <c r="AC168" s="10">
        <f>+'A) Base RI'!V168</f>
        <v>0</v>
      </c>
      <c r="AD168" s="10">
        <f>+'A) Base RI'!W168</f>
        <v>0</v>
      </c>
      <c r="AE168" s="10">
        <f>+'A) Base RI'!Y168</f>
        <v>0</v>
      </c>
      <c r="AF168" s="10">
        <f>+'A) Base RI'!Z168</f>
        <v>0</v>
      </c>
      <c r="AG168" s="10">
        <f>+'A) Base RI'!AA168</f>
        <v>15755.85</v>
      </c>
      <c r="AH168" s="10">
        <f>+'A) Base RI'!AB168</f>
        <v>0</v>
      </c>
      <c r="AI168" s="10">
        <f>+'A) Base RI'!AC168</f>
        <v>17845.849999999999</v>
      </c>
      <c r="AJ168" s="10">
        <f>+'A) Base RI'!AD168</f>
        <v>0</v>
      </c>
      <c r="AK168" s="10">
        <f>+'A) Base RI'!AE168</f>
        <v>0</v>
      </c>
      <c r="AL168" s="10">
        <f>+'A) Base RI'!AF168</f>
        <v>0</v>
      </c>
      <c r="AM168" s="10">
        <f>+'A) Base RI'!AG168</f>
        <v>0</v>
      </c>
      <c r="AN168" s="10">
        <f>+'A) Base RI'!AH168</f>
        <v>0</v>
      </c>
      <c r="AO168" s="10">
        <f>+'A) Base RI'!AI168</f>
        <v>0</v>
      </c>
      <c r="AP168" s="10">
        <f>+'A) Base RI'!AJ168</f>
        <v>0</v>
      </c>
      <c r="AQ168" s="10">
        <f>+'A) Base RI'!AK168</f>
        <v>0</v>
      </c>
      <c r="AR168" s="10">
        <f>'A) Base RI'!AN168</f>
        <v>259</v>
      </c>
    </row>
    <row r="169" spans="1:44" x14ac:dyDescent="0.25">
      <c r="A169" s="8">
        <f>'A) Base RI'!A169</f>
        <v>5673</v>
      </c>
      <c r="B169" s="34" t="str">
        <f>'A) Base RI'!B169</f>
        <v>Hermenches</v>
      </c>
      <c r="C169" s="10">
        <f>'A) Base RI'!C169+'A) Base RI'!D169</f>
        <v>627045.02</v>
      </c>
      <c r="D169" s="10">
        <f>'A) Base RI'!AO169</f>
        <v>-11882.98</v>
      </c>
      <c r="E169" s="33">
        <f>'A) Base RI'!AP169</f>
        <v>0</v>
      </c>
      <c r="F169" s="33">
        <f>'A) Base RI'!AQ169</f>
        <v>-14.04</v>
      </c>
      <c r="G169" s="2">
        <f t="shared" si="12"/>
        <v>615148</v>
      </c>
      <c r="H169" s="10">
        <f>+'A) Base RI'!E169</f>
        <v>0</v>
      </c>
      <c r="I169" s="10">
        <f>+'A) Base RI'!F169</f>
        <v>1890</v>
      </c>
      <c r="J169" s="10">
        <f>+'A) Base RI'!G169+'A) Base RI'!H169</f>
        <v>-2018.5</v>
      </c>
      <c r="K169" s="10">
        <f>+'A) Base RI'!I169</f>
        <v>0</v>
      </c>
      <c r="L169" s="10">
        <f>+'A) Base RI'!J169</f>
        <v>2208.61</v>
      </c>
      <c r="M169" s="10">
        <f>+'A) Base RI'!K169</f>
        <v>7.5</v>
      </c>
      <c r="N169" s="10">
        <f>+'A) Base RI'!Q169</f>
        <v>5429.99</v>
      </c>
      <c r="O169" s="10">
        <f t="shared" si="13"/>
        <v>44099.583333333336</v>
      </c>
      <c r="P169" s="10">
        <f>+'A) Base RI'!L169</f>
        <v>26459.75</v>
      </c>
      <c r="Q169" s="36">
        <f>'A) Base RI'!AR169</f>
        <v>0.6</v>
      </c>
      <c r="R169" s="2">
        <f t="shared" si="14"/>
        <v>666765.18333333335</v>
      </c>
      <c r="S169" s="35">
        <f>+'A) Base RI'!AM169</f>
        <v>75</v>
      </c>
      <c r="T169" s="2">
        <f t="shared" si="15"/>
        <v>620768.1</v>
      </c>
      <c r="U169" s="2">
        <f t="shared" si="16"/>
        <v>8890.2024444444451</v>
      </c>
      <c r="V169" s="10">
        <f>+'A) Base RI'!O169</f>
        <v>0</v>
      </c>
      <c r="W169" s="10">
        <f>+'A) Base RI'!P169</f>
        <v>0</v>
      </c>
      <c r="X169" s="10">
        <f>+'A) Base RI'!R169</f>
        <v>0</v>
      </c>
      <c r="Y169" s="2">
        <f t="shared" si="17"/>
        <v>0</v>
      </c>
      <c r="Z169" s="10">
        <f>+'A) Base RI'!N169</f>
        <v>17820.650000000001</v>
      </c>
      <c r="AA169" s="10">
        <f>+'A) Base RI'!S169+'A) Base RI'!T169</f>
        <v>0</v>
      </c>
      <c r="AB169" s="10">
        <f>+'A) Base RI'!U169</f>
        <v>1275</v>
      </c>
      <c r="AC169" s="10">
        <f>+'A) Base RI'!V169</f>
        <v>0</v>
      </c>
      <c r="AD169" s="10">
        <f>+'A) Base RI'!W169</f>
        <v>0</v>
      </c>
      <c r="AE169" s="10">
        <f>+'A) Base RI'!Y169</f>
        <v>3500</v>
      </c>
      <c r="AF169" s="10">
        <f>+'A) Base RI'!Z169</f>
        <v>0</v>
      </c>
      <c r="AG169" s="10">
        <f>+'A) Base RI'!AA169</f>
        <v>63772.2</v>
      </c>
      <c r="AH169" s="10">
        <f>+'A) Base RI'!AB169</f>
        <v>0</v>
      </c>
      <c r="AI169" s="10">
        <f>+'A) Base RI'!AC169</f>
        <v>23470.45</v>
      </c>
      <c r="AJ169" s="10">
        <f>+'A) Base RI'!AD169</f>
        <v>0</v>
      </c>
      <c r="AK169" s="10">
        <f>+'A) Base RI'!AE169</f>
        <v>1190.1500000000001</v>
      </c>
      <c r="AL169" s="10">
        <f>+'A) Base RI'!AF169</f>
        <v>0</v>
      </c>
      <c r="AM169" s="10">
        <f>+'A) Base RI'!AG169</f>
        <v>0</v>
      </c>
      <c r="AN169" s="10">
        <f>+'A) Base RI'!AH169</f>
        <v>0</v>
      </c>
      <c r="AO169" s="10">
        <f>+'A) Base RI'!AI169</f>
        <v>0</v>
      </c>
      <c r="AP169" s="10">
        <f>+'A) Base RI'!AJ169</f>
        <v>0</v>
      </c>
      <c r="AQ169" s="10">
        <f>+'A) Base RI'!AK169</f>
        <v>0</v>
      </c>
      <c r="AR169" s="10">
        <f>'A) Base RI'!AN169</f>
        <v>379</v>
      </c>
    </row>
    <row r="170" spans="1:44" x14ac:dyDescent="0.25">
      <c r="A170" s="8">
        <f>'A) Base RI'!A170</f>
        <v>5674</v>
      </c>
      <c r="B170" s="34" t="str">
        <f>'A) Base RI'!B170</f>
        <v>Lovatens</v>
      </c>
      <c r="C170" s="10">
        <f>'A) Base RI'!C170+'A) Base RI'!D170</f>
        <v>252822.56</v>
      </c>
      <c r="D170" s="10">
        <f>'A) Base RI'!AO170</f>
        <v>-5006.3</v>
      </c>
      <c r="E170" s="33">
        <f>'A) Base RI'!AP170</f>
        <v>0</v>
      </c>
      <c r="F170" s="33">
        <f>'A) Base RI'!AQ170</f>
        <v>0</v>
      </c>
      <c r="G170" s="2">
        <f t="shared" si="12"/>
        <v>247816.26</v>
      </c>
      <c r="H170" s="10">
        <f>+'A) Base RI'!E170</f>
        <v>0</v>
      </c>
      <c r="I170" s="10">
        <f>+'A) Base RI'!F170</f>
        <v>0</v>
      </c>
      <c r="J170" s="10">
        <f>+'A) Base RI'!G170+'A) Base RI'!H170</f>
        <v>1326.13</v>
      </c>
      <c r="K170" s="10">
        <f>+'A) Base RI'!I170</f>
        <v>0</v>
      </c>
      <c r="L170" s="10">
        <f>+'A) Base RI'!J170</f>
        <v>3163.94</v>
      </c>
      <c r="M170" s="10">
        <f>+'A) Base RI'!K170</f>
        <v>0</v>
      </c>
      <c r="N170" s="10">
        <f>+'A) Base RI'!Q170</f>
        <v>0</v>
      </c>
      <c r="O170" s="10">
        <f t="shared" si="13"/>
        <v>19616.000000000004</v>
      </c>
      <c r="P170" s="10">
        <f>+'A) Base RI'!L170</f>
        <v>13731.2</v>
      </c>
      <c r="Q170" s="36">
        <f>'A) Base RI'!AR170</f>
        <v>0.7</v>
      </c>
      <c r="R170" s="2">
        <f t="shared" si="14"/>
        <v>271922.33</v>
      </c>
      <c r="S170" s="35">
        <f>+'A) Base RI'!AM170</f>
        <v>75</v>
      </c>
      <c r="T170" s="2">
        <f t="shared" si="15"/>
        <v>252306.33000000002</v>
      </c>
      <c r="U170" s="2">
        <f t="shared" si="16"/>
        <v>3625.6310666666668</v>
      </c>
      <c r="V170" s="10">
        <f>+'A) Base RI'!O170</f>
        <v>0</v>
      </c>
      <c r="W170" s="10">
        <f>+'A) Base RI'!P170</f>
        <v>4985.75</v>
      </c>
      <c r="X170" s="10">
        <f>+'A) Base RI'!R170</f>
        <v>0</v>
      </c>
      <c r="Y170" s="2">
        <f t="shared" si="17"/>
        <v>4985.75</v>
      </c>
      <c r="Z170" s="10">
        <f>+'A) Base RI'!N170</f>
        <v>0</v>
      </c>
      <c r="AA170" s="10">
        <f>+'A) Base RI'!S170+'A) Base RI'!T170</f>
        <v>0</v>
      </c>
      <c r="AB170" s="10">
        <f>+'A) Base RI'!U170</f>
        <v>750</v>
      </c>
      <c r="AC170" s="10">
        <f>+'A) Base RI'!V170</f>
        <v>0</v>
      </c>
      <c r="AD170" s="10">
        <f>+'A) Base RI'!W170</f>
        <v>114.23</v>
      </c>
      <c r="AE170" s="10">
        <f>+'A) Base RI'!Y170</f>
        <v>0</v>
      </c>
      <c r="AF170" s="10">
        <f>+'A) Base RI'!Z170</f>
        <v>0</v>
      </c>
      <c r="AG170" s="10">
        <f>+'A) Base RI'!AA170</f>
        <v>9690.2999999999993</v>
      </c>
      <c r="AH170" s="10">
        <f>+'A) Base RI'!AB170</f>
        <v>0</v>
      </c>
      <c r="AI170" s="10">
        <f>+'A) Base RI'!AC170</f>
        <v>12068.75</v>
      </c>
      <c r="AJ170" s="10">
        <f>+'A) Base RI'!AD170</f>
        <v>10714.75</v>
      </c>
      <c r="AK170" s="10">
        <f>+'A) Base RI'!AE170</f>
        <v>0</v>
      </c>
      <c r="AL170" s="10">
        <f>+'A) Base RI'!AF170</f>
        <v>0</v>
      </c>
      <c r="AM170" s="10">
        <f>+'A) Base RI'!AG170</f>
        <v>0</v>
      </c>
      <c r="AN170" s="10">
        <f>+'A) Base RI'!AH170</f>
        <v>3161.85</v>
      </c>
      <c r="AO170" s="10">
        <f>+'A) Base RI'!AI170</f>
        <v>0</v>
      </c>
      <c r="AP170" s="10">
        <f>+'A) Base RI'!AJ170</f>
        <v>0</v>
      </c>
      <c r="AQ170" s="10">
        <f>+'A) Base RI'!AK170</f>
        <v>0</v>
      </c>
      <c r="AR170" s="10">
        <f>'A) Base RI'!AN170</f>
        <v>141</v>
      </c>
    </row>
    <row r="171" spans="1:44" x14ac:dyDescent="0.25">
      <c r="A171" s="8">
        <f>'A) Base RI'!A171</f>
        <v>5675</v>
      </c>
      <c r="B171" s="34" t="str">
        <f>'A) Base RI'!B171</f>
        <v>Lucens</v>
      </c>
      <c r="C171" s="10">
        <f>'A) Base RI'!C171+'A) Base RI'!D171</f>
        <v>4530829.0699999994</v>
      </c>
      <c r="D171" s="10">
        <f>'A) Base RI'!AO171</f>
        <v>-203470.33</v>
      </c>
      <c r="E171" s="33">
        <f>'A) Base RI'!AP171</f>
        <v>0</v>
      </c>
      <c r="F171" s="33">
        <f>'A) Base RI'!AQ171</f>
        <v>-446.12</v>
      </c>
      <c r="G171" s="2">
        <f t="shared" si="12"/>
        <v>4326912.6199999992</v>
      </c>
      <c r="H171" s="10">
        <f>+'A) Base RI'!E171</f>
        <v>0</v>
      </c>
      <c r="I171" s="10">
        <f>+'A) Base RI'!F171</f>
        <v>0</v>
      </c>
      <c r="J171" s="10">
        <f>+'A) Base RI'!G171+'A) Base RI'!H171</f>
        <v>445832.55000000005</v>
      </c>
      <c r="K171" s="10">
        <f>+'A) Base RI'!I171</f>
        <v>0</v>
      </c>
      <c r="L171" s="10">
        <f>+'A) Base RI'!J171</f>
        <v>251555.6</v>
      </c>
      <c r="M171" s="10">
        <f>+'A) Base RI'!K171</f>
        <v>39202.300000000003</v>
      </c>
      <c r="N171" s="10">
        <f>+'A) Base RI'!Q171</f>
        <v>60217</v>
      </c>
      <c r="O171" s="10">
        <f t="shared" si="13"/>
        <v>574727.63636363635</v>
      </c>
      <c r="P171" s="10">
        <f>+'A) Base RI'!L171</f>
        <v>632200.4</v>
      </c>
      <c r="Q171" s="36">
        <f>'A) Base RI'!AR171</f>
        <v>1.1000000000000001</v>
      </c>
      <c r="R171" s="2">
        <f t="shared" si="14"/>
        <v>5698447.7063636351</v>
      </c>
      <c r="S171" s="35">
        <f>+'A) Base RI'!AM171</f>
        <v>66</v>
      </c>
      <c r="T171" s="2">
        <f t="shared" si="15"/>
        <v>5084517.7699999986</v>
      </c>
      <c r="U171" s="2">
        <f t="shared" si="16"/>
        <v>86340.116763085374</v>
      </c>
      <c r="V171" s="10">
        <f>+'A) Base RI'!O171</f>
        <v>89020.7</v>
      </c>
      <c r="W171" s="10">
        <f>+'A) Base RI'!P171</f>
        <v>433755.55</v>
      </c>
      <c r="X171" s="10">
        <f>+'A) Base RI'!R171</f>
        <v>103487.3</v>
      </c>
      <c r="Y171" s="2">
        <f t="shared" si="17"/>
        <v>626263.55000000005</v>
      </c>
      <c r="Z171" s="10">
        <f>+'A) Base RI'!N171</f>
        <v>31940.15</v>
      </c>
      <c r="AA171" s="10">
        <f>+'A) Base RI'!S171+'A) Base RI'!T171</f>
        <v>16041.65</v>
      </c>
      <c r="AB171" s="10">
        <f>+'A) Base RI'!U171</f>
        <v>29950</v>
      </c>
      <c r="AC171" s="10">
        <f>+'A) Base RI'!V171</f>
        <v>224</v>
      </c>
      <c r="AD171" s="10">
        <f>+'A) Base RI'!W171</f>
        <v>0</v>
      </c>
      <c r="AE171" s="10">
        <f>+'A) Base RI'!Y171</f>
        <v>192145.75</v>
      </c>
      <c r="AF171" s="10">
        <f>+'A) Base RI'!Z171</f>
        <v>0</v>
      </c>
      <c r="AG171" s="10">
        <f>+'A) Base RI'!AA171</f>
        <v>260016.5</v>
      </c>
      <c r="AH171" s="10">
        <f>+'A) Base RI'!AB171</f>
        <v>0</v>
      </c>
      <c r="AI171" s="10">
        <f>+'A) Base RI'!AC171</f>
        <v>398838.85</v>
      </c>
      <c r="AJ171" s="10">
        <f>+'A) Base RI'!AD171</f>
        <v>109328.35</v>
      </c>
      <c r="AK171" s="10">
        <f>+'A) Base RI'!AE171</f>
        <v>0</v>
      </c>
      <c r="AL171" s="10">
        <f>+'A) Base RI'!AF171</f>
        <v>0</v>
      </c>
      <c r="AM171" s="10">
        <f>+'A) Base RI'!AG171</f>
        <v>0</v>
      </c>
      <c r="AN171" s="10">
        <f>+'A) Base RI'!AH171</f>
        <v>426416.15</v>
      </c>
      <c r="AO171" s="10">
        <f>+'A) Base RI'!AI171</f>
        <v>0</v>
      </c>
      <c r="AP171" s="10">
        <f>+'A) Base RI'!AJ171</f>
        <v>0</v>
      </c>
      <c r="AQ171" s="10">
        <f>+'A) Base RI'!AK171</f>
        <v>0</v>
      </c>
      <c r="AR171" s="10">
        <f>'A) Base RI'!AN171</f>
        <v>4157</v>
      </c>
    </row>
    <row r="172" spans="1:44" x14ac:dyDescent="0.25">
      <c r="A172" s="8">
        <f>'A) Base RI'!A172</f>
        <v>5678</v>
      </c>
      <c r="B172" s="34" t="str">
        <f>'A) Base RI'!B172</f>
        <v>Moudon</v>
      </c>
      <c r="C172" s="10">
        <f>'A) Base RI'!C172+'A) Base RI'!D172</f>
        <v>7151525.5499999998</v>
      </c>
      <c r="D172" s="10">
        <f>'A) Base RI'!AO172</f>
        <v>-352806.21</v>
      </c>
      <c r="E172" s="33">
        <f>'A) Base RI'!AP172</f>
        <v>0</v>
      </c>
      <c r="F172" s="33">
        <f>'A) Base RI'!AQ172</f>
        <v>-207.4</v>
      </c>
      <c r="G172" s="2">
        <f t="shared" si="12"/>
        <v>6798511.9399999995</v>
      </c>
      <c r="H172" s="10">
        <f>+'A) Base RI'!E172</f>
        <v>0</v>
      </c>
      <c r="I172" s="10">
        <f>+'A) Base RI'!F172</f>
        <v>32093.62</v>
      </c>
      <c r="J172" s="10">
        <f>+'A) Base RI'!G172+'A) Base RI'!H172</f>
        <v>842028</v>
      </c>
      <c r="K172" s="10">
        <f>+'A) Base RI'!I172</f>
        <v>0</v>
      </c>
      <c r="L172" s="10">
        <f>+'A) Base RI'!J172</f>
        <v>504233.7</v>
      </c>
      <c r="M172" s="10">
        <f>+'A) Base RI'!K172</f>
        <v>32719.95</v>
      </c>
      <c r="N172" s="10">
        <f>+'A) Base RI'!Q172</f>
        <v>34105.11</v>
      </c>
      <c r="O172" s="10">
        <f t="shared" si="13"/>
        <v>747835.25</v>
      </c>
      <c r="P172" s="10">
        <f>+'A) Base RI'!L172</f>
        <v>747835.25</v>
      </c>
      <c r="Q172" s="36">
        <f>'A) Base RI'!AR172</f>
        <v>1</v>
      </c>
      <c r="R172" s="2">
        <f t="shared" si="14"/>
        <v>8991527.5700000003</v>
      </c>
      <c r="S172" s="35">
        <f>+'A) Base RI'!AM172</f>
        <v>75</v>
      </c>
      <c r="T172" s="2">
        <f t="shared" si="15"/>
        <v>8178878.75</v>
      </c>
      <c r="U172" s="2">
        <f t="shared" si="16"/>
        <v>119887.03426666667</v>
      </c>
      <c r="V172" s="10">
        <f>+'A) Base RI'!O172</f>
        <v>197619.3</v>
      </c>
      <c r="W172" s="10">
        <f>+'A) Base RI'!P172</f>
        <v>509690.55</v>
      </c>
      <c r="X172" s="10">
        <f>+'A) Base RI'!R172</f>
        <v>621837.30000000005</v>
      </c>
      <c r="Y172" s="2">
        <f t="shared" si="17"/>
        <v>1329147.1499999999</v>
      </c>
      <c r="Z172" s="10">
        <f>+'A) Base RI'!N172</f>
        <v>155146.65</v>
      </c>
      <c r="AA172" s="10">
        <f>+'A) Base RI'!S172+'A) Base RI'!T172</f>
        <v>40085</v>
      </c>
      <c r="AB172" s="10">
        <f>+'A) Base RI'!U172</f>
        <v>40040</v>
      </c>
      <c r="AC172" s="10">
        <f>+'A) Base RI'!V172</f>
        <v>32493.95</v>
      </c>
      <c r="AD172" s="10">
        <f>+'A) Base RI'!W172</f>
        <v>1189</v>
      </c>
      <c r="AE172" s="10">
        <f>+'A) Base RI'!Y172</f>
        <v>57692.4</v>
      </c>
      <c r="AF172" s="10">
        <f>+'A) Base RI'!Z172</f>
        <v>0</v>
      </c>
      <c r="AG172" s="10">
        <f>+'A) Base RI'!AA172</f>
        <v>910667.15</v>
      </c>
      <c r="AH172" s="10">
        <f>+'A) Base RI'!AB172</f>
        <v>0</v>
      </c>
      <c r="AI172" s="10">
        <f>+'A) Base RI'!AC172</f>
        <v>626475.61</v>
      </c>
      <c r="AJ172" s="10">
        <f>+'A) Base RI'!AD172</f>
        <v>29720.9</v>
      </c>
      <c r="AK172" s="10">
        <f>+'A) Base RI'!AE172</f>
        <v>0</v>
      </c>
      <c r="AL172" s="10">
        <f>+'A) Base RI'!AF172</f>
        <v>0</v>
      </c>
      <c r="AM172" s="10">
        <f>+'A) Base RI'!AG172</f>
        <v>5463.7</v>
      </c>
      <c r="AN172" s="10">
        <f>+'A) Base RI'!AH172</f>
        <v>200000</v>
      </c>
      <c r="AO172" s="10">
        <f>+'A) Base RI'!AI172</f>
        <v>0</v>
      </c>
      <c r="AP172" s="10">
        <f>+'A) Base RI'!AJ172</f>
        <v>0</v>
      </c>
      <c r="AQ172" s="10">
        <f>+'A) Base RI'!AK172</f>
        <v>0</v>
      </c>
      <c r="AR172" s="10">
        <f>'A) Base RI'!AN172</f>
        <v>6185</v>
      </c>
    </row>
    <row r="173" spans="1:44" x14ac:dyDescent="0.25">
      <c r="A173" s="8">
        <f>'A) Base RI'!A173</f>
        <v>5680</v>
      </c>
      <c r="B173" s="34" t="str">
        <f>'A) Base RI'!B173</f>
        <v>Ogens</v>
      </c>
      <c r="C173" s="10">
        <f>'A) Base RI'!C173+'A) Base RI'!D173</f>
        <v>523624.24</v>
      </c>
      <c r="D173" s="10">
        <f>'A) Base RI'!AO173</f>
        <v>-82.23</v>
      </c>
      <c r="E173" s="33">
        <f>'A) Base RI'!AP173</f>
        <v>0</v>
      </c>
      <c r="F173" s="33">
        <f>'A) Base RI'!AQ173</f>
        <v>0</v>
      </c>
      <c r="G173" s="2">
        <f t="shared" si="12"/>
        <v>523542.01</v>
      </c>
      <c r="H173" s="10">
        <f>+'A) Base RI'!E173</f>
        <v>0</v>
      </c>
      <c r="I173" s="10">
        <f>+'A) Base RI'!F173</f>
        <v>0</v>
      </c>
      <c r="J173" s="10">
        <f>+'A) Base RI'!G173+'A) Base RI'!H173</f>
        <v>7102.95</v>
      </c>
      <c r="K173" s="10">
        <f>+'A) Base RI'!I173</f>
        <v>0</v>
      </c>
      <c r="L173" s="10">
        <f>+'A) Base RI'!J173</f>
        <v>6964.23</v>
      </c>
      <c r="M173" s="10">
        <f>+'A) Base RI'!K173</f>
        <v>55</v>
      </c>
      <c r="N173" s="10">
        <f>+'A) Base RI'!Q173</f>
        <v>0</v>
      </c>
      <c r="O173" s="10">
        <f t="shared" si="13"/>
        <v>42714.533333333333</v>
      </c>
      <c r="P173" s="10">
        <f>+'A) Base RI'!L173</f>
        <v>64071.8</v>
      </c>
      <c r="Q173" s="36">
        <f>'A) Base RI'!AR173</f>
        <v>1.5</v>
      </c>
      <c r="R173" s="2">
        <f t="shared" si="14"/>
        <v>580378.72333333327</v>
      </c>
      <c r="S173" s="35">
        <f>+'A) Base RI'!AM173</f>
        <v>78</v>
      </c>
      <c r="T173" s="2">
        <f t="shared" si="15"/>
        <v>537609.18999999994</v>
      </c>
      <c r="U173" s="2">
        <f t="shared" si="16"/>
        <v>7440.7528632478625</v>
      </c>
      <c r="V173" s="10">
        <f>+'A) Base RI'!O173</f>
        <v>1697.3</v>
      </c>
      <c r="W173" s="10">
        <f>+'A) Base RI'!P173</f>
        <v>11623.35</v>
      </c>
      <c r="X173" s="10">
        <f>+'A) Base RI'!R173</f>
        <v>22755.1</v>
      </c>
      <c r="Y173" s="2">
        <f t="shared" si="17"/>
        <v>36075.75</v>
      </c>
      <c r="Z173" s="10">
        <f>+'A) Base RI'!N173</f>
        <v>0</v>
      </c>
      <c r="AA173" s="10">
        <f>+'A) Base RI'!S173+'A) Base RI'!T173</f>
        <v>30</v>
      </c>
      <c r="AB173" s="10">
        <f>+'A) Base RI'!U173</f>
        <v>2450</v>
      </c>
      <c r="AC173" s="10">
        <f>+'A) Base RI'!V173</f>
        <v>0</v>
      </c>
      <c r="AD173" s="10">
        <f>+'A) Base RI'!W173</f>
        <v>0</v>
      </c>
      <c r="AE173" s="10">
        <f>+'A) Base RI'!Y173</f>
        <v>0</v>
      </c>
      <c r="AF173" s="10">
        <f>+'A) Base RI'!Z173</f>
        <v>5000</v>
      </c>
      <c r="AG173" s="10">
        <f>+'A) Base RI'!AA173</f>
        <v>30011.65</v>
      </c>
      <c r="AH173" s="10">
        <f>+'A) Base RI'!AB173</f>
        <v>0</v>
      </c>
      <c r="AI173" s="10">
        <f>+'A) Base RI'!AC173</f>
        <v>15733.5</v>
      </c>
      <c r="AJ173" s="10">
        <f>+'A) Base RI'!AD173</f>
        <v>0</v>
      </c>
      <c r="AK173" s="10">
        <f>+'A) Base RI'!AE173</f>
        <v>2500</v>
      </c>
      <c r="AL173" s="10">
        <f>+'A) Base RI'!AF173</f>
        <v>0</v>
      </c>
      <c r="AM173" s="10">
        <f>+'A) Base RI'!AG173</f>
        <v>4042</v>
      </c>
      <c r="AN173" s="10">
        <f>+'A) Base RI'!AH173</f>
        <v>5984.6</v>
      </c>
      <c r="AO173" s="10">
        <f>+'A) Base RI'!AI173</f>
        <v>0</v>
      </c>
      <c r="AP173" s="10">
        <f>+'A) Base RI'!AJ173</f>
        <v>0</v>
      </c>
      <c r="AQ173" s="10">
        <f>+'A) Base RI'!AK173</f>
        <v>0</v>
      </c>
      <c r="AR173" s="10">
        <f>'A) Base RI'!AN173</f>
        <v>304</v>
      </c>
    </row>
    <row r="174" spans="1:44" x14ac:dyDescent="0.25">
      <c r="A174" s="8">
        <f>'A) Base RI'!A174</f>
        <v>5683</v>
      </c>
      <c r="B174" s="34" t="str">
        <f>'A) Base RI'!B174</f>
        <v>Prévonloup</v>
      </c>
      <c r="C174" s="10">
        <f>'A) Base RI'!C174+'A) Base RI'!D174</f>
        <v>270226.8</v>
      </c>
      <c r="D174" s="10">
        <f>'A) Base RI'!AO174</f>
        <v>-17268.87</v>
      </c>
      <c r="E174" s="33">
        <f>'A) Base RI'!AP174</f>
        <v>0</v>
      </c>
      <c r="F174" s="33">
        <f>'A) Base RI'!AQ174</f>
        <v>0</v>
      </c>
      <c r="G174" s="2">
        <f t="shared" si="12"/>
        <v>252957.93</v>
      </c>
      <c r="H174" s="10">
        <f>+'A) Base RI'!E174</f>
        <v>0</v>
      </c>
      <c r="I174" s="10">
        <f>+'A) Base RI'!F174</f>
        <v>0</v>
      </c>
      <c r="J174" s="10">
        <f>+'A) Base RI'!G174+'A) Base RI'!H174</f>
        <v>7509.4</v>
      </c>
      <c r="K174" s="10">
        <f>+'A) Base RI'!I174</f>
        <v>0</v>
      </c>
      <c r="L174" s="10">
        <f>+'A) Base RI'!J174</f>
        <v>5189.08</v>
      </c>
      <c r="M174" s="10">
        <f>+'A) Base RI'!K174</f>
        <v>65</v>
      </c>
      <c r="N174" s="10">
        <f>+'A) Base RI'!Q174</f>
        <v>0</v>
      </c>
      <c r="O174" s="10">
        <f t="shared" si="13"/>
        <v>22586</v>
      </c>
      <c r="P174" s="10">
        <f>+'A) Base RI'!L174</f>
        <v>22586</v>
      </c>
      <c r="Q174" s="36">
        <f>'A) Base RI'!AR174</f>
        <v>1</v>
      </c>
      <c r="R174" s="2">
        <f t="shared" si="14"/>
        <v>288307.40999999997</v>
      </c>
      <c r="S174" s="35">
        <f>+'A) Base RI'!AM174</f>
        <v>74</v>
      </c>
      <c r="T174" s="2">
        <f t="shared" si="15"/>
        <v>265656.40999999997</v>
      </c>
      <c r="U174" s="2">
        <f t="shared" si="16"/>
        <v>3896.046081081081</v>
      </c>
      <c r="V174" s="10">
        <f>+'A) Base RI'!O174</f>
        <v>6298.6</v>
      </c>
      <c r="W174" s="10">
        <f>+'A) Base RI'!P174</f>
        <v>18607.400000000001</v>
      </c>
      <c r="X174" s="10">
        <f>+'A) Base RI'!R174</f>
        <v>0</v>
      </c>
      <c r="Y174" s="2">
        <f t="shared" si="17"/>
        <v>24906</v>
      </c>
      <c r="Z174" s="10">
        <f>+'A) Base RI'!N174</f>
        <v>0</v>
      </c>
      <c r="AA174" s="10">
        <f>+'A) Base RI'!S174+'A) Base RI'!T174</f>
        <v>0</v>
      </c>
      <c r="AB174" s="10">
        <f>+'A) Base RI'!U174</f>
        <v>1050</v>
      </c>
      <c r="AC174" s="10">
        <f>+'A) Base RI'!V174</f>
        <v>0</v>
      </c>
      <c r="AD174" s="10">
        <f>+'A) Base RI'!W174</f>
        <v>0</v>
      </c>
      <c r="AE174" s="10">
        <f>+'A) Base RI'!Y174</f>
        <v>21000</v>
      </c>
      <c r="AF174" s="10">
        <f>+'A) Base RI'!Z174</f>
        <v>0</v>
      </c>
      <c r="AG174" s="10">
        <f>+'A) Base RI'!AA174</f>
        <v>11550.2</v>
      </c>
      <c r="AH174" s="10">
        <f>+'A) Base RI'!AB174</f>
        <v>13468.65</v>
      </c>
      <c r="AI174" s="10">
        <f>+'A) Base RI'!AC174</f>
        <v>8709.5499999999993</v>
      </c>
      <c r="AJ174" s="10">
        <f>+'A) Base RI'!AD174</f>
        <v>14000</v>
      </c>
      <c r="AK174" s="10">
        <f>+'A) Base RI'!AE174</f>
        <v>0</v>
      </c>
      <c r="AL174" s="10">
        <f>+'A) Base RI'!AF174</f>
        <v>0</v>
      </c>
      <c r="AM174" s="10">
        <f>+'A) Base RI'!AG174</f>
        <v>0</v>
      </c>
      <c r="AN174" s="10">
        <f>+'A) Base RI'!AH174</f>
        <v>0</v>
      </c>
      <c r="AO174" s="10">
        <f>+'A) Base RI'!AI174</f>
        <v>0</v>
      </c>
      <c r="AP174" s="10">
        <f>+'A) Base RI'!AJ174</f>
        <v>0</v>
      </c>
      <c r="AQ174" s="10">
        <f>+'A) Base RI'!AK174</f>
        <v>0</v>
      </c>
      <c r="AR174" s="10">
        <f>'A) Base RI'!AN174</f>
        <v>160</v>
      </c>
    </row>
    <row r="175" spans="1:44" x14ac:dyDescent="0.25">
      <c r="A175" s="8">
        <f>'A) Base RI'!A175</f>
        <v>5684</v>
      </c>
      <c r="B175" s="34" t="str">
        <f>'A) Base RI'!B175</f>
        <v>Rossenges</v>
      </c>
      <c r="C175" s="10">
        <f>'A) Base RI'!C175+'A) Base RI'!D175</f>
        <v>167525.54999999999</v>
      </c>
      <c r="D175" s="10">
        <f>'A) Base RI'!AO175</f>
        <v>-11.26</v>
      </c>
      <c r="E175" s="33">
        <f>'A) Base RI'!AP175</f>
        <v>0</v>
      </c>
      <c r="F175" s="33">
        <f>'A) Base RI'!AQ175</f>
        <v>-6.05</v>
      </c>
      <c r="G175" s="2">
        <f t="shared" si="12"/>
        <v>167508.24</v>
      </c>
      <c r="H175" s="10">
        <f>+'A) Base RI'!E175</f>
        <v>0</v>
      </c>
      <c r="I175" s="10">
        <f>+'A) Base RI'!F175</f>
        <v>0</v>
      </c>
      <c r="J175" s="10">
        <f>+'A) Base RI'!G175+'A) Base RI'!H175</f>
        <v>243.9</v>
      </c>
      <c r="K175" s="10">
        <f>+'A) Base RI'!I175</f>
        <v>0</v>
      </c>
      <c r="L175" s="10">
        <f>+'A) Base RI'!J175</f>
        <v>0</v>
      </c>
      <c r="M175" s="10">
        <f>+'A) Base RI'!K175</f>
        <v>0</v>
      </c>
      <c r="N175" s="10">
        <f>+'A) Base RI'!Q175</f>
        <v>0</v>
      </c>
      <c r="O175" s="10">
        <f t="shared" si="13"/>
        <v>8405</v>
      </c>
      <c r="P175" s="10">
        <f>+'A) Base RI'!L175</f>
        <v>6724</v>
      </c>
      <c r="Q175" s="36">
        <f>'A) Base RI'!AR175</f>
        <v>0.8</v>
      </c>
      <c r="R175" s="2">
        <f t="shared" si="14"/>
        <v>176157.13999999998</v>
      </c>
      <c r="S175" s="35">
        <f>+'A) Base RI'!AM175</f>
        <v>60</v>
      </c>
      <c r="T175" s="2">
        <f t="shared" si="15"/>
        <v>167752.13999999998</v>
      </c>
      <c r="U175" s="2">
        <f t="shared" si="16"/>
        <v>2935.9523333333332</v>
      </c>
      <c r="V175" s="10">
        <f>+'A) Base RI'!O175</f>
        <v>0</v>
      </c>
      <c r="W175" s="10">
        <f>+'A) Base RI'!P175</f>
        <v>0</v>
      </c>
      <c r="X175" s="10">
        <f>+'A) Base RI'!R175</f>
        <v>0</v>
      </c>
      <c r="Y175" s="2">
        <f t="shared" si="17"/>
        <v>0</v>
      </c>
      <c r="Z175" s="10">
        <f>+'A) Base RI'!N175</f>
        <v>0</v>
      </c>
      <c r="AA175" s="10">
        <f>+'A) Base RI'!S175+'A) Base RI'!T175</f>
        <v>0</v>
      </c>
      <c r="AB175" s="10">
        <f>+'A) Base RI'!U175</f>
        <v>0</v>
      </c>
      <c r="AC175" s="10">
        <f>+'A) Base RI'!V175</f>
        <v>0</v>
      </c>
      <c r="AD175" s="10">
        <f>+'A) Base RI'!W175</f>
        <v>0</v>
      </c>
      <c r="AE175" s="10">
        <f>+'A) Base RI'!Y175</f>
        <v>8000</v>
      </c>
      <c r="AF175" s="10">
        <f>+'A) Base RI'!Z175</f>
        <v>0</v>
      </c>
      <c r="AG175" s="10">
        <f>+'A) Base RI'!AA175</f>
        <v>4500</v>
      </c>
      <c r="AH175" s="10">
        <f>+'A) Base RI'!AB175</f>
        <v>0</v>
      </c>
      <c r="AI175" s="10">
        <f>+'A) Base RI'!AC175</f>
        <v>0</v>
      </c>
      <c r="AJ175" s="10">
        <f>+'A) Base RI'!AD175</f>
        <v>0</v>
      </c>
      <c r="AK175" s="10">
        <f>+'A) Base RI'!AE175</f>
        <v>0</v>
      </c>
      <c r="AL175" s="10">
        <f>+'A) Base RI'!AF175</f>
        <v>0</v>
      </c>
      <c r="AM175" s="10">
        <f>+'A) Base RI'!AG175</f>
        <v>0</v>
      </c>
      <c r="AN175" s="10">
        <f>+'A) Base RI'!AH175</f>
        <v>0</v>
      </c>
      <c r="AO175" s="10">
        <f>+'A) Base RI'!AI175</f>
        <v>0</v>
      </c>
      <c r="AP175" s="10">
        <f>+'A) Base RI'!AJ175</f>
        <v>0</v>
      </c>
      <c r="AQ175" s="10">
        <f>+'A) Base RI'!AK175</f>
        <v>0</v>
      </c>
      <c r="AR175" s="10">
        <f>'A) Base RI'!AN175</f>
        <v>63</v>
      </c>
    </row>
    <row r="176" spans="1:44" x14ac:dyDescent="0.25">
      <c r="A176" s="8">
        <f>'A) Base RI'!A176</f>
        <v>5688</v>
      </c>
      <c r="B176" s="34" t="str">
        <f>'A) Base RI'!B176</f>
        <v>Syens</v>
      </c>
      <c r="C176" s="10">
        <f>'A) Base RI'!C176+'A) Base RI'!D176</f>
        <v>410158.17000000004</v>
      </c>
      <c r="D176" s="10">
        <f>'A) Base RI'!AO176</f>
        <v>-1.67</v>
      </c>
      <c r="E176" s="33">
        <f>'A) Base RI'!AP176</f>
        <v>0</v>
      </c>
      <c r="F176" s="33">
        <f>'A) Base RI'!AQ176</f>
        <v>0</v>
      </c>
      <c r="G176" s="2">
        <f t="shared" si="12"/>
        <v>410156.50000000006</v>
      </c>
      <c r="H176" s="10">
        <f>+'A) Base RI'!E176</f>
        <v>0</v>
      </c>
      <c r="I176" s="10">
        <f>+'A) Base RI'!F176</f>
        <v>0</v>
      </c>
      <c r="J176" s="10">
        <f>+'A) Base RI'!G176+'A) Base RI'!H176</f>
        <v>36574.050000000003</v>
      </c>
      <c r="K176" s="10">
        <f>+'A) Base RI'!I176</f>
        <v>0</v>
      </c>
      <c r="L176" s="10">
        <f>+'A) Base RI'!J176</f>
        <v>5953.31</v>
      </c>
      <c r="M176" s="10">
        <f>+'A) Base RI'!K176</f>
        <v>-788</v>
      </c>
      <c r="N176" s="10">
        <f>+'A) Base RI'!Q176</f>
        <v>0</v>
      </c>
      <c r="O176" s="10">
        <f t="shared" si="13"/>
        <v>23517.9</v>
      </c>
      <c r="P176" s="10">
        <f>+'A) Base RI'!L176</f>
        <v>23517.9</v>
      </c>
      <c r="Q176" s="36">
        <f>'A) Base RI'!AR176</f>
        <v>1</v>
      </c>
      <c r="R176" s="2">
        <f t="shared" si="14"/>
        <v>475413.76000000007</v>
      </c>
      <c r="S176" s="35">
        <f>+'A) Base RI'!AM176</f>
        <v>75.599999999999994</v>
      </c>
      <c r="T176" s="2">
        <f t="shared" si="15"/>
        <v>452683.86000000004</v>
      </c>
      <c r="U176" s="2">
        <f t="shared" si="16"/>
        <v>6288.5417989418002</v>
      </c>
      <c r="V176" s="10">
        <f>+'A) Base RI'!O176</f>
        <v>0</v>
      </c>
      <c r="W176" s="10">
        <f>+'A) Base RI'!P176</f>
        <v>21021.8</v>
      </c>
      <c r="X176" s="10">
        <f>+'A) Base RI'!R176</f>
        <v>9861</v>
      </c>
      <c r="Y176" s="2">
        <f t="shared" si="17"/>
        <v>30882.799999999999</v>
      </c>
      <c r="Z176" s="10">
        <f>+'A) Base RI'!N176</f>
        <v>0</v>
      </c>
      <c r="AA176" s="10">
        <f>+'A) Base RI'!S176+'A) Base RI'!T176</f>
        <v>0</v>
      </c>
      <c r="AB176" s="10">
        <f>+'A) Base RI'!U176</f>
        <v>560</v>
      </c>
      <c r="AC176" s="10">
        <f>+'A) Base RI'!V176</f>
        <v>0</v>
      </c>
      <c r="AD176" s="10">
        <f>+'A) Base RI'!W176</f>
        <v>0</v>
      </c>
      <c r="AE176" s="10">
        <f>+'A) Base RI'!Y176</f>
        <v>15800</v>
      </c>
      <c r="AF176" s="10">
        <f>+'A) Base RI'!Z176</f>
        <v>0</v>
      </c>
      <c r="AG176" s="10">
        <f>+'A) Base RI'!AA176</f>
        <v>8125.5</v>
      </c>
      <c r="AH176" s="10">
        <f>+'A) Base RI'!AB176</f>
        <v>0</v>
      </c>
      <c r="AI176" s="10">
        <f>+'A) Base RI'!AC176</f>
        <v>15047.25</v>
      </c>
      <c r="AJ176" s="10">
        <f>+'A) Base RI'!AD176</f>
        <v>0</v>
      </c>
      <c r="AK176" s="10">
        <f>+'A) Base RI'!AE176</f>
        <v>0</v>
      </c>
      <c r="AL176" s="10">
        <f>+'A) Base RI'!AF176</f>
        <v>0</v>
      </c>
      <c r="AM176" s="10">
        <f>+'A) Base RI'!AG176</f>
        <v>0</v>
      </c>
      <c r="AN176" s="10">
        <f>+'A) Base RI'!AH176</f>
        <v>0</v>
      </c>
      <c r="AO176" s="10">
        <f>+'A) Base RI'!AI176</f>
        <v>0</v>
      </c>
      <c r="AP176" s="10">
        <f>+'A) Base RI'!AJ176</f>
        <v>0</v>
      </c>
      <c r="AQ176" s="10">
        <f>+'A) Base RI'!AK176</f>
        <v>0</v>
      </c>
      <c r="AR176" s="10">
        <f>'A) Base RI'!AN176</f>
        <v>150</v>
      </c>
    </row>
    <row r="177" spans="1:44" x14ac:dyDescent="0.25">
      <c r="A177" s="8">
        <f>'A) Base RI'!A177</f>
        <v>5690</v>
      </c>
      <c r="B177" s="34" t="str">
        <f>'A) Base RI'!B177</f>
        <v>Villars-le-Comte</v>
      </c>
      <c r="C177" s="10">
        <f>'A) Base RI'!C177+'A) Base RI'!D177</f>
        <v>228868.34</v>
      </c>
      <c r="D177" s="10">
        <f>'A) Base RI'!AO177</f>
        <v>-535.49</v>
      </c>
      <c r="E177" s="33">
        <f>'A) Base RI'!AP177</f>
        <v>0</v>
      </c>
      <c r="F177" s="33">
        <f>'A) Base RI'!AQ177</f>
        <v>0</v>
      </c>
      <c r="G177" s="2">
        <f t="shared" si="12"/>
        <v>228332.85</v>
      </c>
      <c r="H177" s="10">
        <f>+'A) Base RI'!E177</f>
        <v>0</v>
      </c>
      <c r="I177" s="10">
        <f>+'A) Base RI'!F177</f>
        <v>900</v>
      </c>
      <c r="J177" s="10">
        <f>+'A) Base RI'!G177+'A) Base RI'!H177</f>
        <v>1112.8499999999999</v>
      </c>
      <c r="K177" s="10">
        <f>+'A) Base RI'!I177</f>
        <v>0</v>
      </c>
      <c r="L177" s="10">
        <f>+'A) Base RI'!J177</f>
        <v>60.29</v>
      </c>
      <c r="M177" s="10">
        <f>+'A) Base RI'!K177</f>
        <v>184.1</v>
      </c>
      <c r="N177" s="10">
        <f>+'A) Base RI'!Q177</f>
        <v>483.44</v>
      </c>
      <c r="O177" s="10">
        <f t="shared" si="13"/>
        <v>19707.291666666668</v>
      </c>
      <c r="P177" s="10">
        <f>+'A) Base RI'!L177</f>
        <v>23648.75</v>
      </c>
      <c r="Q177" s="36">
        <f>'A) Base RI'!AR177</f>
        <v>1.2</v>
      </c>
      <c r="R177" s="2">
        <f t="shared" si="14"/>
        <v>250780.82166666668</v>
      </c>
      <c r="S177" s="35">
        <f>+'A) Base RI'!AM177</f>
        <v>70</v>
      </c>
      <c r="T177" s="2">
        <f t="shared" si="15"/>
        <v>229989.43000000002</v>
      </c>
      <c r="U177" s="2">
        <f t="shared" si="16"/>
        <v>3582.5831666666668</v>
      </c>
      <c r="V177" s="10">
        <f>+'A) Base RI'!O177</f>
        <v>288.89999999999998</v>
      </c>
      <c r="W177" s="10">
        <f>+'A) Base RI'!P177</f>
        <v>8698</v>
      </c>
      <c r="X177" s="10">
        <f>+'A) Base RI'!R177</f>
        <v>14684.7</v>
      </c>
      <c r="Y177" s="2">
        <f t="shared" si="17"/>
        <v>23671.599999999999</v>
      </c>
      <c r="Z177" s="10">
        <f>+'A) Base RI'!N177</f>
        <v>0</v>
      </c>
      <c r="AA177" s="10">
        <f>+'A) Base RI'!S177+'A) Base RI'!T177</f>
        <v>0</v>
      </c>
      <c r="AB177" s="10">
        <f>+'A) Base RI'!U177</f>
        <v>500</v>
      </c>
      <c r="AC177" s="10">
        <f>+'A) Base RI'!V177</f>
        <v>0</v>
      </c>
      <c r="AD177" s="10">
        <f>+'A) Base RI'!W177</f>
        <v>0</v>
      </c>
      <c r="AE177" s="10">
        <f>+'A) Base RI'!Y177</f>
        <v>18800</v>
      </c>
      <c r="AF177" s="10">
        <f>+'A) Base RI'!Z177</f>
        <v>0</v>
      </c>
      <c r="AG177" s="10">
        <f>+'A) Base RI'!AA177</f>
        <v>21244.95</v>
      </c>
      <c r="AH177" s="10">
        <f>+'A) Base RI'!AB177</f>
        <v>0</v>
      </c>
      <c r="AI177" s="10">
        <f>+'A) Base RI'!AC177</f>
        <v>15442.05</v>
      </c>
      <c r="AJ177" s="10">
        <f>+'A) Base RI'!AD177</f>
        <v>2000</v>
      </c>
      <c r="AK177" s="10">
        <f>+'A) Base RI'!AE177</f>
        <v>0</v>
      </c>
      <c r="AL177" s="10">
        <f>+'A) Base RI'!AF177</f>
        <v>0</v>
      </c>
      <c r="AM177" s="10">
        <f>+'A) Base RI'!AG177</f>
        <v>0</v>
      </c>
      <c r="AN177" s="10">
        <f>+'A) Base RI'!AH177</f>
        <v>0</v>
      </c>
      <c r="AO177" s="10">
        <f>+'A) Base RI'!AI177</f>
        <v>0</v>
      </c>
      <c r="AP177" s="10">
        <f>+'A) Base RI'!AJ177</f>
        <v>0</v>
      </c>
      <c r="AQ177" s="10">
        <f>+'A) Base RI'!AK177</f>
        <v>0</v>
      </c>
      <c r="AR177" s="10">
        <f>'A) Base RI'!AN177</f>
        <v>142</v>
      </c>
    </row>
    <row r="178" spans="1:44" x14ac:dyDescent="0.25">
      <c r="A178" s="8">
        <f>'A) Base RI'!A178</f>
        <v>5692</v>
      </c>
      <c r="B178" s="34" t="str">
        <f>'A) Base RI'!B178</f>
        <v>Vucherens</v>
      </c>
      <c r="C178" s="10">
        <f>'A) Base RI'!C178+'A) Base RI'!D178</f>
        <v>1273808.0099999998</v>
      </c>
      <c r="D178" s="10">
        <f>'A) Base RI'!AO178</f>
        <v>-38256.26</v>
      </c>
      <c r="E178" s="33">
        <f>'A) Base RI'!AP178</f>
        <v>0</v>
      </c>
      <c r="F178" s="33">
        <f>'A) Base RI'!AQ178</f>
        <v>-305.61</v>
      </c>
      <c r="G178" s="2">
        <f t="shared" si="12"/>
        <v>1235246.1399999997</v>
      </c>
      <c r="H178" s="10">
        <f>+'A) Base RI'!E178</f>
        <v>0</v>
      </c>
      <c r="I178" s="10">
        <f>+'A) Base RI'!F178</f>
        <v>0</v>
      </c>
      <c r="J178" s="10">
        <f>+'A) Base RI'!G178+'A) Base RI'!H178</f>
        <v>15154.800000000001</v>
      </c>
      <c r="K178" s="10">
        <f>+'A) Base RI'!I178</f>
        <v>0</v>
      </c>
      <c r="L178" s="10">
        <f>+'A) Base RI'!J178</f>
        <v>21327.52</v>
      </c>
      <c r="M178" s="10">
        <f>+'A) Base RI'!K178</f>
        <v>427.65</v>
      </c>
      <c r="N178" s="10">
        <f>+'A) Base RI'!Q178</f>
        <v>11704.82</v>
      </c>
      <c r="O178" s="10">
        <f t="shared" si="13"/>
        <v>85867</v>
      </c>
      <c r="P178" s="10">
        <f>+'A) Base RI'!L178</f>
        <v>85867</v>
      </c>
      <c r="Q178" s="36">
        <f>'A) Base RI'!AR178</f>
        <v>1</v>
      </c>
      <c r="R178" s="2">
        <f t="shared" si="14"/>
        <v>1369727.9299999997</v>
      </c>
      <c r="S178" s="35">
        <f>+'A) Base RI'!AM178</f>
        <v>79</v>
      </c>
      <c r="T178" s="2">
        <f t="shared" si="15"/>
        <v>1283433.2799999998</v>
      </c>
      <c r="U178" s="2">
        <f t="shared" si="16"/>
        <v>17338.328227848098</v>
      </c>
      <c r="V178" s="10">
        <f>+'A) Base RI'!O178</f>
        <v>13919.4</v>
      </c>
      <c r="W178" s="10">
        <f>+'A) Base RI'!P178</f>
        <v>39343.699999999997</v>
      </c>
      <c r="X178" s="10">
        <f>+'A) Base RI'!R178</f>
        <v>32543.55</v>
      </c>
      <c r="Y178" s="2">
        <f t="shared" si="17"/>
        <v>85806.65</v>
      </c>
      <c r="Z178" s="10">
        <f>+'A) Base RI'!N178</f>
        <v>2838.25</v>
      </c>
      <c r="AA178" s="10">
        <f>+'A) Base RI'!S178+'A) Base RI'!T178</f>
        <v>625</v>
      </c>
      <c r="AB178" s="10">
        <f>+'A) Base RI'!U178</f>
        <v>5750</v>
      </c>
      <c r="AC178" s="10">
        <f>+'A) Base RI'!V178</f>
        <v>0</v>
      </c>
      <c r="AD178" s="10">
        <f>+'A) Base RI'!W178</f>
        <v>0</v>
      </c>
      <c r="AE178" s="10">
        <f>+'A) Base RI'!Y178</f>
        <v>22000</v>
      </c>
      <c r="AF178" s="10">
        <f>+'A) Base RI'!Z178</f>
        <v>0</v>
      </c>
      <c r="AG178" s="10">
        <f>+'A) Base RI'!AA178</f>
        <v>74922.600000000006</v>
      </c>
      <c r="AH178" s="10">
        <f>+'A) Base RI'!AB178</f>
        <v>0</v>
      </c>
      <c r="AI178" s="10">
        <f>+'A) Base RI'!AC178</f>
        <v>33828.75</v>
      </c>
      <c r="AJ178" s="10">
        <f>+'A) Base RI'!AD178</f>
        <v>3304.25</v>
      </c>
      <c r="AK178" s="10">
        <f>+'A) Base RI'!AE178</f>
        <v>0</v>
      </c>
      <c r="AL178" s="10">
        <f>+'A) Base RI'!AF178</f>
        <v>0</v>
      </c>
      <c r="AM178" s="10">
        <f>+'A) Base RI'!AG178</f>
        <v>0</v>
      </c>
      <c r="AN178" s="10">
        <f>+'A) Base RI'!AH178</f>
        <v>0</v>
      </c>
      <c r="AO178" s="10">
        <f>+'A) Base RI'!AI178</f>
        <v>0</v>
      </c>
      <c r="AP178" s="10">
        <f>+'A) Base RI'!AJ178</f>
        <v>9154.15</v>
      </c>
      <c r="AQ178" s="10">
        <f>+'A) Base RI'!AK178</f>
        <v>0</v>
      </c>
      <c r="AR178" s="10">
        <f>'A) Base RI'!AN178</f>
        <v>583</v>
      </c>
    </row>
    <row r="179" spans="1:44" x14ac:dyDescent="0.25">
      <c r="A179" s="8">
        <f>'A) Base RI'!A179</f>
        <v>5693</v>
      </c>
      <c r="B179" s="34" t="str">
        <f>'A) Base RI'!B179</f>
        <v>Montanaire</v>
      </c>
      <c r="C179" s="10">
        <f>'A) Base RI'!C179+'A) Base RI'!D179</f>
        <v>4608002.6400000006</v>
      </c>
      <c r="D179" s="10">
        <f>'A) Base RI'!AO179</f>
        <v>-73552.210000000006</v>
      </c>
      <c r="E179" s="33">
        <f>'A) Base RI'!AP179</f>
        <v>0</v>
      </c>
      <c r="F179" s="33">
        <f>'A) Base RI'!AQ179</f>
        <v>-48.91</v>
      </c>
      <c r="G179" s="2">
        <f t="shared" si="12"/>
        <v>4534401.5200000005</v>
      </c>
      <c r="H179" s="10">
        <f>+'A) Base RI'!E179</f>
        <v>0</v>
      </c>
      <c r="I179" s="10">
        <f>+'A) Base RI'!F179</f>
        <v>0</v>
      </c>
      <c r="J179" s="10">
        <f>+'A) Base RI'!G179+'A) Base RI'!H179</f>
        <v>165092.25</v>
      </c>
      <c r="K179" s="10">
        <f>+'A) Base RI'!I179</f>
        <v>0</v>
      </c>
      <c r="L179" s="10">
        <f>+'A) Base RI'!J179</f>
        <v>54016.31</v>
      </c>
      <c r="M179" s="10">
        <f>+'A) Base RI'!K179</f>
        <v>4542.8</v>
      </c>
      <c r="N179" s="10">
        <f>+'A) Base RI'!Q179</f>
        <v>16548.990000000002</v>
      </c>
      <c r="O179" s="10">
        <f t="shared" si="13"/>
        <v>339121.4</v>
      </c>
      <c r="P179" s="10">
        <f>+'A) Base RI'!L179</f>
        <v>339121.4</v>
      </c>
      <c r="Q179" s="36">
        <f>'A) Base RI'!AR179</f>
        <v>1</v>
      </c>
      <c r="R179" s="2">
        <f t="shared" si="14"/>
        <v>5113723.2700000005</v>
      </c>
      <c r="S179" s="35">
        <f>+'A) Base RI'!AM179</f>
        <v>72</v>
      </c>
      <c r="T179" s="2">
        <f t="shared" si="15"/>
        <v>4770059.07</v>
      </c>
      <c r="U179" s="2">
        <f t="shared" si="16"/>
        <v>71023.934305555566</v>
      </c>
      <c r="V179" s="10">
        <f>+'A) Base RI'!O179</f>
        <v>8265.7000000000007</v>
      </c>
      <c r="W179" s="10">
        <f>+'A) Base RI'!P179</f>
        <v>228598.39999999999</v>
      </c>
      <c r="X179" s="10">
        <f>+'A) Base RI'!R179</f>
        <v>185304.3</v>
      </c>
      <c r="Y179" s="2">
        <f t="shared" si="17"/>
        <v>422168.4</v>
      </c>
      <c r="Z179" s="10">
        <f>+'A) Base RI'!N179</f>
        <v>57935.15</v>
      </c>
      <c r="AA179" s="10">
        <f>+'A) Base RI'!S179+'A) Base RI'!T179</f>
        <v>7940.8</v>
      </c>
      <c r="AB179" s="10">
        <f>+'A) Base RI'!U179</f>
        <v>14220</v>
      </c>
      <c r="AC179" s="10">
        <f>+'A) Base RI'!V179</f>
        <v>0</v>
      </c>
      <c r="AD179" s="10">
        <f>+'A) Base RI'!W179</f>
        <v>0</v>
      </c>
      <c r="AE179" s="10">
        <f>+'A) Base RI'!Y179</f>
        <v>178084.05</v>
      </c>
      <c r="AF179" s="10">
        <f>+'A) Base RI'!Z179</f>
        <v>0</v>
      </c>
      <c r="AG179" s="10">
        <f>+'A) Base RI'!AA179</f>
        <v>324990.5</v>
      </c>
      <c r="AH179" s="10">
        <f>+'A) Base RI'!AB179</f>
        <v>0</v>
      </c>
      <c r="AI179" s="10">
        <f>+'A) Base RI'!AC179</f>
        <v>286855.7</v>
      </c>
      <c r="AJ179" s="10">
        <f>+'A) Base RI'!AD179</f>
        <v>56852</v>
      </c>
      <c r="AK179" s="10">
        <f>+'A) Base RI'!AE179</f>
        <v>0</v>
      </c>
      <c r="AL179" s="10">
        <f>+'A) Base RI'!AF179</f>
        <v>0</v>
      </c>
      <c r="AM179" s="10">
        <f>+'A) Base RI'!AG179</f>
        <v>0</v>
      </c>
      <c r="AN179" s="10">
        <f>+'A) Base RI'!AH179</f>
        <v>73333.350000000006</v>
      </c>
      <c r="AO179" s="10">
        <f>+'A) Base RI'!AI179</f>
        <v>0</v>
      </c>
      <c r="AP179" s="10">
        <f>+'A) Base RI'!AJ179</f>
        <v>0</v>
      </c>
      <c r="AQ179" s="10">
        <f>+'A) Base RI'!AK179</f>
        <v>0</v>
      </c>
      <c r="AR179" s="10">
        <f>'A) Base RI'!AN179</f>
        <v>2606</v>
      </c>
    </row>
    <row r="180" spans="1:44" x14ac:dyDescent="0.25">
      <c r="A180" s="8">
        <f>'A) Base RI'!A180</f>
        <v>5701</v>
      </c>
      <c r="B180" s="34" t="str">
        <f>'A) Base RI'!B180</f>
        <v>Arnex-sur-Nyon</v>
      </c>
      <c r="C180" s="10">
        <f>'A) Base RI'!C180+'A) Base RI'!D180</f>
        <v>789980.38</v>
      </c>
      <c r="D180" s="10">
        <f>'A) Base RI'!AO180</f>
        <v>-2579.6</v>
      </c>
      <c r="E180" s="33">
        <f>'A) Base RI'!AP180</f>
        <v>0</v>
      </c>
      <c r="F180" s="33">
        <f>'A) Base RI'!AQ180</f>
        <v>-126.35</v>
      </c>
      <c r="G180" s="2">
        <f t="shared" si="12"/>
        <v>787274.43</v>
      </c>
      <c r="H180" s="10">
        <f>+'A) Base RI'!E180</f>
        <v>0</v>
      </c>
      <c r="I180" s="10">
        <f>+'A) Base RI'!F180</f>
        <v>0</v>
      </c>
      <c r="J180" s="10">
        <f>+'A) Base RI'!G180+'A) Base RI'!H180</f>
        <v>21153.15</v>
      </c>
      <c r="K180" s="10">
        <f>+'A) Base RI'!I180</f>
        <v>162607.29999999999</v>
      </c>
      <c r="L180" s="10">
        <f>+'A) Base RI'!J180</f>
        <v>-19691.87</v>
      </c>
      <c r="M180" s="10">
        <f>+'A) Base RI'!K180</f>
        <v>315</v>
      </c>
      <c r="N180" s="10">
        <f>+'A) Base RI'!Q180</f>
        <v>5062.01</v>
      </c>
      <c r="O180" s="10">
        <f t="shared" si="13"/>
        <v>62275.4</v>
      </c>
      <c r="P180" s="10">
        <f>+'A) Base RI'!L180</f>
        <v>62275.4</v>
      </c>
      <c r="Q180" s="36">
        <f>'A) Base RI'!AR180</f>
        <v>1</v>
      </c>
      <c r="R180" s="2">
        <f t="shared" si="14"/>
        <v>1018995.4200000002</v>
      </c>
      <c r="S180" s="35">
        <f>+'A) Base RI'!AM180</f>
        <v>70</v>
      </c>
      <c r="T180" s="2">
        <f t="shared" si="15"/>
        <v>956405.02000000014</v>
      </c>
      <c r="U180" s="2">
        <f t="shared" si="16"/>
        <v>14557.077428571431</v>
      </c>
      <c r="V180" s="10">
        <f>+'A) Base RI'!O180</f>
        <v>0</v>
      </c>
      <c r="W180" s="10">
        <f>+'A) Base RI'!P180</f>
        <v>7582.65</v>
      </c>
      <c r="X180" s="10">
        <f>+'A) Base RI'!R180</f>
        <v>24782</v>
      </c>
      <c r="Y180" s="2">
        <f t="shared" si="17"/>
        <v>32364.65</v>
      </c>
      <c r="Z180" s="10">
        <f>+'A) Base RI'!N180</f>
        <v>0</v>
      </c>
      <c r="AA180" s="10">
        <f>+'A) Base RI'!S180+'A) Base RI'!T180</f>
        <v>0</v>
      </c>
      <c r="AB180" s="10">
        <f>+'A) Base RI'!U180</f>
        <v>825</v>
      </c>
      <c r="AC180" s="10">
        <f>+'A) Base RI'!V180</f>
        <v>0</v>
      </c>
      <c r="AD180" s="10">
        <f>+'A) Base RI'!W180</f>
        <v>0</v>
      </c>
      <c r="AE180" s="10">
        <f>+'A) Base RI'!Y180</f>
        <v>2000</v>
      </c>
      <c r="AF180" s="10">
        <f>+'A) Base RI'!Z180</f>
        <v>0</v>
      </c>
      <c r="AG180" s="10">
        <f>+'A) Base RI'!AA180</f>
        <v>33280.67</v>
      </c>
      <c r="AH180" s="10">
        <f>+'A) Base RI'!AB180</f>
        <v>0</v>
      </c>
      <c r="AI180" s="10">
        <f>+'A) Base RI'!AC180</f>
        <v>15405</v>
      </c>
      <c r="AJ180" s="10">
        <f>+'A) Base RI'!AD180</f>
        <v>350</v>
      </c>
      <c r="AK180" s="10">
        <f>+'A) Base RI'!AE180</f>
        <v>0</v>
      </c>
      <c r="AL180" s="10">
        <f>+'A) Base RI'!AF180</f>
        <v>0</v>
      </c>
      <c r="AM180" s="10">
        <f>+'A) Base RI'!AG180</f>
        <v>0</v>
      </c>
      <c r="AN180" s="10">
        <f>+'A) Base RI'!AH180</f>
        <v>0</v>
      </c>
      <c r="AO180" s="10">
        <f>+'A) Base RI'!AI180</f>
        <v>0</v>
      </c>
      <c r="AP180" s="10">
        <f>+'A) Base RI'!AJ180</f>
        <v>0</v>
      </c>
      <c r="AQ180" s="10">
        <f>+'A) Base RI'!AK180</f>
        <v>0</v>
      </c>
      <c r="AR180" s="10">
        <f>'A) Base RI'!AN180</f>
        <v>224</v>
      </c>
    </row>
    <row r="181" spans="1:44" x14ac:dyDescent="0.25">
      <c r="A181" s="8">
        <f>'A) Base RI'!A181</f>
        <v>5702</v>
      </c>
      <c r="B181" s="34" t="str">
        <f>'A) Base RI'!B181</f>
        <v>Arzier-Le Muids</v>
      </c>
      <c r="C181" s="10">
        <f>'A) Base RI'!C181+'A) Base RI'!D181</f>
        <v>8731917.3100000005</v>
      </c>
      <c r="D181" s="10">
        <f>'A) Base RI'!AO181</f>
        <v>-153813.23000000001</v>
      </c>
      <c r="E181" s="33">
        <f>'A) Base RI'!AP181</f>
        <v>0</v>
      </c>
      <c r="F181" s="33">
        <f>'A) Base RI'!AQ181</f>
        <v>-4384.04</v>
      </c>
      <c r="G181" s="2">
        <f t="shared" si="12"/>
        <v>8573720.040000001</v>
      </c>
      <c r="H181" s="10">
        <f>+'A) Base RI'!E181</f>
        <v>0</v>
      </c>
      <c r="I181" s="10">
        <f>+'A) Base RI'!F181</f>
        <v>0</v>
      </c>
      <c r="J181" s="10">
        <f>+'A) Base RI'!G181+'A) Base RI'!H181</f>
        <v>135987.70000000001</v>
      </c>
      <c r="K181" s="10">
        <f>+'A) Base RI'!I181</f>
        <v>343031.4</v>
      </c>
      <c r="L181" s="10">
        <f>+'A) Base RI'!J181</f>
        <v>210282.67</v>
      </c>
      <c r="M181" s="10">
        <f>+'A) Base RI'!K181</f>
        <v>15823.5</v>
      </c>
      <c r="N181" s="10">
        <f>+'A) Base RI'!Q181</f>
        <v>12040.32</v>
      </c>
      <c r="O181" s="10">
        <f t="shared" si="13"/>
        <v>708818.9</v>
      </c>
      <c r="P181" s="10">
        <f>+'A) Base RI'!L181</f>
        <v>1063228.3500000001</v>
      </c>
      <c r="Q181" s="36">
        <f>'A) Base RI'!AR181</f>
        <v>1.5</v>
      </c>
      <c r="R181" s="2">
        <f t="shared" si="14"/>
        <v>9999704.5300000012</v>
      </c>
      <c r="S181" s="35">
        <f>+'A) Base RI'!AM181</f>
        <v>64</v>
      </c>
      <c r="T181" s="2">
        <f t="shared" si="15"/>
        <v>9275062.1300000008</v>
      </c>
      <c r="U181" s="2">
        <f t="shared" si="16"/>
        <v>156245.38328125002</v>
      </c>
      <c r="V181" s="10">
        <f>+'A) Base RI'!O181</f>
        <v>17699.900000000001</v>
      </c>
      <c r="W181" s="10">
        <f>+'A) Base RI'!P181</f>
        <v>739142.5</v>
      </c>
      <c r="X181" s="10">
        <f>+'A) Base RI'!R181</f>
        <v>379058.65</v>
      </c>
      <c r="Y181" s="2">
        <f t="shared" si="17"/>
        <v>1135901.05</v>
      </c>
      <c r="Z181" s="10">
        <f>+'A) Base RI'!N181</f>
        <v>59677.1</v>
      </c>
      <c r="AA181" s="10">
        <f>+'A) Base RI'!S181+'A) Base RI'!T181</f>
        <v>0</v>
      </c>
      <c r="AB181" s="10">
        <f>+'A) Base RI'!U181</f>
        <v>24780</v>
      </c>
      <c r="AC181" s="10">
        <f>+'A) Base RI'!V181</f>
        <v>0</v>
      </c>
      <c r="AD181" s="10">
        <f>+'A) Base RI'!W181</f>
        <v>0</v>
      </c>
      <c r="AE181" s="10">
        <f>+'A) Base RI'!Y181</f>
        <v>114655</v>
      </c>
      <c r="AF181" s="10">
        <f>+'A) Base RI'!Z181</f>
        <v>0</v>
      </c>
      <c r="AG181" s="10">
        <f>+'A) Base RI'!AA181</f>
        <v>243636.15</v>
      </c>
      <c r="AH181" s="10">
        <f>+'A) Base RI'!AB181</f>
        <v>0</v>
      </c>
      <c r="AI181" s="10">
        <f>+'A) Base RI'!AC181</f>
        <v>227603.1</v>
      </c>
      <c r="AJ181" s="10">
        <f>+'A) Base RI'!AD181</f>
        <v>227307.6</v>
      </c>
      <c r="AK181" s="10">
        <f>+'A) Base RI'!AE181</f>
        <v>0</v>
      </c>
      <c r="AL181" s="10">
        <f>+'A) Base RI'!AF181</f>
        <v>0</v>
      </c>
      <c r="AM181" s="10">
        <f>+'A) Base RI'!AG181</f>
        <v>17290.75</v>
      </c>
      <c r="AN181" s="10">
        <f>+'A) Base RI'!AH181</f>
        <v>0</v>
      </c>
      <c r="AO181" s="10">
        <f>+'A) Base RI'!AI181</f>
        <v>0</v>
      </c>
      <c r="AP181" s="10">
        <f>+'A) Base RI'!AJ181</f>
        <v>0</v>
      </c>
      <c r="AQ181" s="10">
        <f>+'A) Base RI'!AK181</f>
        <v>0</v>
      </c>
      <c r="AR181" s="10">
        <f>'A) Base RI'!AN181</f>
        <v>2653</v>
      </c>
    </row>
    <row r="182" spans="1:44" x14ac:dyDescent="0.25">
      <c r="A182" s="8">
        <f>'A) Base RI'!A182</f>
        <v>5703</v>
      </c>
      <c r="B182" s="34" t="str">
        <f>'A) Base RI'!B182</f>
        <v>Bassins</v>
      </c>
      <c r="C182" s="10">
        <f>'A) Base RI'!C182+'A) Base RI'!D182</f>
        <v>3836058.88</v>
      </c>
      <c r="D182" s="10">
        <f>'A) Base RI'!AO182</f>
        <v>-59283.93</v>
      </c>
      <c r="E182" s="33">
        <f>'A) Base RI'!AP182</f>
        <v>0</v>
      </c>
      <c r="F182" s="33">
        <f>'A) Base RI'!AQ182</f>
        <v>-111.72</v>
      </c>
      <c r="G182" s="2">
        <f t="shared" si="12"/>
        <v>3776663.2299999995</v>
      </c>
      <c r="H182" s="10">
        <f>+'A) Base RI'!E182</f>
        <v>0</v>
      </c>
      <c r="I182" s="10">
        <f>+'A) Base RI'!F182</f>
        <v>0</v>
      </c>
      <c r="J182" s="10">
        <f>+'A) Base RI'!G182+'A) Base RI'!H182</f>
        <v>13564.1</v>
      </c>
      <c r="K182" s="10">
        <f>+'A) Base RI'!I182</f>
        <v>31009.9</v>
      </c>
      <c r="L182" s="10">
        <f>+'A) Base RI'!J182</f>
        <v>69004.45</v>
      </c>
      <c r="M182" s="10">
        <f>+'A) Base RI'!K182</f>
        <v>725.55</v>
      </c>
      <c r="N182" s="10">
        <f>+'A) Base RI'!Q182</f>
        <v>9434.24</v>
      </c>
      <c r="O182" s="10">
        <f t="shared" si="13"/>
        <v>290056.67857142858</v>
      </c>
      <c r="P182" s="10">
        <f>+'A) Base RI'!L182</f>
        <v>406079.35</v>
      </c>
      <c r="Q182" s="36">
        <f>'A) Base RI'!AR182</f>
        <v>1.4</v>
      </c>
      <c r="R182" s="2">
        <f t="shared" si="14"/>
        <v>4190458.1485714284</v>
      </c>
      <c r="S182" s="35">
        <f>+'A) Base RI'!AM182</f>
        <v>74</v>
      </c>
      <c r="T182" s="2">
        <f t="shared" si="15"/>
        <v>3899675.92</v>
      </c>
      <c r="U182" s="2">
        <f t="shared" si="16"/>
        <v>56627.812818532817</v>
      </c>
      <c r="V182" s="10">
        <f>+'A) Base RI'!O182</f>
        <v>83558.899999999994</v>
      </c>
      <c r="W182" s="10">
        <f>+'A) Base RI'!P182</f>
        <v>208730.7</v>
      </c>
      <c r="X182" s="10">
        <f>+'A) Base RI'!R182</f>
        <v>115535.85</v>
      </c>
      <c r="Y182" s="2">
        <f t="shared" si="17"/>
        <v>407825.44999999995</v>
      </c>
      <c r="Z182" s="10">
        <f>+'A) Base RI'!N182</f>
        <v>30853.25</v>
      </c>
      <c r="AA182" s="10">
        <f>+'A) Base RI'!S182+'A) Base RI'!T182</f>
        <v>0</v>
      </c>
      <c r="AB182" s="10">
        <f>+'A) Base RI'!U182</f>
        <v>10620</v>
      </c>
      <c r="AC182" s="10">
        <f>+'A) Base RI'!V182</f>
        <v>0</v>
      </c>
      <c r="AD182" s="10">
        <f>+'A) Base RI'!W182</f>
        <v>0</v>
      </c>
      <c r="AE182" s="10">
        <f>+'A) Base RI'!Y182</f>
        <v>111921.5</v>
      </c>
      <c r="AF182" s="10">
        <f>+'A) Base RI'!Z182</f>
        <v>0</v>
      </c>
      <c r="AG182" s="10">
        <f>+'A) Base RI'!AA182</f>
        <v>170598</v>
      </c>
      <c r="AH182" s="10">
        <f>+'A) Base RI'!AB182</f>
        <v>0</v>
      </c>
      <c r="AI182" s="10">
        <f>+'A) Base RI'!AC182</f>
        <v>95495.45</v>
      </c>
      <c r="AJ182" s="10">
        <f>+'A) Base RI'!AD182</f>
        <v>138724.1</v>
      </c>
      <c r="AK182" s="10">
        <f>+'A) Base RI'!AE182</f>
        <v>0</v>
      </c>
      <c r="AL182" s="10">
        <f>+'A) Base RI'!AF182</f>
        <v>0</v>
      </c>
      <c r="AM182" s="10">
        <f>+'A) Base RI'!AG182</f>
        <v>0</v>
      </c>
      <c r="AN182" s="10">
        <f>+'A) Base RI'!AH182</f>
        <v>0</v>
      </c>
      <c r="AO182" s="10">
        <f>+'A) Base RI'!AI182</f>
        <v>0</v>
      </c>
      <c r="AP182" s="10">
        <f>+'A) Base RI'!AJ182</f>
        <v>0</v>
      </c>
      <c r="AQ182" s="10">
        <f>+'A) Base RI'!AK182</f>
        <v>0</v>
      </c>
      <c r="AR182" s="10">
        <f>'A) Base RI'!AN182</f>
        <v>1356</v>
      </c>
    </row>
    <row r="183" spans="1:44" x14ac:dyDescent="0.25">
      <c r="A183" s="8">
        <f>'A) Base RI'!A183</f>
        <v>5704</v>
      </c>
      <c r="B183" s="34" t="str">
        <f>'A) Base RI'!B183</f>
        <v>Begnins</v>
      </c>
      <c r="C183" s="10">
        <f>'A) Base RI'!C183+'A) Base RI'!D183</f>
        <v>7546833.7100000009</v>
      </c>
      <c r="D183" s="10">
        <f>'A) Base RI'!AO183</f>
        <v>-65401.7</v>
      </c>
      <c r="E183" s="33">
        <f>'A) Base RI'!AP183</f>
        <v>0</v>
      </c>
      <c r="F183" s="33">
        <f>'A) Base RI'!AQ183</f>
        <v>-26880.61</v>
      </c>
      <c r="G183" s="2">
        <f t="shared" si="12"/>
        <v>7454551.4000000004</v>
      </c>
      <c r="H183" s="10">
        <f>+'A) Base RI'!E183</f>
        <v>0</v>
      </c>
      <c r="I183" s="10">
        <f>+'A) Base RI'!F183</f>
        <v>0</v>
      </c>
      <c r="J183" s="10">
        <f>+'A) Base RI'!G183+'A) Base RI'!H183</f>
        <v>178387.45</v>
      </c>
      <c r="K183" s="10">
        <f>+'A) Base RI'!I183</f>
        <v>347197.4</v>
      </c>
      <c r="L183" s="10">
        <f>+'A) Base RI'!J183</f>
        <v>144270.57999999999</v>
      </c>
      <c r="M183" s="10">
        <f>+'A) Base RI'!K183</f>
        <v>11027.1</v>
      </c>
      <c r="N183" s="10">
        <f>+'A) Base RI'!Q183</f>
        <v>5370.89</v>
      </c>
      <c r="O183" s="10">
        <f t="shared" si="13"/>
        <v>454007.60000000003</v>
      </c>
      <c r="P183" s="10">
        <f>+'A) Base RI'!L183</f>
        <v>681011.4</v>
      </c>
      <c r="Q183" s="36">
        <f>'A) Base RI'!AR183</f>
        <v>1.5</v>
      </c>
      <c r="R183" s="2">
        <f t="shared" si="14"/>
        <v>8594812.4199999999</v>
      </c>
      <c r="S183" s="35">
        <f>+'A) Base RI'!AM183</f>
        <v>67</v>
      </c>
      <c r="T183" s="2">
        <f t="shared" si="15"/>
        <v>8129777.7200000007</v>
      </c>
      <c r="U183" s="2">
        <f t="shared" si="16"/>
        <v>128280.7823880597</v>
      </c>
      <c r="V183" s="10">
        <f>+'A) Base RI'!O183</f>
        <v>48913.599999999999</v>
      </c>
      <c r="W183" s="10">
        <f>+'A) Base RI'!P183</f>
        <v>574413.19999999995</v>
      </c>
      <c r="X183" s="10">
        <f>+'A) Base RI'!R183</f>
        <v>256668</v>
      </c>
      <c r="Y183" s="2">
        <f t="shared" si="17"/>
        <v>879994.79999999993</v>
      </c>
      <c r="Z183" s="10">
        <f>+'A) Base RI'!N183</f>
        <v>52344.800000000003</v>
      </c>
      <c r="AA183" s="10">
        <f>+'A) Base RI'!S183+'A) Base RI'!T183</f>
        <v>0</v>
      </c>
      <c r="AB183" s="10">
        <f>+'A) Base RI'!U183</f>
        <v>12700</v>
      </c>
      <c r="AC183" s="10">
        <f>+'A) Base RI'!V183</f>
        <v>0</v>
      </c>
      <c r="AD183" s="10">
        <f>+'A) Base RI'!W183</f>
        <v>0</v>
      </c>
      <c r="AE183" s="10">
        <f>+'A) Base RI'!Y183</f>
        <v>20531.71</v>
      </c>
      <c r="AF183" s="10">
        <f>+'A) Base RI'!Z183</f>
        <v>0</v>
      </c>
      <c r="AG183" s="10">
        <f>+'A) Base RI'!AA183</f>
        <v>169022.4</v>
      </c>
      <c r="AH183" s="10">
        <f>+'A) Base RI'!AB183</f>
        <v>0</v>
      </c>
      <c r="AI183" s="10">
        <f>+'A) Base RI'!AC183</f>
        <v>103284.91</v>
      </c>
      <c r="AJ183" s="10">
        <f>+'A) Base RI'!AD183</f>
        <v>30616.880000000001</v>
      </c>
      <c r="AK183" s="10">
        <f>+'A) Base RI'!AE183</f>
        <v>0</v>
      </c>
      <c r="AL183" s="10">
        <f>+'A) Base RI'!AF183</f>
        <v>0</v>
      </c>
      <c r="AM183" s="10">
        <f>+'A) Base RI'!AG183</f>
        <v>9010.75</v>
      </c>
      <c r="AN183" s="10">
        <f>+'A) Base RI'!AH183</f>
        <v>50714.14</v>
      </c>
      <c r="AO183" s="10">
        <f>+'A) Base RI'!AI183</f>
        <v>28979.279999999999</v>
      </c>
      <c r="AP183" s="10">
        <f>+'A) Base RI'!AJ183</f>
        <v>0</v>
      </c>
      <c r="AQ183" s="10">
        <f>+'A) Base RI'!AK183</f>
        <v>0</v>
      </c>
      <c r="AR183" s="10">
        <f>'A) Base RI'!AN183</f>
        <v>1910</v>
      </c>
    </row>
    <row r="184" spans="1:44" x14ac:dyDescent="0.25">
      <c r="A184" s="8">
        <f>'A) Base RI'!A184</f>
        <v>5705</v>
      </c>
      <c r="B184" s="34" t="str">
        <f>'A) Base RI'!B184</f>
        <v>Bogis-Bossey</v>
      </c>
      <c r="C184" s="10">
        <f>'A) Base RI'!C184+'A) Base RI'!D184</f>
        <v>3593156.3</v>
      </c>
      <c r="D184" s="10">
        <f>'A) Base RI'!AO184</f>
        <v>9810.83</v>
      </c>
      <c r="E184" s="33">
        <f>'A) Base RI'!AP184</f>
        <v>0</v>
      </c>
      <c r="F184" s="33">
        <f>'A) Base RI'!AQ184</f>
        <v>-2106.69</v>
      </c>
      <c r="G184" s="2">
        <f t="shared" si="12"/>
        <v>3600860.44</v>
      </c>
      <c r="H184" s="10">
        <f>+'A) Base RI'!E184</f>
        <v>0</v>
      </c>
      <c r="I184" s="10">
        <f>+'A) Base RI'!F184</f>
        <v>0</v>
      </c>
      <c r="J184" s="10">
        <f>+'A) Base RI'!G184+'A) Base RI'!H184</f>
        <v>21213.800000000003</v>
      </c>
      <c r="K184" s="10">
        <f>+'A) Base RI'!I184</f>
        <v>24013.45</v>
      </c>
      <c r="L184" s="10">
        <f>+'A) Base RI'!J184</f>
        <v>-9048.5499999999993</v>
      </c>
      <c r="M184" s="10">
        <f>+'A) Base RI'!K184</f>
        <v>9030.75</v>
      </c>
      <c r="N184" s="10">
        <f>+'A) Base RI'!Q184</f>
        <v>249.18</v>
      </c>
      <c r="O184" s="10">
        <f t="shared" si="13"/>
        <v>208583.65</v>
      </c>
      <c r="P184" s="10">
        <f>+'A) Base RI'!L184</f>
        <v>208583.65</v>
      </c>
      <c r="Q184" s="36">
        <f>'A) Base RI'!AR184</f>
        <v>1</v>
      </c>
      <c r="R184" s="2">
        <f t="shared" si="14"/>
        <v>3854902.72</v>
      </c>
      <c r="S184" s="35">
        <f>+'A) Base RI'!AM184</f>
        <v>70</v>
      </c>
      <c r="T184" s="2">
        <f t="shared" si="15"/>
        <v>3637288.3200000003</v>
      </c>
      <c r="U184" s="2">
        <f t="shared" si="16"/>
        <v>55070.038857142863</v>
      </c>
      <c r="V184" s="10">
        <f>+'A) Base RI'!O184</f>
        <v>0</v>
      </c>
      <c r="W184" s="10">
        <f>+'A) Base RI'!P184</f>
        <v>128713.35</v>
      </c>
      <c r="X184" s="10">
        <f>+'A) Base RI'!R184</f>
        <v>55009.45</v>
      </c>
      <c r="Y184" s="2">
        <f t="shared" si="17"/>
        <v>183722.8</v>
      </c>
      <c r="Z184" s="10">
        <f>+'A) Base RI'!N184</f>
        <v>31710.05</v>
      </c>
      <c r="AA184" s="10">
        <f>+'A) Base RI'!S184+'A) Base RI'!T184</f>
        <v>0</v>
      </c>
      <c r="AB184" s="10">
        <f>+'A) Base RI'!U184</f>
        <v>1890</v>
      </c>
      <c r="AC184" s="10">
        <f>+'A) Base RI'!V184</f>
        <v>0</v>
      </c>
      <c r="AD184" s="10">
        <f>+'A) Base RI'!W184</f>
        <v>0</v>
      </c>
      <c r="AE184" s="10">
        <f>+'A) Base RI'!Y184</f>
        <v>0</v>
      </c>
      <c r="AF184" s="10">
        <f>+'A) Base RI'!Z184</f>
        <v>0</v>
      </c>
      <c r="AG184" s="10">
        <f>+'A) Base RI'!AA184</f>
        <v>0</v>
      </c>
      <c r="AH184" s="10">
        <f>+'A) Base RI'!AB184</f>
        <v>0</v>
      </c>
      <c r="AI184" s="10">
        <f>+'A) Base RI'!AC184</f>
        <v>0</v>
      </c>
      <c r="AJ184" s="10">
        <f>+'A) Base RI'!AD184</f>
        <v>0</v>
      </c>
      <c r="AK184" s="10">
        <f>+'A) Base RI'!AE184</f>
        <v>0</v>
      </c>
      <c r="AL184" s="10">
        <f>+'A) Base RI'!AF184</f>
        <v>0</v>
      </c>
      <c r="AM184" s="10">
        <f>+'A) Base RI'!AG184</f>
        <v>0</v>
      </c>
      <c r="AN184" s="10">
        <f>+'A) Base RI'!AH184</f>
        <v>0</v>
      </c>
      <c r="AO184" s="10">
        <f>+'A) Base RI'!AI184</f>
        <v>0</v>
      </c>
      <c r="AP184" s="10">
        <f>+'A) Base RI'!AJ184</f>
        <v>0</v>
      </c>
      <c r="AQ184" s="10">
        <f>+'A) Base RI'!AK184</f>
        <v>0</v>
      </c>
      <c r="AR184" s="10">
        <f>'A) Base RI'!AN184</f>
        <v>893</v>
      </c>
    </row>
    <row r="185" spans="1:44" x14ac:dyDescent="0.25">
      <c r="A185" s="8">
        <f>'A) Base RI'!A185</f>
        <v>5706</v>
      </c>
      <c r="B185" s="34" t="str">
        <f>'A) Base RI'!B185</f>
        <v>Borex</v>
      </c>
      <c r="C185" s="10">
        <f>'A) Base RI'!C185+'A) Base RI'!D185</f>
        <v>3775535.31</v>
      </c>
      <c r="D185" s="10">
        <f>'A) Base RI'!AO185</f>
        <v>-4371</v>
      </c>
      <c r="E185" s="33">
        <f>'A) Base RI'!AP185</f>
        <v>0</v>
      </c>
      <c r="F185" s="33">
        <f>'A) Base RI'!AQ185</f>
        <v>-3038.36</v>
      </c>
      <c r="G185" s="2">
        <f t="shared" si="12"/>
        <v>3768125.95</v>
      </c>
      <c r="H185" s="10">
        <f>+'A) Base RI'!E185</f>
        <v>0</v>
      </c>
      <c r="I185" s="10">
        <f>+'A) Base RI'!F185</f>
        <v>0</v>
      </c>
      <c r="J185" s="10">
        <f>+'A) Base RI'!G185+'A) Base RI'!H185</f>
        <v>4818</v>
      </c>
      <c r="K185" s="10">
        <f>+'A) Base RI'!I185</f>
        <v>-7735.75</v>
      </c>
      <c r="L185" s="10">
        <f>+'A) Base RI'!J185</f>
        <v>149570.38</v>
      </c>
      <c r="M185" s="10">
        <f>+'A) Base RI'!K185</f>
        <v>2095</v>
      </c>
      <c r="N185" s="10">
        <f>+'A) Base RI'!Q185</f>
        <v>2183.56</v>
      </c>
      <c r="O185" s="10">
        <f t="shared" si="13"/>
        <v>247595.86666666667</v>
      </c>
      <c r="P185" s="10">
        <f>+'A) Base RI'!L185</f>
        <v>371393.8</v>
      </c>
      <c r="Q185" s="36">
        <f>'A) Base RI'!AR185</f>
        <v>1.5</v>
      </c>
      <c r="R185" s="2">
        <f t="shared" si="14"/>
        <v>4166653.0066666668</v>
      </c>
      <c r="S185" s="35">
        <f>+'A) Base RI'!AM185</f>
        <v>58</v>
      </c>
      <c r="T185" s="2">
        <f t="shared" si="15"/>
        <v>3916962.14</v>
      </c>
      <c r="U185" s="2">
        <f t="shared" si="16"/>
        <v>71838.84494252874</v>
      </c>
      <c r="V185" s="10">
        <f>+'A) Base RI'!O185</f>
        <v>0</v>
      </c>
      <c r="W185" s="10">
        <f>+'A) Base RI'!P185</f>
        <v>175420.95</v>
      </c>
      <c r="X185" s="10">
        <f>+'A) Base RI'!R185</f>
        <v>180488.55</v>
      </c>
      <c r="Y185" s="2">
        <f t="shared" si="17"/>
        <v>355909.5</v>
      </c>
      <c r="Z185" s="10">
        <f>+'A) Base RI'!N185</f>
        <v>7454.75</v>
      </c>
      <c r="AA185" s="10">
        <f>+'A) Base RI'!S185+'A) Base RI'!T185</f>
        <v>0</v>
      </c>
      <c r="AB185" s="10">
        <f>+'A) Base RI'!U185</f>
        <v>4650</v>
      </c>
      <c r="AC185" s="10">
        <f>+'A) Base RI'!V185</f>
        <v>0</v>
      </c>
      <c r="AD185" s="10">
        <f>+'A) Base RI'!W185</f>
        <v>0</v>
      </c>
      <c r="AE185" s="10">
        <f>+'A) Base RI'!Y185</f>
        <v>55162.7</v>
      </c>
      <c r="AF185" s="10">
        <f>+'A) Base RI'!Z185</f>
        <v>0</v>
      </c>
      <c r="AG185" s="10">
        <f>+'A) Base RI'!AA185</f>
        <v>158680.23000000001</v>
      </c>
      <c r="AH185" s="10">
        <f>+'A) Base RI'!AB185</f>
        <v>0</v>
      </c>
      <c r="AI185" s="10">
        <f>+'A) Base RI'!AC185</f>
        <v>86776.9</v>
      </c>
      <c r="AJ185" s="10">
        <f>+'A) Base RI'!AD185</f>
        <v>0</v>
      </c>
      <c r="AK185" s="10">
        <f>+'A) Base RI'!AE185</f>
        <v>0</v>
      </c>
      <c r="AL185" s="10">
        <f>+'A) Base RI'!AF185</f>
        <v>0</v>
      </c>
      <c r="AM185" s="10">
        <f>+'A) Base RI'!AG185</f>
        <v>20</v>
      </c>
      <c r="AN185" s="10">
        <f>+'A) Base RI'!AH185</f>
        <v>31856.85</v>
      </c>
      <c r="AO185" s="10">
        <f>+'A) Base RI'!AI185</f>
        <v>0</v>
      </c>
      <c r="AP185" s="10">
        <f>+'A) Base RI'!AJ185</f>
        <v>0</v>
      </c>
      <c r="AQ185" s="10">
        <f>+'A) Base RI'!AK185</f>
        <v>0</v>
      </c>
      <c r="AR185" s="10">
        <f>'A) Base RI'!AN185</f>
        <v>1126</v>
      </c>
    </row>
    <row r="186" spans="1:44" x14ac:dyDescent="0.25">
      <c r="A186" s="8">
        <f>'A) Base RI'!A186</f>
        <v>5707</v>
      </c>
      <c r="B186" s="34" t="str">
        <f>'A) Base RI'!B186</f>
        <v>Chavannes-de-Bogis</v>
      </c>
      <c r="C186" s="10">
        <f>'A) Base RI'!C186+'A) Base RI'!D186</f>
        <v>4104842.78</v>
      </c>
      <c r="D186" s="10">
        <f>'A) Base RI'!AO186</f>
        <v>-11406.83</v>
      </c>
      <c r="E186" s="33">
        <f>'A) Base RI'!AP186</f>
        <v>0</v>
      </c>
      <c r="F186" s="33">
        <f>'A) Base RI'!AQ186</f>
        <v>-412.19</v>
      </c>
      <c r="G186" s="2">
        <f t="shared" si="12"/>
        <v>4093023.76</v>
      </c>
      <c r="H186" s="10">
        <f>+'A) Base RI'!E186</f>
        <v>0</v>
      </c>
      <c r="I186" s="10">
        <f>+'A) Base RI'!F186</f>
        <v>0</v>
      </c>
      <c r="J186" s="10">
        <f>+'A) Base RI'!G186+'A) Base RI'!H186</f>
        <v>269828.89999999997</v>
      </c>
      <c r="K186" s="10">
        <f>+'A) Base RI'!I186</f>
        <v>65487.75</v>
      </c>
      <c r="L186" s="10">
        <f>+'A) Base RI'!J186</f>
        <v>80914.27</v>
      </c>
      <c r="M186" s="10">
        <f>+'A) Base RI'!K186</f>
        <v>53277.9</v>
      </c>
      <c r="N186" s="10">
        <f>+'A) Base RI'!Q186</f>
        <v>239.11</v>
      </c>
      <c r="O186" s="10">
        <f t="shared" si="13"/>
        <v>456510.16666666669</v>
      </c>
      <c r="P186" s="10">
        <f>+'A) Base RI'!L186</f>
        <v>684765.25</v>
      </c>
      <c r="Q186" s="36">
        <f>'A) Base RI'!AR186</f>
        <v>1.5</v>
      </c>
      <c r="R186" s="2">
        <f t="shared" si="14"/>
        <v>5019281.8566666674</v>
      </c>
      <c r="S186" s="35">
        <f>+'A) Base RI'!AM186</f>
        <v>59</v>
      </c>
      <c r="T186" s="2">
        <f t="shared" si="15"/>
        <v>4509493.79</v>
      </c>
      <c r="U186" s="2">
        <f t="shared" si="16"/>
        <v>85072.573841807927</v>
      </c>
      <c r="V186" s="10">
        <f>+'A) Base RI'!O186</f>
        <v>0</v>
      </c>
      <c r="W186" s="10">
        <f>+'A) Base RI'!P186</f>
        <v>153278.79999999999</v>
      </c>
      <c r="X186" s="10">
        <f>+'A) Base RI'!R186</f>
        <v>152294.35</v>
      </c>
      <c r="Y186" s="2">
        <f t="shared" si="17"/>
        <v>305573.15000000002</v>
      </c>
      <c r="Z186" s="10">
        <f>+'A) Base RI'!N186</f>
        <v>502784.35</v>
      </c>
      <c r="AA186" s="10">
        <f>+'A) Base RI'!S186+'A) Base RI'!T186</f>
        <v>38666.75</v>
      </c>
      <c r="AB186" s="10">
        <f>+'A) Base RI'!U186</f>
        <v>5470</v>
      </c>
      <c r="AC186" s="10">
        <f>+'A) Base RI'!V186</f>
        <v>0</v>
      </c>
      <c r="AD186" s="10">
        <f>+'A) Base RI'!W186</f>
        <v>0</v>
      </c>
      <c r="AE186" s="10">
        <f>+'A) Base RI'!Y186</f>
        <v>0</v>
      </c>
      <c r="AF186" s="10">
        <f>+'A) Base RI'!Z186</f>
        <v>0</v>
      </c>
      <c r="AG186" s="10">
        <f>+'A) Base RI'!AA186</f>
        <v>0</v>
      </c>
      <c r="AH186" s="10">
        <f>+'A) Base RI'!AB186</f>
        <v>0</v>
      </c>
      <c r="AI186" s="10">
        <f>+'A) Base RI'!AC186</f>
        <v>116343.15</v>
      </c>
      <c r="AJ186" s="10">
        <f>+'A) Base RI'!AD186</f>
        <v>0</v>
      </c>
      <c r="AK186" s="10">
        <f>+'A) Base RI'!AE186</f>
        <v>0</v>
      </c>
      <c r="AL186" s="10">
        <f>+'A) Base RI'!AF186</f>
        <v>0</v>
      </c>
      <c r="AM186" s="10">
        <f>+'A) Base RI'!AG186</f>
        <v>171390</v>
      </c>
      <c r="AN186" s="10">
        <f>+'A) Base RI'!AH186</f>
        <v>100857.3</v>
      </c>
      <c r="AO186" s="10">
        <f>+'A) Base RI'!AI186</f>
        <v>0</v>
      </c>
      <c r="AP186" s="10">
        <f>+'A) Base RI'!AJ186</f>
        <v>0</v>
      </c>
      <c r="AQ186" s="10">
        <f>+'A) Base RI'!AK186</f>
        <v>0</v>
      </c>
      <c r="AR186" s="10">
        <f>'A) Base RI'!AN186</f>
        <v>1290</v>
      </c>
    </row>
    <row r="187" spans="1:44" x14ac:dyDescent="0.25">
      <c r="A187" s="8">
        <f>'A) Base RI'!A187</f>
        <v>5708</v>
      </c>
      <c r="B187" s="34" t="str">
        <f>'A) Base RI'!B187</f>
        <v>Chavannes-des-Bois</v>
      </c>
      <c r="C187" s="10">
        <f>'A) Base RI'!C187+'A) Base RI'!D187</f>
        <v>3044337.98</v>
      </c>
      <c r="D187" s="10">
        <f>'A) Base RI'!AO187</f>
        <v>-9021.5400000000009</v>
      </c>
      <c r="E187" s="33">
        <f>'A) Base RI'!AP187</f>
        <v>0</v>
      </c>
      <c r="F187" s="33">
        <f>'A) Base RI'!AQ187</f>
        <v>-295.5</v>
      </c>
      <c r="G187" s="2">
        <f t="shared" si="12"/>
        <v>3035020.94</v>
      </c>
      <c r="H187" s="10">
        <f>+'A) Base RI'!E187</f>
        <v>0</v>
      </c>
      <c r="I187" s="10">
        <f>+'A) Base RI'!F187</f>
        <v>0</v>
      </c>
      <c r="J187" s="10">
        <f>+'A) Base RI'!G187+'A) Base RI'!H187</f>
        <v>-5610.6</v>
      </c>
      <c r="K187" s="10">
        <f>+'A) Base RI'!I187</f>
        <v>41192.199999999997</v>
      </c>
      <c r="L187" s="10">
        <f>+'A) Base RI'!J187</f>
        <v>45859.03</v>
      </c>
      <c r="M187" s="10">
        <f>+'A) Base RI'!K187</f>
        <v>14784.15</v>
      </c>
      <c r="N187" s="10">
        <f>+'A) Base RI'!Q187</f>
        <v>0</v>
      </c>
      <c r="O187" s="10">
        <f t="shared" si="13"/>
        <v>250326.5</v>
      </c>
      <c r="P187" s="10">
        <f>+'A) Base RI'!L187</f>
        <v>375489.75</v>
      </c>
      <c r="Q187" s="36">
        <f>'A) Base RI'!AR187</f>
        <v>1.5</v>
      </c>
      <c r="R187" s="2">
        <f t="shared" si="14"/>
        <v>3381572.2199999997</v>
      </c>
      <c r="S187" s="35">
        <f>+'A) Base RI'!AM187</f>
        <v>59</v>
      </c>
      <c r="T187" s="2">
        <f t="shared" si="15"/>
        <v>3116461.57</v>
      </c>
      <c r="U187" s="2">
        <f t="shared" si="16"/>
        <v>57314.783389830503</v>
      </c>
      <c r="V187" s="10">
        <f>+'A) Base RI'!O187</f>
        <v>0</v>
      </c>
      <c r="W187" s="10">
        <f>+'A) Base RI'!P187</f>
        <v>144980.04999999999</v>
      </c>
      <c r="X187" s="10">
        <f>+'A) Base RI'!R187</f>
        <v>-49615.6</v>
      </c>
      <c r="Y187" s="2">
        <f t="shared" si="17"/>
        <v>95364.449999999983</v>
      </c>
      <c r="Z187" s="10">
        <f>+'A) Base RI'!N187</f>
        <v>945.8</v>
      </c>
      <c r="AA187" s="10">
        <f>+'A) Base RI'!S187+'A) Base RI'!T187</f>
        <v>0</v>
      </c>
      <c r="AB187" s="10">
        <f>+'A) Base RI'!U187</f>
        <v>2040</v>
      </c>
      <c r="AC187" s="10">
        <f>+'A) Base RI'!V187</f>
        <v>0</v>
      </c>
      <c r="AD187" s="10">
        <f>+'A) Base RI'!W187</f>
        <v>0</v>
      </c>
      <c r="AE187" s="10">
        <f>+'A) Base RI'!Y187</f>
        <v>878.05</v>
      </c>
      <c r="AF187" s="10">
        <f>+'A) Base RI'!Z187</f>
        <v>0</v>
      </c>
      <c r="AG187" s="10">
        <f>+'A) Base RI'!AA187</f>
        <v>0</v>
      </c>
      <c r="AH187" s="10">
        <f>+'A) Base RI'!AB187</f>
        <v>0</v>
      </c>
      <c r="AI187" s="10">
        <f>+'A) Base RI'!AC187</f>
        <v>78259.350000000006</v>
      </c>
      <c r="AJ187" s="10">
        <f>+'A) Base RI'!AD187</f>
        <v>0</v>
      </c>
      <c r="AK187" s="10">
        <f>+'A) Base RI'!AE187</f>
        <v>0</v>
      </c>
      <c r="AL187" s="10">
        <f>+'A) Base RI'!AF187</f>
        <v>0</v>
      </c>
      <c r="AM187" s="10">
        <f>+'A) Base RI'!AG187</f>
        <v>0</v>
      </c>
      <c r="AN187" s="10">
        <f>+'A) Base RI'!AH187</f>
        <v>0</v>
      </c>
      <c r="AO187" s="10">
        <f>+'A) Base RI'!AI187</f>
        <v>0</v>
      </c>
      <c r="AP187" s="10">
        <f>+'A) Base RI'!AJ187</f>
        <v>0</v>
      </c>
      <c r="AQ187" s="10">
        <f>+'A) Base RI'!AK187</f>
        <v>0</v>
      </c>
      <c r="AR187" s="10">
        <f>'A) Base RI'!AN187</f>
        <v>942</v>
      </c>
    </row>
    <row r="188" spans="1:44" x14ac:dyDescent="0.25">
      <c r="A188" s="8">
        <f>'A) Base RI'!A188</f>
        <v>5709</v>
      </c>
      <c r="B188" s="34" t="str">
        <f>'A) Base RI'!B188</f>
        <v>Chéserex</v>
      </c>
      <c r="C188" s="10">
        <f>'A) Base RI'!C188+'A) Base RI'!D188</f>
        <v>3351946.22</v>
      </c>
      <c r="D188" s="10">
        <f>'A) Base RI'!AO188</f>
        <v>-15005.14</v>
      </c>
      <c r="E188" s="33">
        <f>'A) Base RI'!AP188</f>
        <v>0</v>
      </c>
      <c r="F188" s="33">
        <f>'A) Base RI'!AQ188</f>
        <v>-2178.7399999999998</v>
      </c>
      <c r="G188" s="2">
        <f t="shared" si="12"/>
        <v>3334762.34</v>
      </c>
      <c r="H188" s="10">
        <f>+'A) Base RI'!E188</f>
        <v>0</v>
      </c>
      <c r="I188" s="10">
        <f>+'A) Base RI'!F188</f>
        <v>0</v>
      </c>
      <c r="J188" s="10">
        <f>+'A) Base RI'!G188+'A) Base RI'!H188</f>
        <v>-166640.20000000019</v>
      </c>
      <c r="K188" s="10">
        <f>+'A) Base RI'!I188</f>
        <v>504917</v>
      </c>
      <c r="L188" s="10">
        <f>+'A) Base RI'!J188</f>
        <v>93140.81</v>
      </c>
      <c r="M188" s="10">
        <f>+'A) Base RI'!K188</f>
        <v>3043.2</v>
      </c>
      <c r="N188" s="10">
        <f>+'A) Base RI'!Q188</f>
        <v>12474.04</v>
      </c>
      <c r="O188" s="10">
        <f t="shared" si="13"/>
        <v>325013.3</v>
      </c>
      <c r="P188" s="10">
        <f>+'A) Base RI'!L188</f>
        <v>325013.3</v>
      </c>
      <c r="Q188" s="36">
        <f>'A) Base RI'!AR188</f>
        <v>1</v>
      </c>
      <c r="R188" s="2">
        <f t="shared" si="14"/>
        <v>4106710.4899999998</v>
      </c>
      <c r="S188" s="35">
        <f>+'A) Base RI'!AM188</f>
        <v>57</v>
      </c>
      <c r="T188" s="2">
        <f t="shared" si="15"/>
        <v>3778653.9899999998</v>
      </c>
      <c r="U188" s="2">
        <f t="shared" si="16"/>
        <v>72047.552456140344</v>
      </c>
      <c r="V188" s="10">
        <f>+'A) Base RI'!O188</f>
        <v>1543109.9</v>
      </c>
      <c r="W188" s="10">
        <f>+'A) Base RI'!P188</f>
        <v>101516.6</v>
      </c>
      <c r="X188" s="10">
        <f>+'A) Base RI'!R188</f>
        <v>18655.900000000001</v>
      </c>
      <c r="Y188" s="2">
        <f t="shared" si="17"/>
        <v>1663282.4</v>
      </c>
      <c r="Z188" s="10">
        <f>+'A) Base RI'!N188</f>
        <v>31415.15</v>
      </c>
      <c r="AA188" s="10">
        <f>+'A) Base RI'!S188+'A) Base RI'!T188</f>
        <v>3094.5</v>
      </c>
      <c r="AB188" s="10">
        <f>+'A) Base RI'!U188</f>
        <v>10300</v>
      </c>
      <c r="AC188" s="10">
        <f>+'A) Base RI'!V188</f>
        <v>0</v>
      </c>
      <c r="AD188" s="10">
        <f>+'A) Base RI'!W188</f>
        <v>0</v>
      </c>
      <c r="AE188" s="10">
        <f>+'A) Base RI'!Y188</f>
        <v>72922</v>
      </c>
      <c r="AF188" s="10">
        <f>+'A) Base RI'!Z188</f>
        <v>17023.45</v>
      </c>
      <c r="AG188" s="10">
        <f>+'A) Base RI'!AA188</f>
        <v>41787.93</v>
      </c>
      <c r="AH188" s="10">
        <f>+'A) Base RI'!AB188</f>
        <v>0</v>
      </c>
      <c r="AI188" s="10">
        <f>+'A) Base RI'!AC188</f>
        <v>141020.65</v>
      </c>
      <c r="AJ188" s="10">
        <f>+'A) Base RI'!AD188</f>
        <v>0</v>
      </c>
      <c r="AK188" s="10">
        <f>+'A) Base RI'!AE188</f>
        <v>0</v>
      </c>
      <c r="AL188" s="10">
        <f>+'A) Base RI'!AF188</f>
        <v>0</v>
      </c>
      <c r="AM188" s="10">
        <f>+'A) Base RI'!AG188</f>
        <v>13398.7</v>
      </c>
      <c r="AN188" s="10">
        <f>+'A) Base RI'!AH188</f>
        <v>0</v>
      </c>
      <c r="AO188" s="10">
        <f>+'A) Base RI'!AI188</f>
        <v>0</v>
      </c>
      <c r="AP188" s="10">
        <f>+'A) Base RI'!AJ188</f>
        <v>0</v>
      </c>
      <c r="AQ188" s="10">
        <f>+'A) Base RI'!AK188</f>
        <v>0</v>
      </c>
      <c r="AR188" s="10">
        <f>'A) Base RI'!AN188</f>
        <v>1219</v>
      </c>
    </row>
    <row r="189" spans="1:44" x14ac:dyDescent="0.25">
      <c r="A189" s="8">
        <f>'A) Base RI'!A189</f>
        <v>5710</v>
      </c>
      <c r="B189" s="34" t="str">
        <f>'A) Base RI'!B189</f>
        <v>Coinsins</v>
      </c>
      <c r="C189" s="10">
        <f>'A) Base RI'!C189+'A) Base RI'!D189</f>
        <v>1674728.75</v>
      </c>
      <c r="D189" s="10">
        <f>'A) Base RI'!AO189</f>
        <v>-6733.17</v>
      </c>
      <c r="E189" s="33">
        <f>'A) Base RI'!AP189</f>
        <v>0</v>
      </c>
      <c r="F189" s="33">
        <f>'A) Base RI'!AQ189</f>
        <v>-5194.26</v>
      </c>
      <c r="G189" s="2">
        <f t="shared" si="12"/>
        <v>1662801.32</v>
      </c>
      <c r="H189" s="10">
        <f>+'A) Base RI'!E189</f>
        <v>0</v>
      </c>
      <c r="I189" s="10">
        <f>+'A) Base RI'!F189</f>
        <v>0</v>
      </c>
      <c r="J189" s="10">
        <f>+'A) Base RI'!G189+'A) Base RI'!H189</f>
        <v>2477640.75</v>
      </c>
      <c r="K189" s="10">
        <f>+'A) Base RI'!I189</f>
        <v>67980.399999999994</v>
      </c>
      <c r="L189" s="10">
        <f>+'A) Base RI'!J189</f>
        <v>-148199.64000000001</v>
      </c>
      <c r="M189" s="10">
        <f>+'A) Base RI'!K189</f>
        <v>884.65</v>
      </c>
      <c r="N189" s="10">
        <f>+'A) Base RI'!Q189</f>
        <v>-2000.25</v>
      </c>
      <c r="O189" s="10">
        <f t="shared" si="13"/>
        <v>124534.1</v>
      </c>
      <c r="P189" s="10">
        <f>+'A) Base RI'!L189</f>
        <v>124534.1</v>
      </c>
      <c r="Q189" s="36">
        <f>'A) Base RI'!AR189</f>
        <v>1</v>
      </c>
      <c r="R189" s="2">
        <f t="shared" si="14"/>
        <v>4183641.3300000005</v>
      </c>
      <c r="S189" s="35">
        <f>+'A) Base RI'!AM189</f>
        <v>51</v>
      </c>
      <c r="T189" s="2">
        <f t="shared" si="15"/>
        <v>4058222.5800000005</v>
      </c>
      <c r="U189" s="2">
        <f t="shared" si="16"/>
        <v>82032.182941176477</v>
      </c>
      <c r="V189" s="10">
        <f>+'A) Base RI'!O189</f>
        <v>0</v>
      </c>
      <c r="W189" s="10">
        <f>+'A) Base RI'!P189</f>
        <v>94473.5</v>
      </c>
      <c r="X189" s="10">
        <f>+'A) Base RI'!R189</f>
        <v>38670.65</v>
      </c>
      <c r="Y189" s="2">
        <f t="shared" si="17"/>
        <v>133144.15</v>
      </c>
      <c r="Z189" s="10">
        <f>+'A) Base RI'!N189</f>
        <v>68325.600000000006</v>
      </c>
      <c r="AA189" s="10">
        <f>+'A) Base RI'!S189+'A) Base RI'!T189</f>
        <v>0</v>
      </c>
      <c r="AB189" s="10">
        <f>+'A) Base RI'!U189</f>
        <v>0</v>
      </c>
      <c r="AC189" s="10">
        <f>+'A) Base RI'!V189</f>
        <v>0</v>
      </c>
      <c r="AD189" s="10">
        <f>+'A) Base RI'!W189</f>
        <v>0</v>
      </c>
      <c r="AE189" s="10">
        <f>+'A) Base RI'!Y189</f>
        <v>23850</v>
      </c>
      <c r="AF189" s="10">
        <f>+'A) Base RI'!Z189</f>
        <v>0</v>
      </c>
      <c r="AG189" s="10">
        <f>+'A) Base RI'!AA189</f>
        <v>73193.100000000006</v>
      </c>
      <c r="AH189" s="10">
        <f>+'A) Base RI'!AB189</f>
        <v>0</v>
      </c>
      <c r="AI189" s="10">
        <f>+'A) Base RI'!AC189</f>
        <v>30730</v>
      </c>
      <c r="AJ189" s="10">
        <f>+'A) Base RI'!AD189</f>
        <v>23850</v>
      </c>
      <c r="AK189" s="10">
        <f>+'A) Base RI'!AE189</f>
        <v>0</v>
      </c>
      <c r="AL189" s="10">
        <f>+'A) Base RI'!AF189</f>
        <v>0</v>
      </c>
      <c r="AM189" s="10">
        <f>+'A) Base RI'!AG189</f>
        <v>9535</v>
      </c>
      <c r="AN189" s="10">
        <f>+'A) Base RI'!AH189</f>
        <v>25358.86</v>
      </c>
      <c r="AO189" s="10">
        <f>+'A) Base RI'!AI189</f>
        <v>0</v>
      </c>
      <c r="AP189" s="10">
        <f>+'A) Base RI'!AJ189</f>
        <v>0</v>
      </c>
      <c r="AQ189" s="10">
        <f>+'A) Base RI'!AK189</f>
        <v>0</v>
      </c>
      <c r="AR189" s="10">
        <f>'A) Base RI'!AN189</f>
        <v>484</v>
      </c>
    </row>
    <row r="190" spans="1:44" x14ac:dyDescent="0.25">
      <c r="A190" s="8">
        <f>'A) Base RI'!A190</f>
        <v>5711</v>
      </c>
      <c r="B190" s="34" t="str">
        <f>'A) Base RI'!B190</f>
        <v>Commugny</v>
      </c>
      <c r="C190" s="10">
        <f>'A) Base RI'!C190+'A) Base RI'!D190</f>
        <v>13079799.709999999</v>
      </c>
      <c r="D190" s="10">
        <f>'A) Base RI'!AO190</f>
        <v>-26805.72</v>
      </c>
      <c r="E190" s="33">
        <f>'A) Base RI'!AP190</f>
        <v>0</v>
      </c>
      <c r="F190" s="33">
        <f>'A) Base RI'!AQ190</f>
        <v>-46502.91</v>
      </c>
      <c r="G190" s="2">
        <f t="shared" si="12"/>
        <v>13006491.079999998</v>
      </c>
      <c r="H190" s="10">
        <f>+'A) Base RI'!E190</f>
        <v>0</v>
      </c>
      <c r="I190" s="10">
        <f>+'A) Base RI'!F190</f>
        <v>0</v>
      </c>
      <c r="J190" s="10">
        <f>+'A) Base RI'!G190+'A) Base RI'!H190</f>
        <v>85247.65</v>
      </c>
      <c r="K190" s="10">
        <f>+'A) Base RI'!I190</f>
        <v>268640.59999999998</v>
      </c>
      <c r="L190" s="10">
        <f>+'A) Base RI'!J190</f>
        <v>225781.68</v>
      </c>
      <c r="M190" s="10">
        <f>+'A) Base RI'!K190</f>
        <v>13899.65</v>
      </c>
      <c r="N190" s="10">
        <f>+'A) Base RI'!Q190</f>
        <v>3510.53</v>
      </c>
      <c r="O190" s="10">
        <f t="shared" si="13"/>
        <v>826308.65384615387</v>
      </c>
      <c r="P190" s="10">
        <f>+'A) Base RI'!L190</f>
        <v>1074201.25</v>
      </c>
      <c r="Q190" s="36">
        <f>'A) Base RI'!AR190</f>
        <v>1.3</v>
      </c>
      <c r="R190" s="2">
        <f t="shared" si="14"/>
        <v>14429879.843846152</v>
      </c>
      <c r="S190" s="35">
        <f>+'A) Base RI'!AM190</f>
        <v>57</v>
      </c>
      <c r="T190" s="2">
        <f t="shared" si="15"/>
        <v>13589671.539999997</v>
      </c>
      <c r="U190" s="2">
        <f t="shared" si="16"/>
        <v>253155.78673414301</v>
      </c>
      <c r="V190" s="10">
        <f>+'A) Base RI'!O190</f>
        <v>2511.4499999999998</v>
      </c>
      <c r="W190" s="10">
        <f>+'A) Base RI'!P190</f>
        <v>533602</v>
      </c>
      <c r="X190" s="10">
        <f>+'A) Base RI'!R190</f>
        <v>523976.85</v>
      </c>
      <c r="Y190" s="2">
        <f t="shared" si="17"/>
        <v>1060090.2999999998</v>
      </c>
      <c r="Z190" s="10">
        <f>+'A) Base RI'!N190</f>
        <v>39037</v>
      </c>
      <c r="AA190" s="10">
        <f>+'A) Base RI'!S190+'A) Base RI'!T190</f>
        <v>0</v>
      </c>
      <c r="AB190" s="10">
        <f>+'A) Base RI'!U190</f>
        <v>14900</v>
      </c>
      <c r="AC190" s="10">
        <f>+'A) Base RI'!V190</f>
        <v>0</v>
      </c>
      <c r="AD190" s="10">
        <f>+'A) Base RI'!W190</f>
        <v>0</v>
      </c>
      <c r="AE190" s="10">
        <f>+'A) Base RI'!Y190</f>
        <v>0</v>
      </c>
      <c r="AF190" s="10">
        <f>+'A) Base RI'!Z190</f>
        <v>0</v>
      </c>
      <c r="AG190" s="10">
        <f>+'A) Base RI'!AA190</f>
        <v>0</v>
      </c>
      <c r="AH190" s="10">
        <f>+'A) Base RI'!AB190</f>
        <v>0</v>
      </c>
      <c r="AI190" s="10">
        <f>+'A) Base RI'!AC190</f>
        <v>255183</v>
      </c>
      <c r="AJ190" s="10">
        <f>+'A) Base RI'!AD190</f>
        <v>0</v>
      </c>
      <c r="AK190" s="10">
        <f>+'A) Base RI'!AE190</f>
        <v>0</v>
      </c>
      <c r="AL190" s="10">
        <f>+'A) Base RI'!AF190</f>
        <v>0</v>
      </c>
      <c r="AM190" s="10">
        <f>+'A) Base RI'!AG190</f>
        <v>12142</v>
      </c>
      <c r="AN190" s="10">
        <f>+'A) Base RI'!AH190</f>
        <v>0</v>
      </c>
      <c r="AO190" s="10">
        <f>+'A) Base RI'!AI190</f>
        <v>0</v>
      </c>
      <c r="AP190" s="10">
        <f>+'A) Base RI'!AJ190</f>
        <v>0</v>
      </c>
      <c r="AQ190" s="10">
        <f>+'A) Base RI'!AK190</f>
        <v>0</v>
      </c>
      <c r="AR190" s="10">
        <f>'A) Base RI'!AN190</f>
        <v>2858</v>
      </c>
    </row>
    <row r="191" spans="1:44" x14ac:dyDescent="0.25">
      <c r="A191" s="8">
        <f>'A) Base RI'!A191</f>
        <v>5712</v>
      </c>
      <c r="B191" s="34" t="str">
        <f>'A) Base RI'!B191</f>
        <v>Coppet</v>
      </c>
      <c r="C191" s="10">
        <f>'A) Base RI'!C191+'A) Base RI'!D191</f>
        <v>14257758.939999999</v>
      </c>
      <c r="D191" s="10">
        <f>'A) Base RI'!AO191</f>
        <v>-61123.09</v>
      </c>
      <c r="E191" s="33">
        <f>'A) Base RI'!AP191</f>
        <v>0</v>
      </c>
      <c r="F191" s="33">
        <f>'A) Base RI'!AQ191</f>
        <v>-7578.95</v>
      </c>
      <c r="G191" s="2">
        <f t="shared" si="12"/>
        <v>14189056.9</v>
      </c>
      <c r="H191" s="10">
        <f>+'A) Base RI'!E191</f>
        <v>0</v>
      </c>
      <c r="I191" s="10">
        <f>+'A) Base RI'!F191</f>
        <v>0</v>
      </c>
      <c r="J191" s="10">
        <f>+'A) Base RI'!G191+'A) Base RI'!H191</f>
        <v>172276.05</v>
      </c>
      <c r="K191" s="10">
        <f>+'A) Base RI'!I191</f>
        <v>1358856.25</v>
      </c>
      <c r="L191" s="10">
        <f>+'A) Base RI'!J191</f>
        <v>483021.53</v>
      </c>
      <c r="M191" s="10">
        <f>+'A) Base RI'!K191</f>
        <v>21010.25</v>
      </c>
      <c r="N191" s="10">
        <f>+'A) Base RI'!Q191</f>
        <v>12552.36</v>
      </c>
      <c r="O191" s="10">
        <f t="shared" si="13"/>
        <v>1028148.0333333333</v>
      </c>
      <c r="P191" s="10">
        <f>+'A) Base RI'!L191</f>
        <v>1542222.05</v>
      </c>
      <c r="Q191" s="36">
        <f>'A) Base RI'!AR191</f>
        <v>1.5</v>
      </c>
      <c r="R191" s="2">
        <f t="shared" si="14"/>
        <v>17264921.373333335</v>
      </c>
      <c r="S191" s="35">
        <f>+'A) Base RI'!AM191</f>
        <v>53</v>
      </c>
      <c r="T191" s="2">
        <f t="shared" si="15"/>
        <v>16215763.09</v>
      </c>
      <c r="U191" s="2">
        <f t="shared" si="16"/>
        <v>325753.23345911951</v>
      </c>
      <c r="V191" s="10">
        <f>+'A) Base RI'!O191</f>
        <v>536217.35</v>
      </c>
      <c r="W191" s="10">
        <f>+'A) Base RI'!P191</f>
        <v>1028000.05</v>
      </c>
      <c r="X191" s="10">
        <f>+'A) Base RI'!R191</f>
        <v>595884.80000000005</v>
      </c>
      <c r="Y191" s="2">
        <f t="shared" si="17"/>
        <v>2160102.2000000002</v>
      </c>
      <c r="Z191" s="10">
        <f>+'A) Base RI'!N191</f>
        <v>155045.04999999999</v>
      </c>
      <c r="AA191" s="10">
        <f>+'A) Base RI'!S191+'A) Base RI'!T191</f>
        <v>0</v>
      </c>
      <c r="AB191" s="10">
        <f>+'A) Base RI'!U191</f>
        <v>10050</v>
      </c>
      <c r="AC191" s="10">
        <f>+'A) Base RI'!V191</f>
        <v>0</v>
      </c>
      <c r="AD191" s="10">
        <f>+'A) Base RI'!W191</f>
        <v>0</v>
      </c>
      <c r="AE191" s="10">
        <f>+'A) Base RI'!Y191</f>
        <v>0</v>
      </c>
      <c r="AF191" s="10">
        <f>+'A) Base RI'!Z191</f>
        <v>0</v>
      </c>
      <c r="AG191" s="10">
        <f>+'A) Base RI'!AA191</f>
        <v>0</v>
      </c>
      <c r="AH191" s="10">
        <f>+'A) Base RI'!AB191</f>
        <v>0</v>
      </c>
      <c r="AI191" s="10">
        <f>+'A) Base RI'!AC191</f>
        <v>0</v>
      </c>
      <c r="AJ191" s="10">
        <f>+'A) Base RI'!AD191</f>
        <v>512450.85</v>
      </c>
      <c r="AK191" s="10">
        <f>+'A) Base RI'!AE191</f>
        <v>0</v>
      </c>
      <c r="AL191" s="10">
        <f>+'A) Base RI'!AF191</f>
        <v>0</v>
      </c>
      <c r="AM191" s="10">
        <f>+'A) Base RI'!AG191</f>
        <v>0</v>
      </c>
      <c r="AN191" s="10">
        <f>+'A) Base RI'!AH191</f>
        <v>0</v>
      </c>
      <c r="AO191" s="10">
        <f>+'A) Base RI'!AI191</f>
        <v>0</v>
      </c>
      <c r="AP191" s="10">
        <f>+'A) Base RI'!AJ191</f>
        <v>0</v>
      </c>
      <c r="AQ191" s="10">
        <f>+'A) Base RI'!AK191</f>
        <v>0</v>
      </c>
      <c r="AR191" s="10">
        <f>'A) Base RI'!AN191</f>
        <v>3123</v>
      </c>
    </row>
    <row r="192" spans="1:44" x14ac:dyDescent="0.25">
      <c r="A192" s="8">
        <f>'A) Base RI'!A192</f>
        <v>5713</v>
      </c>
      <c r="B192" s="34" t="str">
        <f>'A) Base RI'!B192</f>
        <v>Crans-près-Céligny</v>
      </c>
      <c r="C192" s="10">
        <f>'A) Base RI'!C192+'A) Base RI'!D192</f>
        <v>11291903.25</v>
      </c>
      <c r="D192" s="10">
        <f>'A) Base RI'!AO192</f>
        <v>-42736.82</v>
      </c>
      <c r="E192" s="33">
        <f>'A) Base RI'!AP192</f>
        <v>0</v>
      </c>
      <c r="F192" s="33">
        <f>'A) Base RI'!AQ192</f>
        <v>-47874.84</v>
      </c>
      <c r="G192" s="2">
        <f t="shared" si="12"/>
        <v>11201291.59</v>
      </c>
      <c r="H192" s="10">
        <f>+'A) Base RI'!E192</f>
        <v>0</v>
      </c>
      <c r="I192" s="10">
        <f>+'A) Base RI'!F192</f>
        <v>0</v>
      </c>
      <c r="J192" s="10">
        <f>+'A) Base RI'!G192+'A) Base RI'!H192</f>
        <v>60027.299999999996</v>
      </c>
      <c r="K192" s="10">
        <f>+'A) Base RI'!I192</f>
        <v>648030.66</v>
      </c>
      <c r="L192" s="10">
        <f>+'A) Base RI'!J192</f>
        <v>4347.24</v>
      </c>
      <c r="M192" s="10">
        <f>+'A) Base RI'!K192</f>
        <v>9069</v>
      </c>
      <c r="N192" s="10">
        <f>+'A) Base RI'!Q192</f>
        <v>1354.9</v>
      </c>
      <c r="O192" s="10">
        <f t="shared" si="13"/>
        <v>756395.15</v>
      </c>
      <c r="P192" s="10">
        <f>+'A) Base RI'!L192</f>
        <v>756395.15</v>
      </c>
      <c r="Q192" s="36">
        <f>'A) Base RI'!AR192</f>
        <v>1</v>
      </c>
      <c r="R192" s="2">
        <f t="shared" si="14"/>
        <v>12680515.840000002</v>
      </c>
      <c r="S192" s="35">
        <f>+'A) Base RI'!AM192</f>
        <v>53</v>
      </c>
      <c r="T192" s="2">
        <f t="shared" si="15"/>
        <v>11915051.690000001</v>
      </c>
      <c r="U192" s="2">
        <f t="shared" si="16"/>
        <v>239255.01584905662</v>
      </c>
      <c r="V192" s="10">
        <f>+'A) Base RI'!O192</f>
        <v>1624.2</v>
      </c>
      <c r="W192" s="10">
        <f>+'A) Base RI'!P192</f>
        <v>471274.55</v>
      </c>
      <c r="X192" s="10">
        <f>+'A) Base RI'!R192</f>
        <v>505588.75</v>
      </c>
      <c r="Y192" s="2">
        <f t="shared" si="17"/>
        <v>978487.5</v>
      </c>
      <c r="Z192" s="10">
        <f>+'A) Base RI'!N192</f>
        <v>26286.5</v>
      </c>
      <c r="AA192" s="10">
        <f>+'A) Base RI'!S192+'A) Base RI'!T192</f>
        <v>0</v>
      </c>
      <c r="AB192" s="10">
        <f>+'A) Base RI'!U192</f>
        <v>15250</v>
      </c>
      <c r="AC192" s="10">
        <f>+'A) Base RI'!V192</f>
        <v>0</v>
      </c>
      <c r="AD192" s="10">
        <f>+'A) Base RI'!W192</f>
        <v>0</v>
      </c>
      <c r="AE192" s="10">
        <f>+'A) Base RI'!Y192</f>
        <v>164137.39000000001</v>
      </c>
      <c r="AF192" s="10">
        <f>+'A) Base RI'!Z192</f>
        <v>0</v>
      </c>
      <c r="AG192" s="10">
        <f>+'A) Base RI'!AA192</f>
        <v>403429.23</v>
      </c>
      <c r="AH192" s="10">
        <f>+'A) Base RI'!AB192</f>
        <v>0</v>
      </c>
      <c r="AI192" s="10">
        <f>+'A) Base RI'!AC192</f>
        <v>191312.82</v>
      </c>
      <c r="AJ192" s="10">
        <f>+'A) Base RI'!AD192</f>
        <v>0</v>
      </c>
      <c r="AK192" s="10">
        <f>+'A) Base RI'!AE192</f>
        <v>0</v>
      </c>
      <c r="AL192" s="10">
        <f>+'A) Base RI'!AF192</f>
        <v>0</v>
      </c>
      <c r="AM192" s="10">
        <f>+'A) Base RI'!AG192</f>
        <v>7478.2</v>
      </c>
      <c r="AN192" s="10">
        <f>+'A) Base RI'!AH192</f>
        <v>83288.350000000006</v>
      </c>
      <c r="AO192" s="10">
        <f>+'A) Base RI'!AI192</f>
        <v>0</v>
      </c>
      <c r="AP192" s="10">
        <f>+'A) Base RI'!AJ192</f>
        <v>0</v>
      </c>
      <c r="AQ192" s="10">
        <f>+'A) Base RI'!AK192</f>
        <v>0</v>
      </c>
      <c r="AR192" s="10">
        <f>'A) Base RI'!AN192</f>
        <v>2177</v>
      </c>
    </row>
    <row r="193" spans="1:44" x14ac:dyDescent="0.25">
      <c r="A193" s="8">
        <f>'A) Base RI'!A193</f>
        <v>5714</v>
      </c>
      <c r="B193" s="34" t="str">
        <f>'A) Base RI'!B193</f>
        <v>Crassier</v>
      </c>
      <c r="C193" s="10">
        <f>'A) Base RI'!C193+'A) Base RI'!D193</f>
        <v>4666272.25</v>
      </c>
      <c r="D193" s="10">
        <f>'A) Base RI'!AO193</f>
        <v>-7513.31</v>
      </c>
      <c r="E193" s="33">
        <f>'A) Base RI'!AP193</f>
        <v>0</v>
      </c>
      <c r="F193" s="33">
        <f>'A) Base RI'!AQ193</f>
        <v>-1506.98</v>
      </c>
      <c r="G193" s="2">
        <f t="shared" si="12"/>
        <v>4657251.96</v>
      </c>
      <c r="H193" s="10">
        <f>+'A) Base RI'!E193</f>
        <v>0</v>
      </c>
      <c r="I193" s="10">
        <f>+'A) Base RI'!F193</f>
        <v>0</v>
      </c>
      <c r="J193" s="10">
        <f>+'A) Base RI'!G193+'A) Base RI'!H193</f>
        <v>161901.69999999998</v>
      </c>
      <c r="K193" s="10">
        <f>+'A) Base RI'!I193</f>
        <v>109269.99</v>
      </c>
      <c r="L193" s="10">
        <f>+'A) Base RI'!J193</f>
        <v>62704.79</v>
      </c>
      <c r="M193" s="10">
        <f>+'A) Base RI'!K193</f>
        <v>5548</v>
      </c>
      <c r="N193" s="10">
        <f>+'A) Base RI'!Q193</f>
        <v>4417.63</v>
      </c>
      <c r="O193" s="10">
        <f t="shared" si="13"/>
        <v>267844.3</v>
      </c>
      <c r="P193" s="10">
        <f>+'A) Base RI'!L193</f>
        <v>267844.3</v>
      </c>
      <c r="Q193" s="36">
        <f>'A) Base RI'!AR193</f>
        <v>1</v>
      </c>
      <c r="R193" s="2">
        <f t="shared" si="14"/>
        <v>5268938.37</v>
      </c>
      <c r="S193" s="35">
        <f>+'A) Base RI'!AM193</f>
        <v>64</v>
      </c>
      <c r="T193" s="2">
        <f t="shared" si="15"/>
        <v>4995546.07</v>
      </c>
      <c r="U193" s="2">
        <f t="shared" si="16"/>
        <v>82327.162031250002</v>
      </c>
      <c r="V193" s="10">
        <f>+'A) Base RI'!O193</f>
        <v>287460.84999999998</v>
      </c>
      <c r="W193" s="10">
        <f>+'A) Base RI'!P193</f>
        <v>97715.6</v>
      </c>
      <c r="X193" s="10">
        <f>+'A) Base RI'!R193</f>
        <v>59593.45</v>
      </c>
      <c r="Y193" s="2">
        <f t="shared" si="17"/>
        <v>444769.89999999997</v>
      </c>
      <c r="Z193" s="10">
        <f>+'A) Base RI'!N193</f>
        <v>73600.649999999994</v>
      </c>
      <c r="AA193" s="10">
        <f>+'A) Base RI'!S193+'A) Base RI'!T193</f>
        <v>1067.4000000000001</v>
      </c>
      <c r="AB193" s="10">
        <f>+'A) Base RI'!U193</f>
        <v>5280</v>
      </c>
      <c r="AC193" s="10">
        <f>+'A) Base RI'!V193</f>
        <v>0</v>
      </c>
      <c r="AD193" s="10">
        <f>+'A) Base RI'!W193</f>
        <v>0</v>
      </c>
      <c r="AE193" s="10">
        <f>+'A) Base RI'!Y193</f>
        <v>0</v>
      </c>
      <c r="AF193" s="10">
        <f>+'A) Base RI'!Z193</f>
        <v>0</v>
      </c>
      <c r="AG193" s="10">
        <f>+'A) Base RI'!AA193</f>
        <v>0</v>
      </c>
      <c r="AH193" s="10">
        <f>+'A) Base RI'!AB193</f>
        <v>0</v>
      </c>
      <c r="AI193" s="10">
        <f>+'A) Base RI'!AC193</f>
        <v>99615.3</v>
      </c>
      <c r="AJ193" s="10">
        <f>+'A) Base RI'!AD193</f>
        <v>0</v>
      </c>
      <c r="AK193" s="10">
        <f>+'A) Base RI'!AE193</f>
        <v>0</v>
      </c>
      <c r="AL193" s="10">
        <f>+'A) Base RI'!AF193</f>
        <v>0</v>
      </c>
      <c r="AM193" s="10">
        <f>+'A) Base RI'!AG193</f>
        <v>398.25</v>
      </c>
      <c r="AN193" s="10">
        <f>+'A) Base RI'!AH193</f>
        <v>31340.95</v>
      </c>
      <c r="AO193" s="10">
        <f>+'A) Base RI'!AI193</f>
        <v>0</v>
      </c>
      <c r="AP193" s="10">
        <f>+'A) Base RI'!AJ193</f>
        <v>0</v>
      </c>
      <c r="AQ193" s="10">
        <f>+'A) Base RI'!AK193</f>
        <v>0</v>
      </c>
      <c r="AR193" s="10">
        <f>'A) Base RI'!AN193</f>
        <v>1161</v>
      </c>
    </row>
    <row r="194" spans="1:44" x14ac:dyDescent="0.25">
      <c r="A194" s="8">
        <f>'A) Base RI'!A194</f>
        <v>5715</v>
      </c>
      <c r="B194" s="34" t="str">
        <f>'A) Base RI'!B194</f>
        <v>Duillier</v>
      </c>
      <c r="C194" s="10">
        <f>'A) Base RI'!C194+'A) Base RI'!D194</f>
        <v>3553596.31</v>
      </c>
      <c r="D194" s="10">
        <f>'A) Base RI'!AO194</f>
        <v>-45487.27</v>
      </c>
      <c r="E194" s="33">
        <f>'A) Base RI'!AP194</f>
        <v>0</v>
      </c>
      <c r="F194" s="33">
        <f>'A) Base RI'!AQ194</f>
        <v>-3425.79</v>
      </c>
      <c r="G194" s="2">
        <f t="shared" si="12"/>
        <v>3504683.25</v>
      </c>
      <c r="H194" s="10">
        <f>+'A) Base RI'!E194</f>
        <v>0</v>
      </c>
      <c r="I194" s="10">
        <f>+'A) Base RI'!F194</f>
        <v>0</v>
      </c>
      <c r="J194" s="10">
        <f>+'A) Base RI'!G194+'A) Base RI'!H194</f>
        <v>43758.3</v>
      </c>
      <c r="K194" s="10">
        <f>+'A) Base RI'!I194</f>
        <v>32824.75</v>
      </c>
      <c r="L194" s="10">
        <f>+'A) Base RI'!J194</f>
        <v>81903.16</v>
      </c>
      <c r="M194" s="10">
        <f>+'A) Base RI'!K194</f>
        <v>4225</v>
      </c>
      <c r="N194" s="10">
        <f>+'A) Base RI'!Q194</f>
        <v>539.71</v>
      </c>
      <c r="O194" s="10">
        <f t="shared" si="13"/>
        <v>251456.85</v>
      </c>
      <c r="P194" s="10">
        <f>+'A) Base RI'!L194</f>
        <v>251456.85</v>
      </c>
      <c r="Q194" s="36">
        <f>'A) Base RI'!AR194</f>
        <v>1</v>
      </c>
      <c r="R194" s="2">
        <f t="shared" si="14"/>
        <v>3919391.02</v>
      </c>
      <c r="S194" s="35">
        <f>+'A) Base RI'!AM194</f>
        <v>66</v>
      </c>
      <c r="T194" s="2">
        <f t="shared" si="15"/>
        <v>3663709.17</v>
      </c>
      <c r="U194" s="2">
        <f t="shared" si="16"/>
        <v>59384.712424242425</v>
      </c>
      <c r="V194" s="10">
        <f>+'A) Base RI'!O194</f>
        <v>0</v>
      </c>
      <c r="W194" s="10">
        <f>+'A) Base RI'!P194</f>
        <v>81294.399999999994</v>
      </c>
      <c r="X194" s="10">
        <f>+'A) Base RI'!R194</f>
        <v>43048.9</v>
      </c>
      <c r="Y194" s="2">
        <f t="shared" si="17"/>
        <v>124343.29999999999</v>
      </c>
      <c r="Z194" s="10">
        <f>+'A) Base RI'!N194</f>
        <v>38202.800000000003</v>
      </c>
      <c r="AA194" s="10">
        <f>+'A) Base RI'!S194+'A) Base RI'!T194</f>
        <v>0</v>
      </c>
      <c r="AB194" s="10">
        <f>+'A) Base RI'!U194</f>
        <v>6500</v>
      </c>
      <c r="AC194" s="10">
        <f>+'A) Base RI'!V194</f>
        <v>0</v>
      </c>
      <c r="AD194" s="10">
        <f>+'A) Base RI'!W194</f>
        <v>0</v>
      </c>
      <c r="AE194" s="10">
        <f>+'A) Base RI'!Y194</f>
        <v>0</v>
      </c>
      <c r="AF194" s="10">
        <f>+'A) Base RI'!Z194</f>
        <v>0</v>
      </c>
      <c r="AG194" s="10">
        <f>+'A) Base RI'!AA194</f>
        <v>108754.52</v>
      </c>
      <c r="AH194" s="10">
        <f>+'A) Base RI'!AB194</f>
        <v>0</v>
      </c>
      <c r="AI194" s="10">
        <f>+'A) Base RI'!AC194</f>
        <v>106305.65</v>
      </c>
      <c r="AJ194" s="10">
        <f>+'A) Base RI'!AD194</f>
        <v>48894.9</v>
      </c>
      <c r="AK194" s="10">
        <f>+'A) Base RI'!AE194</f>
        <v>27520.15</v>
      </c>
      <c r="AL194" s="10">
        <f>+'A) Base RI'!AF194</f>
        <v>0</v>
      </c>
      <c r="AM194" s="10">
        <f>+'A) Base RI'!AG194</f>
        <v>7890</v>
      </c>
      <c r="AN194" s="10">
        <f>+'A) Base RI'!AH194</f>
        <v>38843.94</v>
      </c>
      <c r="AO194" s="10">
        <f>+'A) Base RI'!AI194</f>
        <v>0</v>
      </c>
      <c r="AP194" s="10">
        <f>+'A) Base RI'!AJ194</f>
        <v>0</v>
      </c>
      <c r="AQ194" s="10">
        <f>+'A) Base RI'!AK194</f>
        <v>0</v>
      </c>
      <c r="AR194" s="10">
        <f>'A) Base RI'!AN194</f>
        <v>1078</v>
      </c>
    </row>
    <row r="195" spans="1:44" x14ac:dyDescent="0.25">
      <c r="A195" s="8">
        <f>'A) Base RI'!A195</f>
        <v>5716</v>
      </c>
      <c r="B195" s="34" t="str">
        <f>'A) Base RI'!B195</f>
        <v>Eysins</v>
      </c>
      <c r="C195" s="10">
        <f>'A) Base RI'!C195+'A) Base RI'!D195</f>
        <v>4249890.0599999996</v>
      </c>
      <c r="D195" s="10">
        <f>'A) Base RI'!AO195</f>
        <v>-28247.25</v>
      </c>
      <c r="E195" s="33">
        <f>'A) Base RI'!AP195</f>
        <v>0</v>
      </c>
      <c r="F195" s="33">
        <f>'A) Base RI'!AQ195</f>
        <v>-188.49</v>
      </c>
      <c r="G195" s="2">
        <f t="shared" si="12"/>
        <v>4221454.3199999994</v>
      </c>
      <c r="H195" s="10">
        <f>+'A) Base RI'!E195</f>
        <v>0</v>
      </c>
      <c r="I195" s="10">
        <f>+'A) Base RI'!F195</f>
        <v>0</v>
      </c>
      <c r="J195" s="10">
        <f>+'A) Base RI'!G195+'A) Base RI'!H195</f>
        <v>3367495.85</v>
      </c>
      <c r="K195" s="10">
        <f>+'A) Base RI'!I195</f>
        <v>24162</v>
      </c>
      <c r="L195" s="10">
        <f>+'A) Base RI'!J195</f>
        <v>75068.539999999994</v>
      </c>
      <c r="M195" s="10">
        <f>+'A) Base RI'!K195</f>
        <v>10978.5</v>
      </c>
      <c r="N195" s="10">
        <f>+'A) Base RI'!Q195</f>
        <v>2319.41</v>
      </c>
      <c r="O195" s="10">
        <f t="shared" si="13"/>
        <v>597356.30000000005</v>
      </c>
      <c r="P195" s="10">
        <f>+'A) Base RI'!L195</f>
        <v>597356.30000000005</v>
      </c>
      <c r="Q195" s="36">
        <f>'A) Base RI'!AR195</f>
        <v>1</v>
      </c>
      <c r="R195" s="2">
        <f t="shared" si="14"/>
        <v>8298834.9199999999</v>
      </c>
      <c r="S195" s="35">
        <f>+'A) Base RI'!AM195</f>
        <v>61</v>
      </c>
      <c r="T195" s="2">
        <f t="shared" si="15"/>
        <v>7690500.1200000001</v>
      </c>
      <c r="U195" s="2">
        <f t="shared" si="16"/>
        <v>136046.47409836066</v>
      </c>
      <c r="V195" s="10">
        <f>+'A) Base RI'!O195</f>
        <v>159.19999999999999</v>
      </c>
      <c r="W195" s="10">
        <f>+'A) Base RI'!P195</f>
        <v>332567.15000000002</v>
      </c>
      <c r="X195" s="10">
        <f>+'A) Base RI'!R195</f>
        <v>207672.3</v>
      </c>
      <c r="Y195" s="2">
        <f t="shared" si="17"/>
        <v>540398.65</v>
      </c>
      <c r="Z195" s="10">
        <f>+'A) Base RI'!N195</f>
        <v>704793.75</v>
      </c>
      <c r="AA195" s="10">
        <f>+'A) Base RI'!S195+'A) Base RI'!T195</f>
        <v>8217.4500000000007</v>
      </c>
      <c r="AB195" s="10">
        <f>+'A) Base RI'!U195</f>
        <v>7000</v>
      </c>
      <c r="AC195" s="10">
        <f>+'A) Base RI'!V195</f>
        <v>0</v>
      </c>
      <c r="AD195" s="10">
        <f>+'A) Base RI'!W195</f>
        <v>0</v>
      </c>
      <c r="AE195" s="10">
        <f>+'A) Base RI'!Y195</f>
        <v>128425.06</v>
      </c>
      <c r="AF195" s="10">
        <f>+'A) Base RI'!Z195</f>
        <v>0</v>
      </c>
      <c r="AG195" s="10">
        <f>+'A) Base RI'!AA195</f>
        <v>202695.34</v>
      </c>
      <c r="AH195" s="10">
        <f>+'A) Base RI'!AB195</f>
        <v>0</v>
      </c>
      <c r="AI195" s="10">
        <f>+'A) Base RI'!AC195</f>
        <v>108620.69</v>
      </c>
      <c r="AJ195" s="10">
        <f>+'A) Base RI'!AD195</f>
        <v>0</v>
      </c>
      <c r="AK195" s="10">
        <f>+'A) Base RI'!AE195</f>
        <v>0</v>
      </c>
      <c r="AL195" s="10">
        <f>+'A) Base RI'!AF195</f>
        <v>0</v>
      </c>
      <c r="AM195" s="10">
        <f>+'A) Base RI'!AG195</f>
        <v>0</v>
      </c>
      <c r="AN195" s="10">
        <f>+'A) Base RI'!AH195</f>
        <v>70164.850000000006</v>
      </c>
      <c r="AO195" s="10">
        <f>+'A) Base RI'!AI195</f>
        <v>0</v>
      </c>
      <c r="AP195" s="10">
        <f>+'A) Base RI'!AJ195</f>
        <v>0</v>
      </c>
      <c r="AQ195" s="10">
        <f>+'A) Base RI'!AK195</f>
        <v>0</v>
      </c>
      <c r="AR195" s="10">
        <f>'A) Base RI'!AN195</f>
        <v>1603</v>
      </c>
    </row>
    <row r="196" spans="1:44" x14ac:dyDescent="0.25">
      <c r="A196" s="8">
        <f>'A) Base RI'!A196</f>
        <v>5717</v>
      </c>
      <c r="B196" s="34" t="str">
        <f>'A) Base RI'!B196</f>
        <v>Founex</v>
      </c>
      <c r="C196" s="10">
        <f>'A) Base RI'!C196+'A) Base RI'!D196</f>
        <v>16614789.470000001</v>
      </c>
      <c r="D196" s="10">
        <f>'A) Base RI'!AO196</f>
        <v>-117758.51</v>
      </c>
      <c r="E196" s="33">
        <f>'A) Base RI'!AP196</f>
        <v>-1185.75</v>
      </c>
      <c r="F196" s="33">
        <f>'A) Base RI'!AQ196</f>
        <v>-8952.4699999999993</v>
      </c>
      <c r="G196" s="2">
        <f t="shared" si="12"/>
        <v>16486892.74</v>
      </c>
      <c r="H196" s="10">
        <f>+'A) Base RI'!E196</f>
        <v>0</v>
      </c>
      <c r="I196" s="10">
        <f>+'A) Base RI'!F196</f>
        <v>0</v>
      </c>
      <c r="J196" s="10">
        <f>+'A) Base RI'!G196+'A) Base RI'!H196</f>
        <v>272803.84999999998</v>
      </c>
      <c r="K196" s="10">
        <f>+'A) Base RI'!I196</f>
        <v>802873.74</v>
      </c>
      <c r="L196" s="10">
        <f>+'A) Base RI'!J196</f>
        <v>629280.14</v>
      </c>
      <c r="M196" s="10">
        <f>+'A) Base RI'!K196</f>
        <v>44021.5</v>
      </c>
      <c r="N196" s="10">
        <f>+'A) Base RI'!Q196</f>
        <v>62352.84</v>
      </c>
      <c r="O196" s="10">
        <f t="shared" si="13"/>
        <v>1204093.55</v>
      </c>
      <c r="P196" s="10">
        <f>+'A) Base RI'!L196</f>
        <v>1204093.55</v>
      </c>
      <c r="Q196" s="36">
        <f>'A) Base RI'!AR196</f>
        <v>1</v>
      </c>
      <c r="R196" s="2">
        <f t="shared" si="14"/>
        <v>19502318.359999999</v>
      </c>
      <c r="S196" s="35">
        <f>+'A) Base RI'!AM196</f>
        <v>57</v>
      </c>
      <c r="T196" s="2">
        <f t="shared" si="15"/>
        <v>18254203.309999999</v>
      </c>
      <c r="U196" s="2">
        <f t="shared" si="16"/>
        <v>342145.93614035088</v>
      </c>
      <c r="V196" s="10">
        <f>+'A) Base RI'!O196</f>
        <v>464933.3</v>
      </c>
      <c r="W196" s="10">
        <f>+'A) Base RI'!P196</f>
        <v>762892.15</v>
      </c>
      <c r="X196" s="10">
        <f>+'A) Base RI'!R196</f>
        <v>882542.25</v>
      </c>
      <c r="Y196" s="2">
        <f t="shared" si="17"/>
        <v>2110367.7000000002</v>
      </c>
      <c r="Z196" s="10">
        <f>+'A) Base RI'!N196</f>
        <v>248363.8</v>
      </c>
      <c r="AA196" s="10">
        <f>+'A) Base RI'!S196+'A) Base RI'!T196</f>
        <v>1150</v>
      </c>
      <c r="AB196" s="10">
        <f>+'A) Base RI'!U196</f>
        <v>18795</v>
      </c>
      <c r="AC196" s="10">
        <f>+'A) Base RI'!V196</f>
        <v>0</v>
      </c>
      <c r="AD196" s="10">
        <f>+'A) Base RI'!W196</f>
        <v>0</v>
      </c>
      <c r="AE196" s="10">
        <f>+'A) Base RI'!Y196</f>
        <v>0</v>
      </c>
      <c r="AF196" s="10">
        <f>+'A) Base RI'!Z196</f>
        <v>0</v>
      </c>
      <c r="AG196" s="10">
        <f>+'A) Base RI'!AA196</f>
        <v>0</v>
      </c>
      <c r="AH196" s="10">
        <f>+'A) Base RI'!AB196</f>
        <v>0</v>
      </c>
      <c r="AI196" s="10">
        <f>+'A) Base RI'!AC196</f>
        <v>496378.23</v>
      </c>
      <c r="AJ196" s="10">
        <f>+'A) Base RI'!AD196</f>
        <v>0</v>
      </c>
      <c r="AK196" s="10">
        <f>+'A) Base RI'!AE196</f>
        <v>0</v>
      </c>
      <c r="AL196" s="10">
        <f>+'A) Base RI'!AF196</f>
        <v>0</v>
      </c>
      <c r="AM196" s="10">
        <f>+'A) Base RI'!AG196</f>
        <v>3366</v>
      </c>
      <c r="AN196" s="10">
        <f>+'A) Base RI'!AH196</f>
        <v>0</v>
      </c>
      <c r="AO196" s="10">
        <f>+'A) Base RI'!AI196</f>
        <v>0</v>
      </c>
      <c r="AP196" s="10">
        <f>+'A) Base RI'!AJ196</f>
        <v>0</v>
      </c>
      <c r="AQ196" s="10">
        <f>+'A) Base RI'!AK196</f>
        <v>0</v>
      </c>
      <c r="AR196" s="10">
        <f>'A) Base RI'!AN196</f>
        <v>3788</v>
      </c>
    </row>
    <row r="197" spans="1:44" x14ac:dyDescent="0.25">
      <c r="A197" s="8">
        <f>'A) Base RI'!A197</f>
        <v>5718</v>
      </c>
      <c r="B197" s="34" t="str">
        <f>'A) Base RI'!B197</f>
        <v>Genolier</v>
      </c>
      <c r="C197" s="10">
        <f>'A) Base RI'!C197+'A) Base RI'!D197</f>
        <v>8584774.6400000006</v>
      </c>
      <c r="D197" s="10">
        <f>'A) Base RI'!AO197</f>
        <v>-22801.49</v>
      </c>
      <c r="E197" s="33">
        <f>'A) Base RI'!AP197</f>
        <v>0</v>
      </c>
      <c r="F197" s="33">
        <f>'A) Base RI'!AQ197</f>
        <v>-4238.03</v>
      </c>
      <c r="G197" s="2">
        <f t="shared" si="12"/>
        <v>8557735.120000001</v>
      </c>
      <c r="H197" s="10">
        <f>+'A) Base RI'!E197</f>
        <v>0</v>
      </c>
      <c r="I197" s="10">
        <f>+'A) Base RI'!F197</f>
        <v>0</v>
      </c>
      <c r="J197" s="10">
        <f>+'A) Base RI'!G197+'A) Base RI'!H197</f>
        <v>587509.85</v>
      </c>
      <c r="K197" s="10">
        <f>+'A) Base RI'!I197</f>
        <v>107936.74</v>
      </c>
      <c r="L197" s="10">
        <f>+'A) Base RI'!J197</f>
        <v>64834.33</v>
      </c>
      <c r="M197" s="10">
        <f>+'A) Base RI'!K197</f>
        <v>25177.3</v>
      </c>
      <c r="N197" s="10">
        <f>+'A) Base RI'!Q197</f>
        <v>630.24</v>
      </c>
      <c r="O197" s="10">
        <f t="shared" si="13"/>
        <v>587735.80000000005</v>
      </c>
      <c r="P197" s="10">
        <f>+'A) Base RI'!L197</f>
        <v>587735.80000000005</v>
      </c>
      <c r="Q197" s="36">
        <f>'A) Base RI'!AR197</f>
        <v>1</v>
      </c>
      <c r="R197" s="2">
        <f t="shared" si="14"/>
        <v>9931559.3800000027</v>
      </c>
      <c r="S197" s="35">
        <f>+'A) Base RI'!AM197</f>
        <v>55</v>
      </c>
      <c r="T197" s="2">
        <f t="shared" si="15"/>
        <v>9318646.2800000012</v>
      </c>
      <c r="U197" s="2">
        <f t="shared" si="16"/>
        <v>180573.80690909096</v>
      </c>
      <c r="V197" s="10">
        <f>+'A) Base RI'!O197</f>
        <v>463.5</v>
      </c>
      <c r="W197" s="10">
        <f>+'A) Base RI'!P197</f>
        <v>456794.3</v>
      </c>
      <c r="X197" s="10">
        <f>+'A) Base RI'!R197</f>
        <v>381370.7</v>
      </c>
      <c r="Y197" s="2">
        <f t="shared" si="17"/>
        <v>838628.5</v>
      </c>
      <c r="Z197" s="10">
        <f>+'A) Base RI'!N197</f>
        <v>303990.40000000002</v>
      </c>
      <c r="AA197" s="10">
        <f>+'A) Base RI'!S197+'A) Base RI'!T197</f>
        <v>50</v>
      </c>
      <c r="AB197" s="10">
        <f>+'A) Base RI'!U197</f>
        <v>6150</v>
      </c>
      <c r="AC197" s="10">
        <f>+'A) Base RI'!V197</f>
        <v>0</v>
      </c>
      <c r="AD197" s="10">
        <f>+'A) Base RI'!W197</f>
        <v>0</v>
      </c>
      <c r="AE197" s="10">
        <f>+'A) Base RI'!Y197</f>
        <v>51048.35</v>
      </c>
      <c r="AF197" s="10">
        <f>+'A) Base RI'!Z197</f>
        <v>0</v>
      </c>
      <c r="AG197" s="10">
        <f>+'A) Base RI'!AA197</f>
        <v>303261.95</v>
      </c>
      <c r="AH197" s="10">
        <f>+'A) Base RI'!AB197</f>
        <v>0</v>
      </c>
      <c r="AI197" s="10">
        <f>+'A) Base RI'!AC197</f>
        <v>189791.2</v>
      </c>
      <c r="AJ197" s="10">
        <f>+'A) Base RI'!AD197</f>
        <v>69184.2</v>
      </c>
      <c r="AK197" s="10">
        <f>+'A) Base RI'!AE197</f>
        <v>0</v>
      </c>
      <c r="AL197" s="10">
        <f>+'A) Base RI'!AF197</f>
        <v>0</v>
      </c>
      <c r="AM197" s="10">
        <f>+'A) Base RI'!AG197</f>
        <v>18478.099999999999</v>
      </c>
      <c r="AN197" s="10">
        <f>+'A) Base RI'!AH197</f>
        <v>0</v>
      </c>
      <c r="AO197" s="10">
        <f>+'A) Base RI'!AI197</f>
        <v>0</v>
      </c>
      <c r="AP197" s="10">
        <f>+'A) Base RI'!AJ197</f>
        <v>0</v>
      </c>
      <c r="AQ197" s="10">
        <f>+'A) Base RI'!AK197</f>
        <v>0</v>
      </c>
      <c r="AR197" s="10">
        <f>'A) Base RI'!AN197</f>
        <v>1945</v>
      </c>
    </row>
    <row r="198" spans="1:44" x14ac:dyDescent="0.25">
      <c r="A198" s="8">
        <f>'A) Base RI'!A198</f>
        <v>5719</v>
      </c>
      <c r="B198" s="34" t="str">
        <f>'A) Base RI'!B198</f>
        <v>Gingins</v>
      </c>
      <c r="C198" s="10">
        <f>'A) Base RI'!C198+'A) Base RI'!D198</f>
        <v>6602846.2799999993</v>
      </c>
      <c r="D198" s="10">
        <f>'A) Base RI'!AO198</f>
        <v>-8515.81</v>
      </c>
      <c r="E198" s="33">
        <f>'A) Base RI'!AP198</f>
        <v>0</v>
      </c>
      <c r="F198" s="33">
        <f>'A) Base RI'!AQ198</f>
        <v>-1858.15</v>
      </c>
      <c r="G198" s="2">
        <f t="shared" si="12"/>
        <v>6592472.3199999994</v>
      </c>
      <c r="H198" s="10">
        <f>+'A) Base RI'!E198</f>
        <v>0</v>
      </c>
      <c r="I198" s="10">
        <f>+'A) Base RI'!F198</f>
        <v>0</v>
      </c>
      <c r="J198" s="10">
        <f>+'A) Base RI'!G198+'A) Base RI'!H198</f>
        <v>90165.1</v>
      </c>
      <c r="K198" s="10">
        <f>+'A) Base RI'!I198</f>
        <v>371761.22</v>
      </c>
      <c r="L198" s="10">
        <f>+'A) Base RI'!J198</f>
        <v>71022.289999999994</v>
      </c>
      <c r="M198" s="10">
        <f>+'A) Base RI'!K198</f>
        <v>3649.35</v>
      </c>
      <c r="N198" s="10">
        <f>+'A) Base RI'!Q198</f>
        <v>2452.5500000000002</v>
      </c>
      <c r="O198" s="10">
        <f t="shared" si="13"/>
        <v>362908.41666666669</v>
      </c>
      <c r="P198" s="10">
        <f>+'A) Base RI'!L198</f>
        <v>217745.05</v>
      </c>
      <c r="Q198" s="36">
        <f>'A) Base RI'!AR198</f>
        <v>0.6</v>
      </c>
      <c r="R198" s="2">
        <f t="shared" si="14"/>
        <v>7494431.2466666652</v>
      </c>
      <c r="S198" s="35">
        <f>+'A) Base RI'!AM198</f>
        <v>57</v>
      </c>
      <c r="T198" s="2">
        <f t="shared" si="15"/>
        <v>7127873.4799999986</v>
      </c>
      <c r="U198" s="2">
        <f t="shared" si="16"/>
        <v>131481.24994152045</v>
      </c>
      <c r="V198" s="10">
        <f>+'A) Base RI'!O198</f>
        <v>76027.199999999997</v>
      </c>
      <c r="W198" s="10">
        <f>+'A) Base RI'!P198</f>
        <v>247370</v>
      </c>
      <c r="X198" s="10">
        <f>+'A) Base RI'!R198</f>
        <v>397289.9</v>
      </c>
      <c r="Y198" s="2">
        <f t="shared" si="17"/>
        <v>720687.10000000009</v>
      </c>
      <c r="Z198" s="10">
        <f>+'A) Base RI'!N198</f>
        <v>83648.25</v>
      </c>
      <c r="AA198" s="10">
        <f>+'A) Base RI'!S198+'A) Base RI'!T198</f>
        <v>0</v>
      </c>
      <c r="AB198" s="10">
        <f>+'A) Base RI'!U198</f>
        <v>13850</v>
      </c>
      <c r="AC198" s="10">
        <f>+'A) Base RI'!V198</f>
        <v>0</v>
      </c>
      <c r="AD198" s="10">
        <f>+'A) Base RI'!W198</f>
        <v>0</v>
      </c>
      <c r="AE198" s="10">
        <f>+'A) Base RI'!Y198</f>
        <v>38640</v>
      </c>
      <c r="AF198" s="10">
        <f>+'A) Base RI'!Z198</f>
        <v>0</v>
      </c>
      <c r="AG198" s="10">
        <f>+'A) Base RI'!AA198</f>
        <v>76008.95</v>
      </c>
      <c r="AH198" s="10">
        <f>+'A) Base RI'!AB198</f>
        <v>0</v>
      </c>
      <c r="AI198" s="10">
        <f>+'A) Base RI'!AC198</f>
        <v>92776.88</v>
      </c>
      <c r="AJ198" s="10">
        <f>+'A) Base RI'!AD198</f>
        <v>44200</v>
      </c>
      <c r="AK198" s="10">
        <f>+'A) Base RI'!AE198</f>
        <v>0</v>
      </c>
      <c r="AL198" s="10">
        <f>+'A) Base RI'!AF198</f>
        <v>0</v>
      </c>
      <c r="AM198" s="10">
        <f>+'A) Base RI'!AG198</f>
        <v>0</v>
      </c>
      <c r="AN198" s="10">
        <f>+'A) Base RI'!AH198</f>
        <v>0</v>
      </c>
      <c r="AO198" s="10">
        <f>+'A) Base RI'!AI198</f>
        <v>0</v>
      </c>
      <c r="AP198" s="10">
        <f>+'A) Base RI'!AJ198</f>
        <v>0</v>
      </c>
      <c r="AQ198" s="10">
        <f>+'A) Base RI'!AK198</f>
        <v>0</v>
      </c>
      <c r="AR198" s="10">
        <f>'A) Base RI'!AN198</f>
        <v>1212</v>
      </c>
    </row>
    <row r="199" spans="1:44" x14ac:dyDescent="0.25">
      <c r="A199" s="8">
        <f>'A) Base RI'!A199</f>
        <v>5720</v>
      </c>
      <c r="B199" s="34" t="str">
        <f>'A) Base RI'!B199</f>
        <v>Givrins</v>
      </c>
      <c r="C199" s="10">
        <f>'A) Base RI'!C199+'A) Base RI'!D199</f>
        <v>3802851.87</v>
      </c>
      <c r="D199" s="10">
        <f>'A) Base RI'!AO199</f>
        <v>-16091.93</v>
      </c>
      <c r="E199" s="33">
        <f>'A) Base RI'!AP199</f>
        <v>0</v>
      </c>
      <c r="F199" s="33">
        <f>'A) Base RI'!AQ199</f>
        <v>-2511.79</v>
      </c>
      <c r="G199" s="2">
        <f t="shared" si="12"/>
        <v>3784248.15</v>
      </c>
      <c r="H199" s="10">
        <f>+'A) Base RI'!E199</f>
        <v>0</v>
      </c>
      <c r="I199" s="10">
        <f>+'A) Base RI'!F199</f>
        <v>0</v>
      </c>
      <c r="J199" s="10">
        <f>+'A) Base RI'!G199+'A) Base RI'!H199</f>
        <v>29822.799999999999</v>
      </c>
      <c r="K199" s="10">
        <f>+'A) Base RI'!I199</f>
        <v>315860.08</v>
      </c>
      <c r="L199" s="10">
        <f>+'A) Base RI'!J199</f>
        <v>7532.78</v>
      </c>
      <c r="M199" s="10">
        <f>+'A) Base RI'!K199</f>
        <v>0</v>
      </c>
      <c r="N199" s="10">
        <f>+'A) Base RI'!Q199</f>
        <v>-177.75</v>
      </c>
      <c r="O199" s="10">
        <f t="shared" si="13"/>
        <v>283270.22222222225</v>
      </c>
      <c r="P199" s="10">
        <f>+'A) Base RI'!L199</f>
        <v>254943.2</v>
      </c>
      <c r="Q199" s="36">
        <f>'A) Base RI'!AR199</f>
        <v>0.9</v>
      </c>
      <c r="R199" s="2">
        <f t="shared" si="14"/>
        <v>4420556.2822222216</v>
      </c>
      <c r="S199" s="35">
        <f>+'A) Base RI'!AM199</f>
        <v>61</v>
      </c>
      <c r="T199" s="2">
        <f t="shared" si="15"/>
        <v>4137286.0599999996</v>
      </c>
      <c r="U199" s="2">
        <f t="shared" si="16"/>
        <v>72468.135774134775</v>
      </c>
      <c r="V199" s="10">
        <f>+'A) Base RI'!O199</f>
        <v>0</v>
      </c>
      <c r="W199" s="10">
        <f>+'A) Base RI'!P199</f>
        <v>100346.2</v>
      </c>
      <c r="X199" s="10">
        <f>+'A) Base RI'!R199</f>
        <v>50776.35</v>
      </c>
      <c r="Y199" s="2">
        <f t="shared" si="17"/>
        <v>151122.54999999999</v>
      </c>
      <c r="Z199" s="10">
        <f>+'A) Base RI'!N199</f>
        <v>8532.35</v>
      </c>
      <c r="AA199" s="10">
        <f>+'A) Base RI'!S199+'A) Base RI'!T199</f>
        <v>0</v>
      </c>
      <c r="AB199" s="10">
        <f>+'A) Base RI'!U199</f>
        <v>6840</v>
      </c>
      <c r="AC199" s="10">
        <f>+'A) Base RI'!V199</f>
        <v>0</v>
      </c>
      <c r="AD199" s="10">
        <f>+'A) Base RI'!W199</f>
        <v>0</v>
      </c>
      <c r="AE199" s="10">
        <f>+'A) Base RI'!Y199</f>
        <v>91866.79</v>
      </c>
      <c r="AF199" s="10">
        <f>+'A) Base RI'!Z199</f>
        <v>0</v>
      </c>
      <c r="AG199" s="10">
        <f>+'A) Base RI'!AA199</f>
        <v>142267.25</v>
      </c>
      <c r="AH199" s="10">
        <f>+'A) Base RI'!AB199</f>
        <v>0</v>
      </c>
      <c r="AI199" s="10">
        <f>+'A) Base RI'!AC199</f>
        <v>58613.2</v>
      </c>
      <c r="AJ199" s="10">
        <f>+'A) Base RI'!AD199</f>
        <v>107411.75</v>
      </c>
      <c r="AK199" s="10">
        <f>+'A) Base RI'!AE199</f>
        <v>0</v>
      </c>
      <c r="AL199" s="10">
        <f>+'A) Base RI'!AF199</f>
        <v>0</v>
      </c>
      <c r="AM199" s="10">
        <f>+'A) Base RI'!AG199</f>
        <v>2405</v>
      </c>
      <c r="AN199" s="10">
        <f>+'A) Base RI'!AH199</f>
        <v>0</v>
      </c>
      <c r="AO199" s="10">
        <f>+'A) Base RI'!AI199</f>
        <v>0</v>
      </c>
      <c r="AP199" s="10">
        <f>+'A) Base RI'!AJ199</f>
        <v>0</v>
      </c>
      <c r="AQ199" s="10">
        <f>+'A) Base RI'!AK199</f>
        <v>0</v>
      </c>
      <c r="AR199" s="10">
        <f>'A) Base RI'!AN199</f>
        <v>995</v>
      </c>
    </row>
    <row r="200" spans="1:44" x14ac:dyDescent="0.25">
      <c r="A200" s="8">
        <f>'A) Base RI'!A200</f>
        <v>5721</v>
      </c>
      <c r="B200" s="34" t="str">
        <f>'A) Base RI'!B200</f>
        <v>Gland</v>
      </c>
      <c r="C200" s="10">
        <f>'A) Base RI'!C200+'A) Base RI'!D200</f>
        <v>30573564.239999998</v>
      </c>
      <c r="D200" s="10">
        <f>'A) Base RI'!AO200</f>
        <v>-414955.23</v>
      </c>
      <c r="E200" s="33">
        <f>'A) Base RI'!AP200</f>
        <v>0</v>
      </c>
      <c r="F200" s="33">
        <f>'A) Base RI'!AQ200</f>
        <v>-22670.33</v>
      </c>
      <c r="G200" s="2">
        <f t="shared" ref="G200:G263" si="18">SUM(C200:F200)</f>
        <v>30135938.68</v>
      </c>
      <c r="H200" s="10">
        <f>+'A) Base RI'!E200</f>
        <v>0</v>
      </c>
      <c r="I200" s="10">
        <f>+'A) Base RI'!F200</f>
        <v>0</v>
      </c>
      <c r="J200" s="10">
        <f>+'A) Base RI'!G200+'A) Base RI'!H200</f>
        <v>2195685.15</v>
      </c>
      <c r="K200" s="10">
        <f>+'A) Base RI'!I200</f>
        <v>1039882.68</v>
      </c>
      <c r="L200" s="10">
        <f>+'A) Base RI'!J200</f>
        <v>1169763.92</v>
      </c>
      <c r="M200" s="10">
        <f>+'A) Base RI'!K200</f>
        <v>348268.25</v>
      </c>
      <c r="N200" s="10">
        <f>+'A) Base RI'!Q200</f>
        <v>125418.89</v>
      </c>
      <c r="O200" s="10">
        <f t="shared" ref="O200:O263" si="19">(P200/Q200)*1</f>
        <v>2606785</v>
      </c>
      <c r="P200" s="10">
        <f>+'A) Base RI'!L200</f>
        <v>2606785</v>
      </c>
      <c r="Q200" s="36">
        <f>'A) Base RI'!AR200</f>
        <v>1</v>
      </c>
      <c r="R200" s="2">
        <f t="shared" ref="R200:R263" si="20">SUM(G200:O200)</f>
        <v>37621742.57</v>
      </c>
      <c r="S200" s="35">
        <f>+'A) Base RI'!AM200</f>
        <v>62.5</v>
      </c>
      <c r="T200" s="2">
        <f t="shared" ref="T200:T263" si="21">(G200+H200+J200+K200+L200+N200)</f>
        <v>34666689.32</v>
      </c>
      <c r="U200" s="2">
        <f t="shared" ref="U200:U263" si="22">R200/S200</f>
        <v>601947.88112000003</v>
      </c>
      <c r="V200" s="10">
        <f>+'A) Base RI'!O200</f>
        <v>2612812.9</v>
      </c>
      <c r="W200" s="10">
        <f>+'A) Base RI'!P200</f>
        <v>2093957.65</v>
      </c>
      <c r="X200" s="10">
        <f>+'A) Base RI'!R200</f>
        <v>2165122.5499999998</v>
      </c>
      <c r="Y200" s="2">
        <f t="shared" ref="Y200:Y263" si="23">SUM(V200:X200)</f>
        <v>6871893.0999999996</v>
      </c>
      <c r="Z200" s="10">
        <f>+'A) Base RI'!N200</f>
        <v>1569790.75</v>
      </c>
      <c r="AA200" s="10">
        <f>+'A) Base RI'!S200+'A) Base RI'!T200</f>
        <v>0</v>
      </c>
      <c r="AB200" s="10">
        <f>+'A) Base RI'!U200</f>
        <v>60550</v>
      </c>
      <c r="AC200" s="10">
        <f>+'A) Base RI'!V200</f>
        <v>0</v>
      </c>
      <c r="AD200" s="10">
        <f>+'A) Base RI'!W200</f>
        <v>0</v>
      </c>
      <c r="AE200" s="10">
        <f>+'A) Base RI'!Y200</f>
        <v>124107.3</v>
      </c>
      <c r="AF200" s="10">
        <f>+'A) Base RI'!Z200</f>
        <v>0</v>
      </c>
      <c r="AG200" s="10">
        <f>+'A) Base RI'!AA200</f>
        <v>1119443.3999999999</v>
      </c>
      <c r="AH200" s="10">
        <f>+'A) Base RI'!AB200</f>
        <v>0</v>
      </c>
      <c r="AI200" s="10">
        <f>+'A) Base RI'!AC200</f>
        <v>1563586.4</v>
      </c>
      <c r="AJ200" s="10">
        <f>+'A) Base RI'!AD200</f>
        <v>49642.9</v>
      </c>
      <c r="AK200" s="10">
        <f>+'A) Base RI'!AE200</f>
        <v>0</v>
      </c>
      <c r="AL200" s="10">
        <f>+'A) Base RI'!AF200</f>
        <v>0</v>
      </c>
      <c r="AM200" s="10">
        <f>+'A) Base RI'!AG200</f>
        <v>51058</v>
      </c>
      <c r="AN200" s="10">
        <f>+'A) Base RI'!AH200</f>
        <v>366315.7</v>
      </c>
      <c r="AO200" s="10">
        <f>+'A) Base RI'!AI200</f>
        <v>209068.32</v>
      </c>
      <c r="AP200" s="10">
        <f>+'A) Base RI'!AJ200</f>
        <v>366315.7</v>
      </c>
      <c r="AQ200" s="10">
        <f>+'A) Base RI'!AK200</f>
        <v>261590.88</v>
      </c>
      <c r="AR200" s="10">
        <f>'A) Base RI'!AN200</f>
        <v>13081</v>
      </c>
    </row>
    <row r="201" spans="1:44" x14ac:dyDescent="0.25">
      <c r="A201" s="8">
        <f>'A) Base RI'!A201</f>
        <v>5722</v>
      </c>
      <c r="B201" s="34" t="str">
        <f>'A) Base RI'!B201</f>
        <v>Grens</v>
      </c>
      <c r="C201" s="10">
        <f>'A) Base RI'!C201+'A) Base RI'!D201</f>
        <v>1446295.62</v>
      </c>
      <c r="D201" s="10">
        <f>'A) Base RI'!AO201</f>
        <v>-991.35</v>
      </c>
      <c r="E201" s="33">
        <f>'A) Base RI'!AP201</f>
        <v>0</v>
      </c>
      <c r="F201" s="33">
        <f>'A) Base RI'!AQ201</f>
        <v>-273.72000000000003</v>
      </c>
      <c r="G201" s="2">
        <f t="shared" si="18"/>
        <v>1445030.55</v>
      </c>
      <c r="H201" s="10">
        <f>+'A) Base RI'!E201</f>
        <v>0</v>
      </c>
      <c r="I201" s="10">
        <f>+'A) Base RI'!F201</f>
        <v>0</v>
      </c>
      <c r="J201" s="10">
        <f>+'A) Base RI'!G201+'A) Base RI'!H201</f>
        <v>16548.55</v>
      </c>
      <c r="K201" s="10">
        <f>+'A) Base RI'!I201</f>
        <v>0</v>
      </c>
      <c r="L201" s="10">
        <f>+'A) Base RI'!J201</f>
        <v>20122.37</v>
      </c>
      <c r="M201" s="10">
        <f>+'A) Base RI'!K201</f>
        <v>5659</v>
      </c>
      <c r="N201" s="10">
        <f>+'A) Base RI'!Q201</f>
        <v>0</v>
      </c>
      <c r="O201" s="10">
        <f t="shared" si="19"/>
        <v>81582.100000000006</v>
      </c>
      <c r="P201" s="10">
        <f>+'A) Base RI'!L201</f>
        <v>81582.100000000006</v>
      </c>
      <c r="Q201" s="36">
        <f>'A) Base RI'!AR201</f>
        <v>1</v>
      </c>
      <c r="R201" s="2">
        <f t="shared" si="20"/>
        <v>1568942.5700000003</v>
      </c>
      <c r="S201" s="35">
        <f>+'A) Base RI'!AM201</f>
        <v>62</v>
      </c>
      <c r="T201" s="2">
        <f t="shared" si="21"/>
        <v>1481701.4700000002</v>
      </c>
      <c r="U201" s="2">
        <f t="shared" si="22"/>
        <v>25305.525322580648</v>
      </c>
      <c r="V201" s="10">
        <f>+'A) Base RI'!O201</f>
        <v>0</v>
      </c>
      <c r="W201" s="10">
        <f>+'A) Base RI'!P201</f>
        <v>27830</v>
      </c>
      <c r="X201" s="10">
        <f>+'A) Base RI'!R201</f>
        <v>10392</v>
      </c>
      <c r="Y201" s="2">
        <f t="shared" si="23"/>
        <v>38222</v>
      </c>
      <c r="Z201" s="10">
        <f>+'A) Base RI'!N201</f>
        <v>20573.2</v>
      </c>
      <c r="AA201" s="10">
        <f>+'A) Base RI'!S201+'A) Base RI'!T201</f>
        <v>0</v>
      </c>
      <c r="AB201" s="10">
        <f>+'A) Base RI'!U201</f>
        <v>1625</v>
      </c>
      <c r="AC201" s="10">
        <f>+'A) Base RI'!V201</f>
        <v>0</v>
      </c>
      <c r="AD201" s="10">
        <f>+'A) Base RI'!W201</f>
        <v>0</v>
      </c>
      <c r="AE201" s="10">
        <f>+'A) Base RI'!Y201</f>
        <v>0</v>
      </c>
      <c r="AF201" s="10">
        <f>+'A) Base RI'!Z201</f>
        <v>0</v>
      </c>
      <c r="AG201" s="10">
        <f>+'A) Base RI'!AA201</f>
        <v>42377.83</v>
      </c>
      <c r="AH201" s="10">
        <f>+'A) Base RI'!AB201</f>
        <v>0</v>
      </c>
      <c r="AI201" s="10">
        <f>+'A) Base RI'!AC201</f>
        <v>25583.3</v>
      </c>
      <c r="AJ201" s="10">
        <f>+'A) Base RI'!AD201</f>
        <v>0</v>
      </c>
      <c r="AK201" s="10">
        <f>+'A) Base RI'!AE201</f>
        <v>0</v>
      </c>
      <c r="AL201" s="10">
        <f>+'A) Base RI'!AF201</f>
        <v>0</v>
      </c>
      <c r="AM201" s="10">
        <f>+'A) Base RI'!AG201</f>
        <v>2000.25</v>
      </c>
      <c r="AN201" s="10">
        <f>+'A) Base RI'!AH201</f>
        <v>12139.05</v>
      </c>
      <c r="AO201" s="10">
        <f>+'A) Base RI'!AI201</f>
        <v>0</v>
      </c>
      <c r="AP201" s="10">
        <f>+'A) Base RI'!AJ201</f>
        <v>0</v>
      </c>
      <c r="AQ201" s="10">
        <f>+'A) Base RI'!AK201</f>
        <v>0</v>
      </c>
      <c r="AR201" s="10">
        <f>'A) Base RI'!AN201</f>
        <v>382</v>
      </c>
    </row>
    <row r="202" spans="1:44" x14ac:dyDescent="0.25">
      <c r="A202" s="8">
        <f>'A) Base RI'!A202</f>
        <v>5723</v>
      </c>
      <c r="B202" s="34" t="str">
        <f>'A) Base RI'!B202</f>
        <v>Mies</v>
      </c>
      <c r="C202" s="10">
        <f>'A) Base RI'!C202+'A) Base RI'!D202</f>
        <v>18904396.649999999</v>
      </c>
      <c r="D202" s="10">
        <f>'A) Base RI'!AO202</f>
        <v>-29866.6</v>
      </c>
      <c r="E202" s="33">
        <f>'A) Base RI'!AP202</f>
        <v>0</v>
      </c>
      <c r="F202" s="33">
        <f>'A) Base RI'!AQ202</f>
        <v>-5889.53</v>
      </c>
      <c r="G202" s="2">
        <f t="shared" si="18"/>
        <v>18868640.519999996</v>
      </c>
      <c r="H202" s="10">
        <f>+'A) Base RI'!E202</f>
        <v>0</v>
      </c>
      <c r="I202" s="10">
        <f>+'A) Base RI'!F202</f>
        <v>0</v>
      </c>
      <c r="J202" s="10">
        <f>+'A) Base RI'!G202+'A) Base RI'!H202</f>
        <v>314195.45</v>
      </c>
      <c r="K202" s="10">
        <f>+'A) Base RI'!I202</f>
        <v>1502752.41</v>
      </c>
      <c r="L202" s="10">
        <f>+'A) Base RI'!J202</f>
        <v>328953.32</v>
      </c>
      <c r="M202" s="10">
        <f>+'A) Base RI'!K202</f>
        <v>39998</v>
      </c>
      <c r="N202" s="10">
        <f>+'A) Base RI'!Q202</f>
        <v>3907.73</v>
      </c>
      <c r="O202" s="10">
        <f t="shared" si="19"/>
        <v>735562.2</v>
      </c>
      <c r="P202" s="10">
        <f>+'A) Base RI'!L202</f>
        <v>735562.2</v>
      </c>
      <c r="Q202" s="36">
        <f>'A) Base RI'!AR202</f>
        <v>1</v>
      </c>
      <c r="R202" s="2">
        <f t="shared" si="20"/>
        <v>21794009.629999995</v>
      </c>
      <c r="S202" s="35">
        <f>+'A) Base RI'!AM202</f>
        <v>49</v>
      </c>
      <c r="T202" s="2">
        <f t="shared" si="21"/>
        <v>21018449.429999996</v>
      </c>
      <c r="U202" s="2">
        <f t="shared" si="22"/>
        <v>444775.70673469378</v>
      </c>
      <c r="V202" s="10">
        <f>+'A) Base RI'!O202</f>
        <v>499105.8</v>
      </c>
      <c r="W202" s="10">
        <f>+'A) Base RI'!P202</f>
        <v>872196.4</v>
      </c>
      <c r="X202" s="10">
        <f>+'A) Base RI'!R202</f>
        <v>554106.44999999995</v>
      </c>
      <c r="Y202" s="2">
        <f t="shared" si="23"/>
        <v>1925408.65</v>
      </c>
      <c r="Z202" s="10">
        <f>+'A) Base RI'!N202</f>
        <v>123882.8</v>
      </c>
      <c r="AA202" s="10">
        <f>+'A) Base RI'!S202+'A) Base RI'!T202</f>
        <v>0</v>
      </c>
      <c r="AB202" s="10">
        <f>+'A) Base RI'!U202</f>
        <v>6850</v>
      </c>
      <c r="AC202" s="10">
        <f>+'A) Base RI'!V202</f>
        <v>0</v>
      </c>
      <c r="AD202" s="10">
        <f>+'A) Base RI'!W202</f>
        <v>0</v>
      </c>
      <c r="AE202" s="10">
        <f>+'A) Base RI'!Y202</f>
        <v>42771.199999999997</v>
      </c>
      <c r="AF202" s="10">
        <f>+'A) Base RI'!Z202</f>
        <v>0</v>
      </c>
      <c r="AG202" s="10">
        <f>+'A) Base RI'!AA202</f>
        <v>0</v>
      </c>
      <c r="AH202" s="10">
        <f>+'A) Base RI'!AB202</f>
        <v>0</v>
      </c>
      <c r="AI202" s="10">
        <f>+'A) Base RI'!AC202</f>
        <v>204865.21</v>
      </c>
      <c r="AJ202" s="10">
        <f>+'A) Base RI'!AD202</f>
        <v>0</v>
      </c>
      <c r="AK202" s="10">
        <f>+'A) Base RI'!AE202</f>
        <v>0</v>
      </c>
      <c r="AL202" s="10">
        <f>+'A) Base RI'!AF202</f>
        <v>0</v>
      </c>
      <c r="AM202" s="10">
        <f>+'A) Base RI'!AG202</f>
        <v>11884.6</v>
      </c>
      <c r="AN202" s="10">
        <f>+'A) Base RI'!AH202</f>
        <v>76701.55</v>
      </c>
      <c r="AO202" s="10">
        <f>+'A) Base RI'!AI202</f>
        <v>0</v>
      </c>
      <c r="AP202" s="10">
        <f>+'A) Base RI'!AJ202</f>
        <v>0</v>
      </c>
      <c r="AQ202" s="10">
        <f>+'A) Base RI'!AK202</f>
        <v>0</v>
      </c>
      <c r="AR202" s="10">
        <f>'A) Base RI'!AN202</f>
        <v>2037</v>
      </c>
    </row>
    <row r="203" spans="1:44" x14ac:dyDescent="0.25">
      <c r="A203" s="8">
        <f>'A) Base RI'!A203</f>
        <v>5724</v>
      </c>
      <c r="B203" s="34" t="str">
        <f>'A) Base RI'!B203</f>
        <v>Nyon</v>
      </c>
      <c r="C203" s="10">
        <f>'A) Base RI'!C203+'A) Base RI'!D203</f>
        <v>59392889.950000003</v>
      </c>
      <c r="D203" s="10">
        <f>'A) Base RI'!AO203</f>
        <v>-748945.2</v>
      </c>
      <c r="E203" s="33">
        <f>'A) Base RI'!AP203</f>
        <v>0</v>
      </c>
      <c r="F203" s="33">
        <f>'A) Base RI'!AQ203</f>
        <v>-83701.289999999994</v>
      </c>
      <c r="G203" s="2">
        <f t="shared" si="18"/>
        <v>58560243.460000001</v>
      </c>
      <c r="H203" s="10">
        <f>+'A) Base RI'!E203</f>
        <v>0</v>
      </c>
      <c r="I203" s="10">
        <f>+'A) Base RI'!F203</f>
        <v>0</v>
      </c>
      <c r="J203" s="10">
        <f>+'A) Base RI'!G203+'A) Base RI'!H203</f>
        <v>10557901.25</v>
      </c>
      <c r="K203" s="10">
        <f>+'A) Base RI'!I203</f>
        <v>1770636.78</v>
      </c>
      <c r="L203" s="10">
        <f>+'A) Base RI'!J203</f>
        <v>3923331.6</v>
      </c>
      <c r="M203" s="10">
        <f>+'A) Base RI'!K203</f>
        <v>603048.55000000005</v>
      </c>
      <c r="N203" s="10">
        <f>+'A) Base RI'!Q203</f>
        <v>126353.46</v>
      </c>
      <c r="O203" s="10">
        <f t="shared" si="19"/>
        <v>4705900.0769230761</v>
      </c>
      <c r="P203" s="10">
        <f>+'A) Base RI'!L203</f>
        <v>6117670.0999999996</v>
      </c>
      <c r="Q203" s="36">
        <f>'A) Base RI'!AR203</f>
        <v>1.3</v>
      </c>
      <c r="R203" s="2">
        <f t="shared" si="20"/>
        <v>80247415.176923066</v>
      </c>
      <c r="S203" s="35">
        <f>+'A) Base RI'!AM203</f>
        <v>61</v>
      </c>
      <c r="T203" s="2">
        <f t="shared" si="21"/>
        <v>74938466.549999997</v>
      </c>
      <c r="U203" s="2">
        <f t="shared" si="22"/>
        <v>1315531.3963430012</v>
      </c>
      <c r="V203" s="10">
        <f>+'A) Base RI'!O203</f>
        <v>2910148.45</v>
      </c>
      <c r="W203" s="10">
        <f>+'A) Base RI'!P203</f>
        <v>4204838.8</v>
      </c>
      <c r="X203" s="10">
        <f>+'A) Base RI'!R203</f>
        <v>1971059</v>
      </c>
      <c r="Y203" s="2">
        <f t="shared" si="23"/>
        <v>9086046.25</v>
      </c>
      <c r="Z203" s="10">
        <f>+'A) Base RI'!N203</f>
        <v>4187587.15</v>
      </c>
      <c r="AA203" s="10">
        <f>+'A) Base RI'!S203+'A) Base RI'!T203</f>
        <v>0</v>
      </c>
      <c r="AB203" s="10">
        <f>+'A) Base RI'!U203</f>
        <v>46292.5</v>
      </c>
      <c r="AC203" s="10">
        <f>+'A) Base RI'!V203</f>
        <v>0</v>
      </c>
      <c r="AD203" s="10">
        <f>+'A) Base RI'!W203</f>
        <v>0</v>
      </c>
      <c r="AE203" s="10">
        <f>+'A) Base RI'!Y203</f>
        <v>945578.05</v>
      </c>
      <c r="AF203" s="10">
        <f>+'A) Base RI'!Z203</f>
        <v>0</v>
      </c>
      <c r="AG203" s="10">
        <f>+'A) Base RI'!AA203</f>
        <v>3603585.18</v>
      </c>
      <c r="AH203" s="10">
        <f>+'A) Base RI'!AB203</f>
        <v>0</v>
      </c>
      <c r="AI203" s="10">
        <f>+'A) Base RI'!AC203</f>
        <v>2054444.66</v>
      </c>
      <c r="AJ203" s="10">
        <f>+'A) Base RI'!AD203</f>
        <v>642388.02</v>
      </c>
      <c r="AK203" s="10">
        <f>+'A) Base RI'!AE203</f>
        <v>0</v>
      </c>
      <c r="AL203" s="10">
        <f>+'A) Base RI'!AF203</f>
        <v>0</v>
      </c>
      <c r="AM203" s="10">
        <f>+'A) Base RI'!AG203</f>
        <v>176276</v>
      </c>
      <c r="AN203" s="10">
        <f>+'A) Base RI'!AH203</f>
        <v>689206.9</v>
      </c>
      <c r="AO203" s="10">
        <f>+'A) Base RI'!AI203</f>
        <v>787647.27</v>
      </c>
      <c r="AP203" s="10">
        <f>+'A) Base RI'!AJ203</f>
        <v>491427.52</v>
      </c>
      <c r="AQ203" s="10">
        <f>+'A) Base RI'!AK203</f>
        <v>191696.91</v>
      </c>
      <c r="AR203" s="10">
        <f>'A) Base RI'!AN203</f>
        <v>20551</v>
      </c>
    </row>
    <row r="204" spans="1:44" x14ac:dyDescent="0.25">
      <c r="A204" s="8">
        <f>'A) Base RI'!A204</f>
        <v>5725</v>
      </c>
      <c r="B204" s="34" t="str">
        <f>'A) Base RI'!B204</f>
        <v>Prangins</v>
      </c>
      <c r="C204" s="10">
        <f>'A) Base RI'!C204+'A) Base RI'!D204</f>
        <v>14344945.59</v>
      </c>
      <c r="D204" s="10">
        <f>'A) Base RI'!AO204</f>
        <v>-88494.48</v>
      </c>
      <c r="E204" s="33">
        <f>'A) Base RI'!AP204</f>
        <v>0</v>
      </c>
      <c r="F204" s="33">
        <f>'A) Base RI'!AQ204</f>
        <v>-74474.34</v>
      </c>
      <c r="G204" s="2">
        <f t="shared" si="18"/>
        <v>14181976.77</v>
      </c>
      <c r="H204" s="10">
        <f>+'A) Base RI'!E204</f>
        <v>0</v>
      </c>
      <c r="I204" s="10">
        <f>+'A) Base RI'!F204</f>
        <v>0</v>
      </c>
      <c r="J204" s="10">
        <f>+'A) Base RI'!G204+'A) Base RI'!H204</f>
        <v>669770.94999999995</v>
      </c>
      <c r="K204" s="10">
        <f>+'A) Base RI'!I204</f>
        <v>417377.63</v>
      </c>
      <c r="L204" s="10">
        <f>+'A) Base RI'!J204</f>
        <v>265556.78000000003</v>
      </c>
      <c r="M204" s="10">
        <f>+'A) Base RI'!K204</f>
        <v>49813.7</v>
      </c>
      <c r="N204" s="10">
        <f>+'A) Base RI'!Q204</f>
        <v>27434.31</v>
      </c>
      <c r="O204" s="10">
        <f t="shared" si="19"/>
        <v>1089150.0714285716</v>
      </c>
      <c r="P204" s="10">
        <f>+'A) Base RI'!L204</f>
        <v>1524810.1</v>
      </c>
      <c r="Q204" s="36">
        <f>'A) Base RI'!AR204</f>
        <v>1.4</v>
      </c>
      <c r="R204" s="2">
        <f t="shared" si="20"/>
        <v>16701080.21142857</v>
      </c>
      <c r="S204" s="35">
        <f>+'A) Base RI'!AM204</f>
        <v>56</v>
      </c>
      <c r="T204" s="2">
        <f t="shared" si="21"/>
        <v>15562116.439999999</v>
      </c>
      <c r="U204" s="2">
        <f t="shared" si="22"/>
        <v>298233.5752040816</v>
      </c>
      <c r="V204" s="10">
        <f>+'A) Base RI'!O204</f>
        <v>21482.9</v>
      </c>
      <c r="W204" s="10">
        <f>+'A) Base RI'!P204</f>
        <v>489965.5</v>
      </c>
      <c r="X204" s="10">
        <f>+'A) Base RI'!R204</f>
        <v>484066.2</v>
      </c>
      <c r="Y204" s="2">
        <f t="shared" si="23"/>
        <v>995514.60000000009</v>
      </c>
      <c r="Z204" s="10">
        <f>+'A) Base RI'!N204</f>
        <v>1104679.95</v>
      </c>
      <c r="AA204" s="10">
        <f>+'A) Base RI'!S204+'A) Base RI'!T204</f>
        <v>0</v>
      </c>
      <c r="AB204" s="10">
        <f>+'A) Base RI'!U204</f>
        <v>15860</v>
      </c>
      <c r="AC204" s="10">
        <f>+'A) Base RI'!V204</f>
        <v>0</v>
      </c>
      <c r="AD204" s="10">
        <f>+'A) Base RI'!W204</f>
        <v>0</v>
      </c>
      <c r="AE204" s="10">
        <f>+'A) Base RI'!Y204</f>
        <v>67847.45</v>
      </c>
      <c r="AF204" s="10">
        <f>+'A) Base RI'!Z204</f>
        <v>0</v>
      </c>
      <c r="AG204" s="10">
        <f>+'A) Base RI'!AA204</f>
        <v>350165.03</v>
      </c>
      <c r="AH204" s="10">
        <f>+'A) Base RI'!AB204</f>
        <v>0</v>
      </c>
      <c r="AI204" s="10">
        <f>+'A) Base RI'!AC204</f>
        <v>241876.17</v>
      </c>
      <c r="AJ204" s="10">
        <f>+'A) Base RI'!AD204</f>
        <v>0</v>
      </c>
      <c r="AK204" s="10">
        <f>+'A) Base RI'!AE204</f>
        <v>0</v>
      </c>
      <c r="AL204" s="10">
        <f>+'A) Base RI'!AF204</f>
        <v>0</v>
      </c>
      <c r="AM204" s="10">
        <f>+'A) Base RI'!AG204</f>
        <v>45439.6</v>
      </c>
      <c r="AN204" s="10">
        <f>+'A) Base RI'!AH204</f>
        <v>0</v>
      </c>
      <c r="AO204" s="10">
        <f>+'A) Base RI'!AI204</f>
        <v>0</v>
      </c>
      <c r="AP204" s="10">
        <f>+'A) Base RI'!AJ204</f>
        <v>102763.23</v>
      </c>
      <c r="AQ204" s="10">
        <f>+'A) Base RI'!AK204</f>
        <v>0</v>
      </c>
      <c r="AR204" s="10">
        <f>'A) Base RI'!AN204</f>
        <v>4069</v>
      </c>
    </row>
    <row r="205" spans="1:44" x14ac:dyDescent="0.25">
      <c r="A205" s="8">
        <f>'A) Base RI'!A205</f>
        <v>5726</v>
      </c>
      <c r="B205" s="34" t="str">
        <f>'A) Base RI'!B205</f>
        <v>La Rippe</v>
      </c>
      <c r="C205" s="10">
        <f>'A) Base RI'!C205+'A) Base RI'!D205</f>
        <v>3420501.6</v>
      </c>
      <c r="D205" s="10">
        <f>'A) Base RI'!AO205</f>
        <v>-19316.310000000001</v>
      </c>
      <c r="E205" s="33">
        <f>'A) Base RI'!AP205</f>
        <v>0</v>
      </c>
      <c r="F205" s="33">
        <f>'A) Base RI'!AQ205</f>
        <v>-3725.51</v>
      </c>
      <c r="G205" s="2">
        <f t="shared" si="18"/>
        <v>3397459.7800000003</v>
      </c>
      <c r="H205" s="10">
        <f>+'A) Base RI'!E205</f>
        <v>0</v>
      </c>
      <c r="I205" s="10">
        <f>+'A) Base RI'!F205</f>
        <v>0</v>
      </c>
      <c r="J205" s="10">
        <f>+'A) Base RI'!G205+'A) Base RI'!H205</f>
        <v>19319.350000000002</v>
      </c>
      <c r="K205" s="10">
        <f>+'A) Base RI'!I205</f>
        <v>9017.15</v>
      </c>
      <c r="L205" s="10">
        <f>+'A) Base RI'!J205</f>
        <v>22266.97</v>
      </c>
      <c r="M205" s="10">
        <f>+'A) Base RI'!K205</f>
        <v>3665.15</v>
      </c>
      <c r="N205" s="10">
        <f>+'A) Base RI'!Q205</f>
        <v>2268.75</v>
      </c>
      <c r="O205" s="10">
        <f t="shared" si="19"/>
        <v>242421.15</v>
      </c>
      <c r="P205" s="10">
        <f>+'A) Base RI'!L205</f>
        <v>242421.15</v>
      </c>
      <c r="Q205" s="36">
        <f>'A) Base RI'!AR205</f>
        <v>1</v>
      </c>
      <c r="R205" s="2">
        <f t="shared" si="20"/>
        <v>3696418.3000000003</v>
      </c>
      <c r="S205" s="35">
        <f>+'A) Base RI'!AM205</f>
        <v>65</v>
      </c>
      <c r="T205" s="2">
        <f t="shared" si="21"/>
        <v>3450332.0000000005</v>
      </c>
      <c r="U205" s="2">
        <f t="shared" si="22"/>
        <v>56867.973846153851</v>
      </c>
      <c r="V205" s="10">
        <f>+'A) Base RI'!O205</f>
        <v>0</v>
      </c>
      <c r="W205" s="10">
        <f>+'A) Base RI'!P205</f>
        <v>195118.4</v>
      </c>
      <c r="X205" s="10">
        <f>+'A) Base RI'!R205</f>
        <v>138854.45000000001</v>
      </c>
      <c r="Y205" s="2">
        <f t="shared" si="23"/>
        <v>333972.84999999998</v>
      </c>
      <c r="Z205" s="10">
        <f>+'A) Base RI'!N205</f>
        <v>18897.900000000001</v>
      </c>
      <c r="AA205" s="10">
        <f>+'A) Base RI'!S205+'A) Base RI'!T205</f>
        <v>0</v>
      </c>
      <c r="AB205" s="10">
        <f>+'A) Base RI'!U205</f>
        <v>8150</v>
      </c>
      <c r="AC205" s="10">
        <f>+'A) Base RI'!V205</f>
        <v>0</v>
      </c>
      <c r="AD205" s="10">
        <f>+'A) Base RI'!W205</f>
        <v>0</v>
      </c>
      <c r="AE205" s="10">
        <f>+'A) Base RI'!Y205</f>
        <v>45800</v>
      </c>
      <c r="AF205" s="10">
        <f>+'A) Base RI'!Z205</f>
        <v>10980</v>
      </c>
      <c r="AG205" s="10">
        <f>+'A) Base RI'!AA205</f>
        <v>151891.99</v>
      </c>
      <c r="AH205" s="10">
        <f>+'A) Base RI'!AB205</f>
        <v>9809.44</v>
      </c>
      <c r="AI205" s="10">
        <f>+'A) Base RI'!AC205</f>
        <v>93982.32</v>
      </c>
      <c r="AJ205" s="10">
        <f>+'A) Base RI'!AD205</f>
        <v>35000</v>
      </c>
      <c r="AK205" s="10">
        <f>+'A) Base RI'!AE205</f>
        <v>-5196.7700000000004</v>
      </c>
      <c r="AL205" s="10">
        <f>+'A) Base RI'!AF205</f>
        <v>0</v>
      </c>
      <c r="AM205" s="10">
        <f>+'A) Base RI'!AG205</f>
        <v>7959.9</v>
      </c>
      <c r="AN205" s="10">
        <f>+'A) Base RI'!AH205</f>
        <v>0</v>
      </c>
      <c r="AO205" s="10">
        <f>+'A) Base RI'!AI205</f>
        <v>0</v>
      </c>
      <c r="AP205" s="10">
        <f>+'A) Base RI'!AJ205</f>
        <v>0</v>
      </c>
      <c r="AQ205" s="10">
        <f>+'A) Base RI'!AK205</f>
        <v>0</v>
      </c>
      <c r="AR205" s="10">
        <f>'A) Base RI'!AN205</f>
        <v>1164</v>
      </c>
    </row>
    <row r="206" spans="1:44" x14ac:dyDescent="0.25">
      <c r="A206" s="8">
        <f>'A) Base RI'!A206</f>
        <v>5727</v>
      </c>
      <c r="B206" s="34" t="str">
        <f>'A) Base RI'!B206</f>
        <v>Saint-Cergue</v>
      </c>
      <c r="C206" s="10">
        <f>'A) Base RI'!C206+'A) Base RI'!D206</f>
        <v>5989204.6000000006</v>
      </c>
      <c r="D206" s="10">
        <f>'A) Base RI'!AO206</f>
        <v>-302059.76</v>
      </c>
      <c r="E206" s="33">
        <f>'A) Base RI'!AP206</f>
        <v>0</v>
      </c>
      <c r="F206" s="33">
        <f>'A) Base RI'!AQ206</f>
        <v>-521.99</v>
      </c>
      <c r="G206" s="2">
        <f t="shared" si="18"/>
        <v>5686622.8500000006</v>
      </c>
      <c r="H206" s="10">
        <f>+'A) Base RI'!E206</f>
        <v>0</v>
      </c>
      <c r="I206" s="10">
        <f>+'A) Base RI'!F206</f>
        <v>0</v>
      </c>
      <c r="J206" s="10">
        <f>+'A) Base RI'!G206+'A) Base RI'!H206</f>
        <v>85223.849999999991</v>
      </c>
      <c r="K206" s="10">
        <f>+'A) Base RI'!I206</f>
        <v>98546.93</v>
      </c>
      <c r="L206" s="10">
        <f>+'A) Base RI'!J206</f>
        <v>263616.21000000002</v>
      </c>
      <c r="M206" s="10">
        <f>+'A) Base RI'!K206</f>
        <v>10099.9</v>
      </c>
      <c r="N206" s="10">
        <f>+'A) Base RI'!Q206</f>
        <v>18287.330000000002</v>
      </c>
      <c r="O206" s="10">
        <f t="shared" si="19"/>
        <v>469826.23333333334</v>
      </c>
      <c r="P206" s="10">
        <f>+'A) Base RI'!L206</f>
        <v>704739.35</v>
      </c>
      <c r="Q206" s="36">
        <f>'A) Base RI'!AR206</f>
        <v>1.5</v>
      </c>
      <c r="R206" s="2">
        <f t="shared" si="20"/>
        <v>6632223.3033333337</v>
      </c>
      <c r="S206" s="35">
        <f>+'A) Base RI'!AM206</f>
        <v>66</v>
      </c>
      <c r="T206" s="2">
        <f t="shared" si="21"/>
        <v>6152297.1699999999</v>
      </c>
      <c r="U206" s="2">
        <f t="shared" si="22"/>
        <v>100488.23186868687</v>
      </c>
      <c r="V206" s="10">
        <f>+'A) Base RI'!O206</f>
        <v>57308.1</v>
      </c>
      <c r="W206" s="10">
        <f>+'A) Base RI'!P206</f>
        <v>383865.3</v>
      </c>
      <c r="X206" s="10">
        <f>+'A) Base RI'!R206</f>
        <v>187050.65</v>
      </c>
      <c r="Y206" s="2">
        <f t="shared" si="23"/>
        <v>628224.04999999993</v>
      </c>
      <c r="Z206" s="10">
        <f>+'A) Base RI'!N206</f>
        <v>88630.95</v>
      </c>
      <c r="AA206" s="10">
        <f>+'A) Base RI'!S206+'A) Base RI'!T206</f>
        <v>2694.9</v>
      </c>
      <c r="AB206" s="10">
        <f>+'A) Base RI'!U206</f>
        <v>11700</v>
      </c>
      <c r="AC206" s="10">
        <f>+'A) Base RI'!V206</f>
        <v>0</v>
      </c>
      <c r="AD206" s="10">
        <f>+'A) Base RI'!W206</f>
        <v>0</v>
      </c>
      <c r="AE206" s="10">
        <f>+'A) Base RI'!Y206</f>
        <v>2755.15</v>
      </c>
      <c r="AF206" s="10">
        <f>+'A) Base RI'!Z206</f>
        <v>333458.59999999998</v>
      </c>
      <c r="AG206" s="10">
        <f>+'A) Base RI'!AA206</f>
        <v>0</v>
      </c>
      <c r="AH206" s="10">
        <f>+'A) Base RI'!AB206</f>
        <v>0</v>
      </c>
      <c r="AI206" s="10">
        <f>+'A) Base RI'!AC206</f>
        <v>250872.95</v>
      </c>
      <c r="AJ206" s="10">
        <f>+'A) Base RI'!AD206</f>
        <v>2755.15</v>
      </c>
      <c r="AK206" s="10">
        <f>+'A) Base RI'!AE206</f>
        <v>0</v>
      </c>
      <c r="AL206" s="10">
        <f>+'A) Base RI'!AF206</f>
        <v>0</v>
      </c>
      <c r="AM206" s="10">
        <f>+'A) Base RI'!AG206</f>
        <v>48161.1</v>
      </c>
      <c r="AN206" s="10">
        <f>+'A) Base RI'!AH206</f>
        <v>0</v>
      </c>
      <c r="AO206" s="10">
        <f>+'A) Base RI'!AI206</f>
        <v>0</v>
      </c>
      <c r="AP206" s="10">
        <f>+'A) Base RI'!AJ206</f>
        <v>0</v>
      </c>
      <c r="AQ206" s="10">
        <f>+'A) Base RI'!AK206</f>
        <v>0</v>
      </c>
      <c r="AR206" s="10">
        <f>'A) Base RI'!AN206</f>
        <v>2559</v>
      </c>
    </row>
    <row r="207" spans="1:44" x14ac:dyDescent="0.25">
      <c r="A207" s="8">
        <f>'A) Base RI'!A207</f>
        <v>5728</v>
      </c>
      <c r="B207" s="34" t="str">
        <f>'A) Base RI'!B207</f>
        <v>Signy-Avenex</v>
      </c>
      <c r="C207" s="10">
        <f>'A) Base RI'!C207+'A) Base RI'!D207</f>
        <v>1593219.69</v>
      </c>
      <c r="D207" s="10">
        <f>'A) Base RI'!AO207</f>
        <v>-21579.22</v>
      </c>
      <c r="E207" s="33">
        <f>'A) Base RI'!AP207</f>
        <v>0</v>
      </c>
      <c r="F207" s="33">
        <f>'A) Base RI'!AQ207</f>
        <v>-96.71</v>
      </c>
      <c r="G207" s="2">
        <f t="shared" si="18"/>
        <v>1571543.76</v>
      </c>
      <c r="H207" s="10">
        <f>+'A) Base RI'!E207</f>
        <v>0</v>
      </c>
      <c r="I207" s="10">
        <f>+'A) Base RI'!F207</f>
        <v>0</v>
      </c>
      <c r="J207" s="10">
        <f>+'A) Base RI'!G207+'A) Base RI'!H207</f>
        <v>367811.95</v>
      </c>
      <c r="K207" s="10">
        <f>+'A) Base RI'!I207</f>
        <v>17437.900000000001</v>
      </c>
      <c r="L207" s="10">
        <f>+'A) Base RI'!J207</f>
        <v>60157.24</v>
      </c>
      <c r="M207" s="10">
        <f>+'A) Base RI'!K207</f>
        <v>51544</v>
      </c>
      <c r="N207" s="10">
        <f>+'A) Base RI'!Q207</f>
        <v>0</v>
      </c>
      <c r="O207" s="10">
        <f t="shared" si="19"/>
        <v>201872.3</v>
      </c>
      <c r="P207" s="10">
        <f>+'A) Base RI'!L207</f>
        <v>201872.3</v>
      </c>
      <c r="Q207" s="36">
        <f>'A) Base RI'!AR207</f>
        <v>1</v>
      </c>
      <c r="R207" s="2">
        <f t="shared" si="20"/>
        <v>2270367.15</v>
      </c>
      <c r="S207" s="35">
        <f>+'A) Base RI'!AM207</f>
        <v>58</v>
      </c>
      <c r="T207" s="2">
        <f t="shared" si="21"/>
        <v>2016950.8499999999</v>
      </c>
      <c r="U207" s="2">
        <f t="shared" si="22"/>
        <v>39144.261206896554</v>
      </c>
      <c r="V207" s="10">
        <f>+'A) Base RI'!O207</f>
        <v>0</v>
      </c>
      <c r="W207" s="10">
        <f>+'A) Base RI'!P207</f>
        <v>106573.5</v>
      </c>
      <c r="X207" s="10">
        <f>+'A) Base RI'!R207</f>
        <v>51015.35</v>
      </c>
      <c r="Y207" s="2">
        <f t="shared" si="23"/>
        <v>157588.85</v>
      </c>
      <c r="Z207" s="10">
        <f>+'A) Base RI'!N207</f>
        <v>221113.4</v>
      </c>
      <c r="AA207" s="10">
        <f>+'A) Base RI'!S207+'A) Base RI'!T207</f>
        <v>63388.2</v>
      </c>
      <c r="AB207" s="10">
        <f>+'A) Base RI'!U207</f>
        <v>1600</v>
      </c>
      <c r="AC207" s="10">
        <f>+'A) Base RI'!V207</f>
        <v>0</v>
      </c>
      <c r="AD207" s="10">
        <f>+'A) Base RI'!W207</f>
        <v>0</v>
      </c>
      <c r="AE207" s="10">
        <f>+'A) Base RI'!Y207</f>
        <v>89100</v>
      </c>
      <c r="AF207" s="10">
        <f>+'A) Base RI'!Z207</f>
        <v>0</v>
      </c>
      <c r="AG207" s="10">
        <f>+'A) Base RI'!AA207</f>
        <v>95298.19</v>
      </c>
      <c r="AH207" s="10">
        <f>+'A) Base RI'!AB207</f>
        <v>0</v>
      </c>
      <c r="AI207" s="10">
        <f>+'A) Base RI'!AC207</f>
        <v>38520</v>
      </c>
      <c r="AJ207" s="10">
        <f>+'A) Base RI'!AD207</f>
        <v>0</v>
      </c>
      <c r="AK207" s="10">
        <f>+'A) Base RI'!AE207</f>
        <v>0</v>
      </c>
      <c r="AL207" s="10">
        <f>+'A) Base RI'!AF207</f>
        <v>0</v>
      </c>
      <c r="AM207" s="10">
        <f>+'A) Base RI'!AG207</f>
        <v>224.25</v>
      </c>
      <c r="AN207" s="10">
        <f>+'A) Base RI'!AH207</f>
        <v>55342.5</v>
      </c>
      <c r="AO207" s="10">
        <f>+'A) Base RI'!AI207</f>
        <v>0</v>
      </c>
      <c r="AP207" s="10">
        <f>+'A) Base RI'!AJ207</f>
        <v>0</v>
      </c>
      <c r="AQ207" s="10">
        <f>+'A) Base RI'!AK207</f>
        <v>0</v>
      </c>
      <c r="AR207" s="10">
        <f>'A) Base RI'!AN207</f>
        <v>567</v>
      </c>
    </row>
    <row r="208" spans="1:44" x14ac:dyDescent="0.25">
      <c r="A208" s="8">
        <f>'A) Base RI'!A208</f>
        <v>5729</v>
      </c>
      <c r="B208" s="34" t="str">
        <f>'A) Base RI'!B208</f>
        <v>Tannay</v>
      </c>
      <c r="C208" s="10">
        <f>'A) Base RI'!C208+'A) Base RI'!D208</f>
        <v>9284480.4900000002</v>
      </c>
      <c r="D208" s="10">
        <f>'A) Base RI'!AO208</f>
        <v>-16379.63</v>
      </c>
      <c r="E208" s="33">
        <f>'A) Base RI'!AP208</f>
        <v>0</v>
      </c>
      <c r="F208" s="33">
        <f>'A) Base RI'!AQ208</f>
        <v>-271.60000000000002</v>
      </c>
      <c r="G208" s="2">
        <f t="shared" si="18"/>
        <v>9267829.2599999998</v>
      </c>
      <c r="H208" s="10">
        <f>+'A) Base RI'!E208</f>
        <v>0</v>
      </c>
      <c r="I208" s="10">
        <f>+'A) Base RI'!F208</f>
        <v>0</v>
      </c>
      <c r="J208" s="10">
        <f>+'A) Base RI'!G208+'A) Base RI'!H208</f>
        <v>462939.3</v>
      </c>
      <c r="K208" s="10">
        <f>+'A) Base RI'!I208</f>
        <v>165919.35</v>
      </c>
      <c r="L208" s="10">
        <f>+'A) Base RI'!J208</f>
        <v>292796.92</v>
      </c>
      <c r="M208" s="10">
        <f>+'A) Base RI'!K208</f>
        <v>6012.15</v>
      </c>
      <c r="N208" s="10">
        <f>+'A) Base RI'!Q208</f>
        <v>1103.98</v>
      </c>
      <c r="O208" s="10">
        <f t="shared" si="19"/>
        <v>524651.06666666665</v>
      </c>
      <c r="P208" s="10">
        <f>+'A) Base RI'!L208</f>
        <v>786976.6</v>
      </c>
      <c r="Q208" s="36">
        <f>'A) Base RI'!AR208</f>
        <v>1.5</v>
      </c>
      <c r="R208" s="2">
        <f t="shared" si="20"/>
        <v>10721252.026666667</v>
      </c>
      <c r="S208" s="35">
        <f>+'A) Base RI'!AM208</f>
        <v>61</v>
      </c>
      <c r="T208" s="2">
        <f t="shared" si="21"/>
        <v>10190588.810000001</v>
      </c>
      <c r="U208" s="2">
        <f t="shared" si="22"/>
        <v>175758.22994535521</v>
      </c>
      <c r="V208" s="10">
        <f>+'A) Base RI'!O208</f>
        <v>151994.04999999999</v>
      </c>
      <c r="W208" s="10">
        <f>+'A) Base RI'!P208</f>
        <v>500966.75</v>
      </c>
      <c r="X208" s="10">
        <f>+'A) Base RI'!R208</f>
        <v>461958.25</v>
      </c>
      <c r="Y208" s="2">
        <f t="shared" si="23"/>
        <v>1114919.05</v>
      </c>
      <c r="Z208" s="10">
        <f>+'A) Base RI'!N208</f>
        <v>19280.349999999999</v>
      </c>
      <c r="AA208" s="10">
        <f>+'A) Base RI'!S208+'A) Base RI'!T208</f>
        <v>0</v>
      </c>
      <c r="AB208" s="10">
        <f>+'A) Base RI'!U208</f>
        <v>9160</v>
      </c>
      <c r="AC208" s="10">
        <f>+'A) Base RI'!V208</f>
        <v>0</v>
      </c>
      <c r="AD208" s="10">
        <f>+'A) Base RI'!W208</f>
        <v>0</v>
      </c>
      <c r="AE208" s="10">
        <f>+'A) Base RI'!Y208</f>
        <v>0</v>
      </c>
      <c r="AF208" s="10">
        <f>+'A) Base RI'!Z208</f>
        <v>0</v>
      </c>
      <c r="AG208" s="10">
        <f>+'A) Base RI'!AA208</f>
        <v>0</v>
      </c>
      <c r="AH208" s="10">
        <f>+'A) Base RI'!AB208</f>
        <v>0</v>
      </c>
      <c r="AI208" s="10">
        <f>+'A) Base RI'!AC208</f>
        <v>148896.25</v>
      </c>
      <c r="AJ208" s="10">
        <f>+'A) Base RI'!AD208</f>
        <v>0</v>
      </c>
      <c r="AK208" s="10">
        <f>+'A) Base RI'!AE208</f>
        <v>0</v>
      </c>
      <c r="AL208" s="10">
        <f>+'A) Base RI'!AF208</f>
        <v>0</v>
      </c>
      <c r="AM208" s="10">
        <f>+'A) Base RI'!AG208</f>
        <v>932.53</v>
      </c>
      <c r="AN208" s="10">
        <f>+'A) Base RI'!AH208</f>
        <v>0</v>
      </c>
      <c r="AO208" s="10">
        <f>+'A) Base RI'!AI208</f>
        <v>0</v>
      </c>
      <c r="AP208" s="10">
        <f>+'A) Base RI'!AJ208</f>
        <v>0</v>
      </c>
      <c r="AQ208" s="10">
        <f>+'A) Base RI'!AK208</f>
        <v>0</v>
      </c>
      <c r="AR208" s="10">
        <f>'A) Base RI'!AN208</f>
        <v>1585</v>
      </c>
    </row>
    <row r="209" spans="1:44" x14ac:dyDescent="0.25">
      <c r="A209" s="8">
        <f>'A) Base RI'!A209</f>
        <v>5730</v>
      </c>
      <c r="B209" s="34" t="str">
        <f>'A) Base RI'!B209</f>
        <v>Trélex</v>
      </c>
      <c r="C209" s="10">
        <f>'A) Base RI'!C209+'A) Base RI'!D209</f>
        <v>5311708.6899999995</v>
      </c>
      <c r="D209" s="10">
        <f>'A) Base RI'!AO209</f>
        <v>-39404.93</v>
      </c>
      <c r="E209" s="33">
        <f>'A) Base RI'!AP209</f>
        <v>0</v>
      </c>
      <c r="F209" s="33">
        <f>'A) Base RI'!AQ209</f>
        <v>-26242.25</v>
      </c>
      <c r="G209" s="2">
        <f t="shared" si="18"/>
        <v>5246061.51</v>
      </c>
      <c r="H209" s="10">
        <f>+'A) Base RI'!E209</f>
        <v>0</v>
      </c>
      <c r="I209" s="10">
        <f>+'A) Base RI'!F209</f>
        <v>0</v>
      </c>
      <c r="J209" s="10">
        <f>+'A) Base RI'!G209+'A) Base RI'!H209</f>
        <v>227029.5</v>
      </c>
      <c r="K209" s="10">
        <f>+'A) Base RI'!I209</f>
        <v>69350.25</v>
      </c>
      <c r="L209" s="10">
        <f>+'A) Base RI'!J209</f>
        <v>40030.83</v>
      </c>
      <c r="M209" s="10">
        <f>+'A) Base RI'!K209</f>
        <v>1374.7</v>
      </c>
      <c r="N209" s="10">
        <f>+'A) Base RI'!Q209</f>
        <v>13916.13</v>
      </c>
      <c r="O209" s="10">
        <f t="shared" si="19"/>
        <v>399014.72222222219</v>
      </c>
      <c r="P209" s="10">
        <f>+'A) Base RI'!L209</f>
        <v>359113.25</v>
      </c>
      <c r="Q209" s="36">
        <f>'A) Base RI'!AR209</f>
        <v>0.9</v>
      </c>
      <c r="R209" s="2">
        <f t="shared" si="20"/>
        <v>5996777.6422222219</v>
      </c>
      <c r="S209" s="35">
        <f>+'A) Base RI'!AM209</f>
        <v>57</v>
      </c>
      <c r="T209" s="2">
        <f t="shared" si="21"/>
        <v>5596388.2199999997</v>
      </c>
      <c r="U209" s="2">
        <f t="shared" si="22"/>
        <v>105206.62530214424</v>
      </c>
      <c r="V209" s="10">
        <f>+'A) Base RI'!O209</f>
        <v>0</v>
      </c>
      <c r="W209" s="10">
        <f>+'A) Base RI'!P209</f>
        <v>286550</v>
      </c>
      <c r="X209" s="10">
        <f>+'A) Base RI'!R209</f>
        <v>246173.85</v>
      </c>
      <c r="Y209" s="2">
        <f t="shared" si="23"/>
        <v>532723.85</v>
      </c>
      <c r="Z209" s="10">
        <f>+'A) Base RI'!N209</f>
        <v>5872.4</v>
      </c>
      <c r="AA209" s="10">
        <f>+'A) Base RI'!S209+'A) Base RI'!T209</f>
        <v>0</v>
      </c>
      <c r="AB209" s="10">
        <f>+'A) Base RI'!U209</f>
        <v>4925</v>
      </c>
      <c r="AC209" s="10">
        <f>+'A) Base RI'!V209</f>
        <v>0</v>
      </c>
      <c r="AD209" s="10">
        <f>+'A) Base RI'!W209</f>
        <v>0</v>
      </c>
      <c r="AE209" s="10">
        <f>+'A) Base RI'!Y209</f>
        <v>46690</v>
      </c>
      <c r="AF209" s="10">
        <f>+'A) Base RI'!Z209</f>
        <v>0</v>
      </c>
      <c r="AG209" s="10">
        <f>+'A) Base RI'!AA209</f>
        <v>157526.95000000001</v>
      </c>
      <c r="AH209" s="10">
        <f>+'A) Base RI'!AB209</f>
        <v>0</v>
      </c>
      <c r="AI209" s="10">
        <f>+'A) Base RI'!AC209</f>
        <v>112113.7</v>
      </c>
      <c r="AJ209" s="10">
        <f>+'A) Base RI'!AD209</f>
        <v>83582.600000000006</v>
      </c>
      <c r="AK209" s="10">
        <f>+'A) Base RI'!AE209</f>
        <v>0</v>
      </c>
      <c r="AL209" s="10">
        <f>+'A) Base RI'!AF209</f>
        <v>0</v>
      </c>
      <c r="AM209" s="10">
        <f>+'A) Base RI'!AG209</f>
        <v>0</v>
      </c>
      <c r="AN209" s="10">
        <f>+'A) Base RI'!AH209</f>
        <v>0</v>
      </c>
      <c r="AO209" s="10">
        <f>+'A) Base RI'!AI209</f>
        <v>0</v>
      </c>
      <c r="AP209" s="10">
        <f>+'A) Base RI'!AJ209</f>
        <v>0</v>
      </c>
      <c r="AQ209" s="10">
        <f>+'A) Base RI'!AK209</f>
        <v>0</v>
      </c>
      <c r="AR209" s="10">
        <f>'A) Base RI'!AN209</f>
        <v>1405</v>
      </c>
    </row>
    <row r="210" spans="1:44" x14ac:dyDescent="0.25">
      <c r="A210" s="8">
        <f>'A) Base RI'!A210</f>
        <v>5731</v>
      </c>
      <c r="B210" s="34" t="str">
        <f>'A) Base RI'!B210</f>
        <v>Le Vaud</v>
      </c>
      <c r="C210" s="10">
        <f>'A) Base RI'!C210+'A) Base RI'!D210</f>
        <v>3508506.62</v>
      </c>
      <c r="D210" s="10">
        <f>'A) Base RI'!AO210</f>
        <v>-36907.160000000003</v>
      </c>
      <c r="E210" s="33">
        <f>'A) Base RI'!AP210</f>
        <v>0</v>
      </c>
      <c r="F210" s="33">
        <f>'A) Base RI'!AQ210</f>
        <v>-192.49</v>
      </c>
      <c r="G210" s="2">
        <f t="shared" si="18"/>
        <v>3471406.9699999997</v>
      </c>
      <c r="H210" s="10">
        <f>+'A) Base RI'!E210</f>
        <v>0</v>
      </c>
      <c r="I210" s="10">
        <f>+'A) Base RI'!F210</f>
        <v>0</v>
      </c>
      <c r="J210" s="10">
        <f>+'A) Base RI'!G210+'A) Base RI'!H210</f>
        <v>15697.3</v>
      </c>
      <c r="K210" s="10">
        <f>+'A) Base RI'!I210</f>
        <v>0</v>
      </c>
      <c r="L210" s="10">
        <f>+'A) Base RI'!J210</f>
        <v>52414.06</v>
      </c>
      <c r="M210" s="10">
        <f>+'A) Base RI'!K210</f>
        <v>4641</v>
      </c>
      <c r="N210" s="10">
        <f>+'A) Base RI'!Q210</f>
        <v>31102.560000000001</v>
      </c>
      <c r="O210" s="10">
        <f t="shared" si="19"/>
        <v>241738.1</v>
      </c>
      <c r="P210" s="10">
        <f>+'A) Base RI'!L210</f>
        <v>362607.15</v>
      </c>
      <c r="Q210" s="36">
        <f>'A) Base RI'!AR210</f>
        <v>1.5</v>
      </c>
      <c r="R210" s="2">
        <f t="shared" si="20"/>
        <v>3816999.9899999998</v>
      </c>
      <c r="S210" s="35">
        <f>+'A) Base RI'!AM210</f>
        <v>75</v>
      </c>
      <c r="T210" s="2">
        <f t="shared" si="21"/>
        <v>3570620.8899999997</v>
      </c>
      <c r="U210" s="2">
        <f t="shared" si="22"/>
        <v>50893.333199999994</v>
      </c>
      <c r="V210" s="10">
        <f>+'A) Base RI'!O210</f>
        <v>26387.5</v>
      </c>
      <c r="W210" s="10">
        <f>+'A) Base RI'!P210</f>
        <v>186716.25</v>
      </c>
      <c r="X210" s="10">
        <f>+'A) Base RI'!R210</f>
        <v>139796.54999999999</v>
      </c>
      <c r="Y210" s="2">
        <f t="shared" si="23"/>
        <v>352900.3</v>
      </c>
      <c r="Z210" s="10">
        <f>+'A) Base RI'!N210</f>
        <v>20640.25</v>
      </c>
      <c r="AA210" s="10">
        <f>+'A) Base RI'!S210+'A) Base RI'!T210</f>
        <v>1860.75</v>
      </c>
      <c r="AB210" s="10">
        <f>+'A) Base RI'!U210</f>
        <v>16200</v>
      </c>
      <c r="AC210" s="10">
        <f>+'A) Base RI'!V210</f>
        <v>0</v>
      </c>
      <c r="AD210" s="10">
        <f>+'A) Base RI'!W210</f>
        <v>0</v>
      </c>
      <c r="AE210" s="10">
        <f>+'A) Base RI'!Y210</f>
        <v>118159.7</v>
      </c>
      <c r="AF210" s="10">
        <f>+'A) Base RI'!Z210</f>
        <v>0</v>
      </c>
      <c r="AG210" s="10">
        <f>+'A) Base RI'!AA210</f>
        <v>179192.4</v>
      </c>
      <c r="AH210" s="10">
        <f>+'A) Base RI'!AB210</f>
        <v>0</v>
      </c>
      <c r="AI210" s="10">
        <f>+'A) Base RI'!AC210</f>
        <v>127538.98</v>
      </c>
      <c r="AJ210" s="10">
        <f>+'A) Base RI'!AD210</f>
        <v>113287.45</v>
      </c>
      <c r="AK210" s="10">
        <f>+'A) Base RI'!AE210</f>
        <v>0</v>
      </c>
      <c r="AL210" s="10">
        <f>+'A) Base RI'!AF210</f>
        <v>0</v>
      </c>
      <c r="AM210" s="10">
        <f>+'A) Base RI'!AG210</f>
        <v>12184.75</v>
      </c>
      <c r="AN210" s="10">
        <f>+'A) Base RI'!AH210</f>
        <v>0</v>
      </c>
      <c r="AO210" s="10">
        <f>+'A) Base RI'!AI210</f>
        <v>0</v>
      </c>
      <c r="AP210" s="10">
        <f>+'A) Base RI'!AJ210</f>
        <v>0</v>
      </c>
      <c r="AQ210" s="10">
        <f>+'A) Base RI'!AK210</f>
        <v>0</v>
      </c>
      <c r="AR210" s="10">
        <f>'A) Base RI'!AN210</f>
        <v>1283</v>
      </c>
    </row>
    <row r="211" spans="1:44" x14ac:dyDescent="0.25">
      <c r="A211" s="8">
        <f>'A) Base RI'!A211</f>
        <v>5732</v>
      </c>
      <c r="B211" s="34" t="str">
        <f>'A) Base RI'!B211</f>
        <v>Vich</v>
      </c>
      <c r="C211" s="10">
        <f>'A) Base RI'!C211+'A) Base RI'!D211</f>
        <v>3482681.55</v>
      </c>
      <c r="D211" s="10">
        <f>'A) Base RI'!AO211</f>
        <v>-35321.03</v>
      </c>
      <c r="E211" s="33">
        <f>'A) Base RI'!AP211</f>
        <v>0</v>
      </c>
      <c r="F211" s="33">
        <f>'A) Base RI'!AQ211</f>
        <v>-816.11</v>
      </c>
      <c r="G211" s="2">
        <f t="shared" si="18"/>
        <v>3446544.41</v>
      </c>
      <c r="H211" s="10">
        <f>+'A) Base RI'!E211</f>
        <v>0</v>
      </c>
      <c r="I211" s="10">
        <f>+'A) Base RI'!F211</f>
        <v>0</v>
      </c>
      <c r="J211" s="10">
        <f>+'A) Base RI'!G211+'A) Base RI'!H211</f>
        <v>464269.1</v>
      </c>
      <c r="K211" s="10">
        <f>+'A) Base RI'!I211</f>
        <v>13034.05</v>
      </c>
      <c r="L211" s="10">
        <f>+'A) Base RI'!J211</f>
        <v>34674.65</v>
      </c>
      <c r="M211" s="10">
        <f>+'A) Base RI'!K211</f>
        <v>13445.9</v>
      </c>
      <c r="N211" s="10">
        <f>+'A) Base RI'!Q211</f>
        <v>28056.73</v>
      </c>
      <c r="O211" s="10">
        <f t="shared" si="19"/>
        <v>309901.09999999998</v>
      </c>
      <c r="P211" s="10">
        <f>+'A) Base RI'!L211</f>
        <v>309901.09999999998</v>
      </c>
      <c r="Q211" s="36">
        <f>'A) Base RI'!AR211</f>
        <v>1</v>
      </c>
      <c r="R211" s="2">
        <f t="shared" si="20"/>
        <v>4309925.9399999995</v>
      </c>
      <c r="S211" s="35">
        <f>+'A) Base RI'!AM211</f>
        <v>68</v>
      </c>
      <c r="T211" s="2">
        <f t="shared" si="21"/>
        <v>3986578.94</v>
      </c>
      <c r="U211" s="2">
        <f t="shared" si="22"/>
        <v>63381.263823529407</v>
      </c>
      <c r="V211" s="10">
        <f>+'A) Base RI'!O211</f>
        <v>2151.6</v>
      </c>
      <c r="W211" s="10">
        <f>+'A) Base RI'!P211</f>
        <v>208800.35</v>
      </c>
      <c r="X211" s="10">
        <f>+'A) Base RI'!R211</f>
        <v>345665.4</v>
      </c>
      <c r="Y211" s="2">
        <f t="shared" si="23"/>
        <v>556617.35000000009</v>
      </c>
      <c r="Z211" s="10">
        <f>+'A) Base RI'!N211</f>
        <v>75839.3</v>
      </c>
      <c r="AA211" s="10">
        <f>+'A) Base RI'!S211+'A) Base RI'!T211</f>
        <v>0</v>
      </c>
      <c r="AB211" s="10">
        <f>+'A) Base RI'!U211</f>
        <v>8080</v>
      </c>
      <c r="AC211" s="10">
        <f>+'A) Base RI'!V211</f>
        <v>0</v>
      </c>
      <c r="AD211" s="10">
        <f>+'A) Base RI'!W211</f>
        <v>0</v>
      </c>
      <c r="AE211" s="10">
        <f>+'A) Base RI'!Y211</f>
        <v>20454.05</v>
      </c>
      <c r="AF211" s="10">
        <f>+'A) Base RI'!Z211</f>
        <v>45861.16</v>
      </c>
      <c r="AG211" s="10">
        <f>+'A) Base RI'!AA211</f>
        <v>165262.26</v>
      </c>
      <c r="AH211" s="10">
        <f>+'A) Base RI'!AB211</f>
        <v>0</v>
      </c>
      <c r="AI211" s="10">
        <f>+'A) Base RI'!AC211</f>
        <v>75883.3</v>
      </c>
      <c r="AJ211" s="10">
        <f>+'A) Base RI'!AD211</f>
        <v>39319.35</v>
      </c>
      <c r="AK211" s="10">
        <f>+'A) Base RI'!AE211</f>
        <v>64199.199999999997</v>
      </c>
      <c r="AL211" s="10">
        <f>+'A) Base RI'!AF211</f>
        <v>0</v>
      </c>
      <c r="AM211" s="10">
        <f>+'A) Base RI'!AG211</f>
        <v>8079.05</v>
      </c>
      <c r="AN211" s="10">
        <f>+'A) Base RI'!AH211</f>
        <v>55140.05</v>
      </c>
      <c r="AO211" s="10">
        <f>+'A) Base RI'!AI211</f>
        <v>0</v>
      </c>
      <c r="AP211" s="10">
        <f>+'A) Base RI'!AJ211</f>
        <v>0</v>
      </c>
      <c r="AQ211" s="10">
        <f>+'A) Base RI'!AK211</f>
        <v>0</v>
      </c>
      <c r="AR211" s="10">
        <f>'A) Base RI'!AN211</f>
        <v>1026</v>
      </c>
    </row>
    <row r="212" spans="1:44" x14ac:dyDescent="0.25">
      <c r="A212" s="8">
        <f>'A) Base RI'!A212</f>
        <v>5741</v>
      </c>
      <c r="B212" s="34" t="str">
        <f>'A) Base RI'!B212</f>
        <v>L'Abergement</v>
      </c>
      <c r="C212" s="10">
        <f>'A) Base RI'!C212+'A) Base RI'!D212</f>
        <v>498484.73</v>
      </c>
      <c r="D212" s="10">
        <f>'A) Base RI'!AO212</f>
        <v>-8041.82</v>
      </c>
      <c r="E212" s="33">
        <f>'A) Base RI'!AP212</f>
        <v>0</v>
      </c>
      <c r="F212" s="33">
        <f>'A) Base RI'!AQ212</f>
        <v>-122.62</v>
      </c>
      <c r="G212" s="2">
        <f t="shared" si="18"/>
        <v>490320.29</v>
      </c>
      <c r="H212" s="10">
        <f>+'A) Base RI'!E212</f>
        <v>0</v>
      </c>
      <c r="I212" s="10">
        <f>+'A) Base RI'!F212</f>
        <v>1330</v>
      </c>
      <c r="J212" s="10">
        <f>+'A) Base RI'!G212+'A) Base RI'!H212</f>
        <v>7903.35</v>
      </c>
      <c r="K212" s="10">
        <f>+'A) Base RI'!I212</f>
        <v>0</v>
      </c>
      <c r="L212" s="10">
        <f>+'A) Base RI'!J212</f>
        <v>1801.23</v>
      </c>
      <c r="M212" s="10">
        <f>+'A) Base RI'!K212</f>
        <v>0</v>
      </c>
      <c r="N212" s="10">
        <f>+'A) Base RI'!Q212</f>
        <v>2057.86</v>
      </c>
      <c r="O212" s="10">
        <f t="shared" si="19"/>
        <v>35305.333333333336</v>
      </c>
      <c r="P212" s="10">
        <f>+'A) Base RI'!L212</f>
        <v>42366.400000000001</v>
      </c>
      <c r="Q212" s="36">
        <f>'A) Base RI'!AR212</f>
        <v>1.2</v>
      </c>
      <c r="R212" s="2">
        <f t="shared" si="20"/>
        <v>538718.06333333324</v>
      </c>
      <c r="S212" s="35">
        <f>+'A) Base RI'!AM212</f>
        <v>81</v>
      </c>
      <c r="T212" s="2">
        <f t="shared" si="21"/>
        <v>502082.72999999992</v>
      </c>
      <c r="U212" s="2">
        <f t="shared" si="22"/>
        <v>6650.8402880658423</v>
      </c>
      <c r="V212" s="10">
        <f>+'A) Base RI'!O212</f>
        <v>1380.6</v>
      </c>
      <c r="W212" s="10">
        <f>+'A) Base RI'!P212</f>
        <v>34066.949999999997</v>
      </c>
      <c r="X212" s="10">
        <f>+'A) Base RI'!R212</f>
        <v>24002.65</v>
      </c>
      <c r="Y212" s="2">
        <f t="shared" si="23"/>
        <v>59450.2</v>
      </c>
      <c r="Z212" s="10">
        <f>+'A) Base RI'!N212</f>
        <v>7043.5</v>
      </c>
      <c r="AA212" s="10">
        <f>+'A) Base RI'!S212+'A) Base RI'!T212</f>
        <v>0</v>
      </c>
      <c r="AB212" s="10">
        <f>+'A) Base RI'!U212</f>
        <v>900</v>
      </c>
      <c r="AC212" s="10">
        <f>+'A) Base RI'!V212</f>
        <v>0</v>
      </c>
      <c r="AD212" s="10">
        <f>+'A) Base RI'!W212</f>
        <v>0</v>
      </c>
      <c r="AE212" s="10">
        <f>+'A) Base RI'!Y212</f>
        <v>21288.45</v>
      </c>
      <c r="AF212" s="10">
        <f>+'A) Base RI'!Z212</f>
        <v>5554</v>
      </c>
      <c r="AG212" s="10">
        <f>+'A) Base RI'!AA212</f>
        <v>32306.9</v>
      </c>
      <c r="AH212" s="10">
        <f>+'A) Base RI'!AB212</f>
        <v>0</v>
      </c>
      <c r="AI212" s="10">
        <f>+'A) Base RI'!AC212</f>
        <v>27587.95</v>
      </c>
      <c r="AJ212" s="10">
        <f>+'A) Base RI'!AD212</f>
        <v>14580</v>
      </c>
      <c r="AK212" s="10">
        <f>+'A) Base RI'!AE212</f>
        <v>316.39999999999998</v>
      </c>
      <c r="AL212" s="10">
        <f>+'A) Base RI'!AF212</f>
        <v>0</v>
      </c>
      <c r="AM212" s="10">
        <f>+'A) Base RI'!AG212</f>
        <v>0</v>
      </c>
      <c r="AN212" s="10">
        <f>+'A) Base RI'!AH212</f>
        <v>0</v>
      </c>
      <c r="AO212" s="10">
        <f>+'A) Base RI'!AI212</f>
        <v>0</v>
      </c>
      <c r="AP212" s="10">
        <f>+'A) Base RI'!AJ212</f>
        <v>0</v>
      </c>
      <c r="AQ212" s="10">
        <f>+'A) Base RI'!AK212</f>
        <v>0</v>
      </c>
      <c r="AR212" s="10">
        <f>'A) Base RI'!AN212</f>
        <v>237</v>
      </c>
    </row>
    <row r="213" spans="1:44" x14ac:dyDescent="0.25">
      <c r="A213" s="8">
        <f>'A) Base RI'!A213</f>
        <v>5742</v>
      </c>
      <c r="B213" s="34" t="str">
        <f>'A) Base RI'!B213</f>
        <v>Agiez</v>
      </c>
      <c r="C213" s="10">
        <f>'A) Base RI'!C213+'A) Base RI'!D213</f>
        <v>642294.84000000008</v>
      </c>
      <c r="D213" s="10">
        <f>'A) Base RI'!AO213</f>
        <v>-2913.53</v>
      </c>
      <c r="E213" s="33">
        <f>'A) Base RI'!AP213</f>
        <v>0</v>
      </c>
      <c r="F213" s="33">
        <f>'A) Base RI'!AQ213</f>
        <v>0</v>
      </c>
      <c r="G213" s="2">
        <f t="shared" si="18"/>
        <v>639381.31000000006</v>
      </c>
      <c r="H213" s="10">
        <f>+'A) Base RI'!E213</f>
        <v>0</v>
      </c>
      <c r="I213" s="10">
        <f>+'A) Base RI'!F213</f>
        <v>0</v>
      </c>
      <c r="J213" s="10">
        <f>+'A) Base RI'!G213+'A) Base RI'!H213</f>
        <v>16584.399999999998</v>
      </c>
      <c r="K213" s="10">
        <f>+'A) Base RI'!I213</f>
        <v>0</v>
      </c>
      <c r="L213" s="10">
        <f>+'A) Base RI'!J213</f>
        <v>14377.09</v>
      </c>
      <c r="M213" s="10">
        <f>+'A) Base RI'!K213</f>
        <v>853.3</v>
      </c>
      <c r="N213" s="10">
        <f>+'A) Base RI'!Q213</f>
        <v>0</v>
      </c>
      <c r="O213" s="10">
        <f t="shared" si="19"/>
        <v>46573.7</v>
      </c>
      <c r="P213" s="10">
        <f>+'A) Base RI'!L213</f>
        <v>23286.85</v>
      </c>
      <c r="Q213" s="36">
        <f>'A) Base RI'!AR213</f>
        <v>0.5</v>
      </c>
      <c r="R213" s="2">
        <f t="shared" si="20"/>
        <v>717769.8</v>
      </c>
      <c r="S213" s="35">
        <f>+'A) Base RI'!AM213</f>
        <v>76</v>
      </c>
      <c r="T213" s="2">
        <f t="shared" si="21"/>
        <v>670342.80000000005</v>
      </c>
      <c r="U213" s="2">
        <f t="shared" si="22"/>
        <v>9444.339473684211</v>
      </c>
      <c r="V213" s="10">
        <f>+'A) Base RI'!O213</f>
        <v>241.8</v>
      </c>
      <c r="W213" s="10">
        <f>+'A) Base RI'!P213</f>
        <v>38383.699999999997</v>
      </c>
      <c r="X213" s="10">
        <f>+'A) Base RI'!R213</f>
        <v>33930.550000000003</v>
      </c>
      <c r="Y213" s="2">
        <f t="shared" si="23"/>
        <v>72556.05</v>
      </c>
      <c r="Z213" s="10">
        <f>+'A) Base RI'!N213</f>
        <v>1671.4</v>
      </c>
      <c r="AA213" s="10">
        <f>+'A) Base RI'!S213+'A) Base RI'!T213</f>
        <v>0</v>
      </c>
      <c r="AB213" s="10">
        <f>+'A) Base RI'!U213</f>
        <v>2680</v>
      </c>
      <c r="AC213" s="10">
        <f>+'A) Base RI'!V213</f>
        <v>0</v>
      </c>
      <c r="AD213" s="10">
        <f>+'A) Base RI'!W213</f>
        <v>0</v>
      </c>
      <c r="AE213" s="10">
        <f>+'A) Base RI'!Y213</f>
        <v>7500</v>
      </c>
      <c r="AF213" s="10">
        <f>+'A) Base RI'!Z213</f>
        <v>0</v>
      </c>
      <c r="AG213" s="10">
        <f>+'A) Base RI'!AA213</f>
        <v>29425.95</v>
      </c>
      <c r="AH213" s="10">
        <f>+'A) Base RI'!AB213</f>
        <v>0</v>
      </c>
      <c r="AI213" s="10">
        <f>+'A) Base RI'!AC213</f>
        <v>30135</v>
      </c>
      <c r="AJ213" s="10">
        <f>+'A) Base RI'!AD213</f>
        <v>4032.5</v>
      </c>
      <c r="AK213" s="10">
        <f>+'A) Base RI'!AE213</f>
        <v>0</v>
      </c>
      <c r="AL213" s="10">
        <f>+'A) Base RI'!AF213</f>
        <v>0</v>
      </c>
      <c r="AM213" s="10">
        <f>+'A) Base RI'!AG213</f>
        <v>0</v>
      </c>
      <c r="AN213" s="10">
        <f>+'A) Base RI'!AH213</f>
        <v>0</v>
      </c>
      <c r="AO213" s="10">
        <f>+'A) Base RI'!AI213</f>
        <v>0</v>
      </c>
      <c r="AP213" s="10">
        <f>+'A) Base RI'!AJ213</f>
        <v>0</v>
      </c>
      <c r="AQ213" s="10">
        <f>+'A) Base RI'!AK213</f>
        <v>0</v>
      </c>
      <c r="AR213" s="10">
        <f>'A) Base RI'!AN213</f>
        <v>314</v>
      </c>
    </row>
    <row r="214" spans="1:44" x14ac:dyDescent="0.25">
      <c r="A214" s="8">
        <f>'A) Base RI'!A214</f>
        <v>5743</v>
      </c>
      <c r="B214" s="34" t="str">
        <f>'A) Base RI'!B214</f>
        <v>Arnex-sur-Orbe</v>
      </c>
      <c r="C214" s="10">
        <f>'A) Base RI'!C214+'A) Base RI'!D214</f>
        <v>1179225.19</v>
      </c>
      <c r="D214" s="10">
        <f>'A) Base RI'!AO214</f>
        <v>-7926.21</v>
      </c>
      <c r="E214" s="33">
        <f>'A) Base RI'!AP214</f>
        <v>0</v>
      </c>
      <c r="F214" s="33">
        <f>'A) Base RI'!AQ214</f>
        <v>0</v>
      </c>
      <c r="G214" s="2">
        <f t="shared" si="18"/>
        <v>1171298.98</v>
      </c>
      <c r="H214" s="10">
        <f>+'A) Base RI'!E214</f>
        <v>0</v>
      </c>
      <c r="I214" s="10">
        <f>+'A) Base RI'!F214</f>
        <v>0</v>
      </c>
      <c r="J214" s="10">
        <f>+'A) Base RI'!G214+'A) Base RI'!H214</f>
        <v>15581.8</v>
      </c>
      <c r="K214" s="10">
        <f>+'A) Base RI'!I214</f>
        <v>0</v>
      </c>
      <c r="L214" s="10">
        <f>+'A) Base RI'!J214</f>
        <v>23132.49</v>
      </c>
      <c r="M214" s="10">
        <f>+'A) Base RI'!K214</f>
        <v>0</v>
      </c>
      <c r="N214" s="10">
        <f>+'A) Base RI'!Q214</f>
        <v>1639.32</v>
      </c>
      <c r="O214" s="10">
        <f t="shared" si="19"/>
        <v>78178.875</v>
      </c>
      <c r="P214" s="10">
        <f>+'A) Base RI'!L214</f>
        <v>62543.1</v>
      </c>
      <c r="Q214" s="36">
        <f>'A) Base RI'!AR214</f>
        <v>0.8</v>
      </c>
      <c r="R214" s="2">
        <f t="shared" si="20"/>
        <v>1289831.4650000001</v>
      </c>
      <c r="S214" s="35">
        <f>+'A) Base RI'!AM214</f>
        <v>73</v>
      </c>
      <c r="T214" s="2">
        <f t="shared" si="21"/>
        <v>1211652.5900000001</v>
      </c>
      <c r="U214" s="2">
        <f t="shared" si="22"/>
        <v>17668.924178082194</v>
      </c>
      <c r="V214" s="10">
        <f>+'A) Base RI'!O214</f>
        <v>27463.7</v>
      </c>
      <c r="W214" s="10">
        <f>+'A) Base RI'!P214</f>
        <v>47171.6</v>
      </c>
      <c r="X214" s="10">
        <f>+'A) Base RI'!R214</f>
        <v>77711.899999999994</v>
      </c>
      <c r="Y214" s="2">
        <f t="shared" si="23"/>
        <v>152347.20000000001</v>
      </c>
      <c r="Z214" s="10">
        <f>+'A) Base RI'!N214</f>
        <v>27265.05</v>
      </c>
      <c r="AA214" s="10">
        <f>+'A) Base RI'!S214+'A) Base RI'!T214</f>
        <v>1161.9000000000001</v>
      </c>
      <c r="AB214" s="10">
        <f>+'A) Base RI'!U214</f>
        <v>1850</v>
      </c>
      <c r="AC214" s="10">
        <f>+'A) Base RI'!V214</f>
        <v>468</v>
      </c>
      <c r="AD214" s="10">
        <f>+'A) Base RI'!W214</f>
        <v>0</v>
      </c>
      <c r="AE214" s="10">
        <f>+'A) Base RI'!Y214</f>
        <v>10246</v>
      </c>
      <c r="AF214" s="10">
        <f>+'A) Base RI'!Z214</f>
        <v>0</v>
      </c>
      <c r="AG214" s="10">
        <f>+'A) Base RI'!AA214</f>
        <v>67903</v>
      </c>
      <c r="AH214" s="10">
        <f>+'A) Base RI'!AB214</f>
        <v>0</v>
      </c>
      <c r="AI214" s="10">
        <f>+'A) Base RI'!AC214</f>
        <v>29237.05</v>
      </c>
      <c r="AJ214" s="10">
        <f>+'A) Base RI'!AD214</f>
        <v>6002.4</v>
      </c>
      <c r="AK214" s="10">
        <f>+'A) Base RI'!AE214</f>
        <v>0</v>
      </c>
      <c r="AL214" s="10">
        <f>+'A) Base RI'!AF214</f>
        <v>0</v>
      </c>
      <c r="AM214" s="10">
        <f>+'A) Base RI'!AG214</f>
        <v>0</v>
      </c>
      <c r="AN214" s="10">
        <f>+'A) Base RI'!AH214</f>
        <v>0</v>
      </c>
      <c r="AO214" s="10">
        <f>+'A) Base RI'!AI214</f>
        <v>0</v>
      </c>
      <c r="AP214" s="10">
        <f>+'A) Base RI'!AJ214</f>
        <v>0</v>
      </c>
      <c r="AQ214" s="10">
        <f>+'A) Base RI'!AK214</f>
        <v>0</v>
      </c>
      <c r="AR214" s="10">
        <f>'A) Base RI'!AN214</f>
        <v>642</v>
      </c>
    </row>
    <row r="215" spans="1:44" x14ac:dyDescent="0.25">
      <c r="A215" s="8">
        <f>'A) Base RI'!A215</f>
        <v>5744</v>
      </c>
      <c r="B215" s="34" t="str">
        <f>'A) Base RI'!B215</f>
        <v>Ballaigues</v>
      </c>
      <c r="C215" s="10">
        <f>'A) Base RI'!C215+'A) Base RI'!D215</f>
        <v>1503112.21</v>
      </c>
      <c r="D215" s="10">
        <f>'A) Base RI'!AO215</f>
        <v>-52921.77</v>
      </c>
      <c r="E215" s="33">
        <f>'A) Base RI'!AP215</f>
        <v>0</v>
      </c>
      <c r="F215" s="33">
        <f>'A) Base RI'!AQ215</f>
        <v>-422.29</v>
      </c>
      <c r="G215" s="2">
        <f t="shared" si="18"/>
        <v>1449768.15</v>
      </c>
      <c r="H215" s="10">
        <f>+'A) Base RI'!E215</f>
        <v>0</v>
      </c>
      <c r="I215" s="10">
        <f>+'A) Base RI'!F215</f>
        <v>6340</v>
      </c>
      <c r="J215" s="10">
        <f>+'A) Base RI'!G215+'A) Base RI'!H215</f>
        <v>2294187.0500000003</v>
      </c>
      <c r="K215" s="10">
        <f>+'A) Base RI'!I215</f>
        <v>0</v>
      </c>
      <c r="L215" s="10">
        <f>+'A) Base RI'!J215</f>
        <v>88985.29</v>
      </c>
      <c r="M215" s="10">
        <f>+'A) Base RI'!K215</f>
        <v>0</v>
      </c>
      <c r="N215" s="10">
        <f>+'A) Base RI'!Q215</f>
        <v>11786.24</v>
      </c>
      <c r="O215" s="10">
        <f t="shared" si="19"/>
        <v>159935.9</v>
      </c>
      <c r="P215" s="10">
        <f>+'A) Base RI'!L215</f>
        <v>159935.9</v>
      </c>
      <c r="Q215" s="36">
        <f>'A) Base RI'!AR215</f>
        <v>1</v>
      </c>
      <c r="R215" s="2">
        <f t="shared" si="20"/>
        <v>4011002.6300000004</v>
      </c>
      <c r="S215" s="35">
        <f>+'A) Base RI'!AM215</f>
        <v>66</v>
      </c>
      <c r="T215" s="2">
        <f t="shared" si="21"/>
        <v>3844726.7300000004</v>
      </c>
      <c r="U215" s="2">
        <f t="shared" si="22"/>
        <v>60772.767121212128</v>
      </c>
      <c r="V215" s="10">
        <f>+'A) Base RI'!O215</f>
        <v>16975.8</v>
      </c>
      <c r="W215" s="10">
        <f>+'A) Base RI'!P215</f>
        <v>84900.1</v>
      </c>
      <c r="X215" s="10">
        <f>+'A) Base RI'!R215</f>
        <v>103476.65</v>
      </c>
      <c r="Y215" s="2">
        <f t="shared" si="23"/>
        <v>205352.55</v>
      </c>
      <c r="Z215" s="10">
        <f>+'A) Base RI'!N215</f>
        <v>1188651.25</v>
      </c>
      <c r="AA215" s="10">
        <f>+'A) Base RI'!S215+'A) Base RI'!T215</f>
        <v>125</v>
      </c>
      <c r="AB215" s="10">
        <f>+'A) Base RI'!U215</f>
        <v>4070</v>
      </c>
      <c r="AC215" s="10">
        <f>+'A) Base RI'!V215</f>
        <v>105</v>
      </c>
      <c r="AD215" s="10">
        <f>+'A) Base RI'!W215</f>
        <v>0</v>
      </c>
      <c r="AE215" s="10">
        <f>+'A) Base RI'!Y215</f>
        <v>0</v>
      </c>
      <c r="AF215" s="10">
        <f>+'A) Base RI'!Z215</f>
        <v>0</v>
      </c>
      <c r="AG215" s="10">
        <f>+'A) Base RI'!AA215</f>
        <v>57063.8</v>
      </c>
      <c r="AH215" s="10">
        <f>+'A) Base RI'!AB215</f>
        <v>0</v>
      </c>
      <c r="AI215" s="10">
        <f>+'A) Base RI'!AC215</f>
        <v>91170.64</v>
      </c>
      <c r="AJ215" s="10">
        <f>+'A) Base RI'!AD215</f>
        <v>0</v>
      </c>
      <c r="AK215" s="10">
        <f>+'A) Base RI'!AE215</f>
        <v>0</v>
      </c>
      <c r="AL215" s="10">
        <f>+'A) Base RI'!AF215</f>
        <v>0</v>
      </c>
      <c r="AM215" s="10">
        <f>+'A) Base RI'!AG215</f>
        <v>0</v>
      </c>
      <c r="AN215" s="10">
        <f>+'A) Base RI'!AH215</f>
        <v>104773.3</v>
      </c>
      <c r="AO215" s="10">
        <f>+'A) Base RI'!AI215</f>
        <v>0</v>
      </c>
      <c r="AP215" s="10">
        <f>+'A) Base RI'!AJ215</f>
        <v>0</v>
      </c>
      <c r="AQ215" s="10">
        <f>+'A) Base RI'!AK215</f>
        <v>0</v>
      </c>
      <c r="AR215" s="10">
        <f>'A) Base RI'!AN215</f>
        <v>1095</v>
      </c>
    </row>
    <row r="216" spans="1:44" x14ac:dyDescent="0.25">
      <c r="A216" s="8">
        <f>'A) Base RI'!A216</f>
        <v>5745</v>
      </c>
      <c r="B216" s="34" t="str">
        <f>'A) Base RI'!B216</f>
        <v>Baulmes</v>
      </c>
      <c r="C216" s="10">
        <f>'A) Base RI'!C216+'A) Base RI'!D216</f>
        <v>1812800.57</v>
      </c>
      <c r="D216" s="10">
        <f>'A) Base RI'!AO216</f>
        <v>-29233.97</v>
      </c>
      <c r="E216" s="33">
        <f>'A) Base RI'!AP216</f>
        <v>0</v>
      </c>
      <c r="F216" s="33">
        <f>'A) Base RI'!AQ216</f>
        <v>-22.01</v>
      </c>
      <c r="G216" s="2">
        <f t="shared" si="18"/>
        <v>1783544.59</v>
      </c>
      <c r="H216" s="10">
        <f>+'A) Base RI'!E216</f>
        <v>0</v>
      </c>
      <c r="I216" s="10">
        <f>+'A) Base RI'!F216</f>
        <v>0</v>
      </c>
      <c r="J216" s="10">
        <f>+'A) Base RI'!G216+'A) Base RI'!H216</f>
        <v>78888.200000000012</v>
      </c>
      <c r="K216" s="10">
        <f>+'A) Base RI'!I216</f>
        <v>0</v>
      </c>
      <c r="L216" s="10">
        <f>+'A) Base RI'!J216</f>
        <v>16087.85</v>
      </c>
      <c r="M216" s="10">
        <f>+'A) Base RI'!K216</f>
        <v>0</v>
      </c>
      <c r="N216" s="10">
        <f>+'A) Base RI'!Q216</f>
        <v>3445.88</v>
      </c>
      <c r="O216" s="10">
        <f t="shared" si="19"/>
        <v>124175.8</v>
      </c>
      <c r="P216" s="10">
        <f>+'A) Base RI'!L216</f>
        <v>124175.8</v>
      </c>
      <c r="Q216" s="36">
        <f>'A) Base RI'!AR216</f>
        <v>1</v>
      </c>
      <c r="R216" s="2">
        <f t="shared" si="20"/>
        <v>2006142.32</v>
      </c>
      <c r="S216" s="35">
        <f>+'A) Base RI'!AM216</f>
        <v>78</v>
      </c>
      <c r="T216" s="2">
        <f t="shared" si="21"/>
        <v>1881966.52</v>
      </c>
      <c r="U216" s="2">
        <f t="shared" si="22"/>
        <v>25719.773333333334</v>
      </c>
      <c r="V216" s="10">
        <f>+'A) Base RI'!O216</f>
        <v>2640</v>
      </c>
      <c r="W216" s="10">
        <f>+'A) Base RI'!P216</f>
        <v>52778</v>
      </c>
      <c r="X216" s="10">
        <f>+'A) Base RI'!R216</f>
        <v>16332.9</v>
      </c>
      <c r="Y216" s="2">
        <f t="shared" si="23"/>
        <v>71750.899999999994</v>
      </c>
      <c r="Z216" s="10">
        <f>+'A) Base RI'!N216</f>
        <v>192572.15</v>
      </c>
      <c r="AA216" s="10">
        <f>+'A) Base RI'!S216+'A) Base RI'!T216</f>
        <v>0</v>
      </c>
      <c r="AB216" s="10">
        <f>+'A) Base RI'!U216</f>
        <v>4500</v>
      </c>
      <c r="AC216" s="10">
        <f>+'A) Base RI'!V216</f>
        <v>0</v>
      </c>
      <c r="AD216" s="10">
        <f>+'A) Base RI'!W216</f>
        <v>0</v>
      </c>
      <c r="AE216" s="10">
        <f>+'A) Base RI'!Y216</f>
        <v>0</v>
      </c>
      <c r="AF216" s="10">
        <f>+'A) Base RI'!Z216</f>
        <v>57.7</v>
      </c>
      <c r="AG216" s="10">
        <f>+'A) Base RI'!AA216</f>
        <v>137755</v>
      </c>
      <c r="AH216" s="10">
        <f>+'A) Base RI'!AB216</f>
        <v>0</v>
      </c>
      <c r="AI216" s="10">
        <f>+'A) Base RI'!AC216</f>
        <v>70941.75</v>
      </c>
      <c r="AJ216" s="10">
        <f>+'A) Base RI'!AD216</f>
        <v>0</v>
      </c>
      <c r="AK216" s="10">
        <f>+'A) Base RI'!AE216</f>
        <v>0</v>
      </c>
      <c r="AL216" s="10">
        <f>+'A) Base RI'!AF216</f>
        <v>0</v>
      </c>
      <c r="AM216" s="10">
        <f>+'A) Base RI'!AG216</f>
        <v>0</v>
      </c>
      <c r="AN216" s="10">
        <f>+'A) Base RI'!AH216</f>
        <v>24496.05</v>
      </c>
      <c r="AO216" s="10">
        <f>+'A) Base RI'!AI216</f>
        <v>0</v>
      </c>
      <c r="AP216" s="10">
        <f>+'A) Base RI'!AJ216</f>
        <v>0</v>
      </c>
      <c r="AQ216" s="10">
        <f>+'A) Base RI'!AK216</f>
        <v>0</v>
      </c>
      <c r="AR216" s="10">
        <f>'A) Base RI'!AN216</f>
        <v>1053</v>
      </c>
    </row>
    <row r="217" spans="1:44" x14ac:dyDescent="0.25">
      <c r="A217" s="8">
        <f>'A) Base RI'!A217</f>
        <v>5746</v>
      </c>
      <c r="B217" s="34" t="str">
        <f>'A) Base RI'!B217</f>
        <v>Bavois</v>
      </c>
      <c r="C217" s="10">
        <f>'A) Base RI'!C217+'A) Base RI'!D217</f>
        <v>1635128.11</v>
      </c>
      <c r="D217" s="10">
        <f>'A) Base RI'!AO217</f>
        <v>-29981.54</v>
      </c>
      <c r="E217" s="33">
        <f>'A) Base RI'!AP217</f>
        <v>0</v>
      </c>
      <c r="F217" s="33">
        <f>'A) Base RI'!AQ217</f>
        <v>-48.15</v>
      </c>
      <c r="G217" s="2">
        <f t="shared" si="18"/>
        <v>1605098.4200000002</v>
      </c>
      <c r="H217" s="10">
        <f>+'A) Base RI'!E217</f>
        <v>0</v>
      </c>
      <c r="I217" s="10">
        <f>+'A) Base RI'!F217</f>
        <v>0</v>
      </c>
      <c r="J217" s="10">
        <f>+'A) Base RI'!G217+'A) Base RI'!H217</f>
        <v>98965.5</v>
      </c>
      <c r="K217" s="10">
        <f>+'A) Base RI'!I217</f>
        <v>0</v>
      </c>
      <c r="L217" s="10">
        <f>+'A) Base RI'!J217</f>
        <v>33648.699999999997</v>
      </c>
      <c r="M217" s="10">
        <f>+'A) Base RI'!K217</f>
        <v>0</v>
      </c>
      <c r="N217" s="10">
        <f>+'A) Base RI'!Q217</f>
        <v>0</v>
      </c>
      <c r="O217" s="10">
        <f t="shared" si="19"/>
        <v>166031.5</v>
      </c>
      <c r="P217" s="10">
        <f>+'A) Base RI'!L217</f>
        <v>199237.8</v>
      </c>
      <c r="Q217" s="36">
        <f>'A) Base RI'!AR217</f>
        <v>1.2</v>
      </c>
      <c r="R217" s="2">
        <f t="shared" si="20"/>
        <v>1903744.12</v>
      </c>
      <c r="S217" s="35">
        <f>+'A) Base RI'!AM217</f>
        <v>73</v>
      </c>
      <c r="T217" s="2">
        <f t="shared" si="21"/>
        <v>1737712.62</v>
      </c>
      <c r="U217" s="2">
        <f t="shared" si="22"/>
        <v>26078.686575342468</v>
      </c>
      <c r="V217" s="10">
        <f>+'A) Base RI'!O217</f>
        <v>2022.9</v>
      </c>
      <c r="W217" s="10">
        <f>+'A) Base RI'!P217</f>
        <v>85696.35</v>
      </c>
      <c r="X217" s="10">
        <f>+'A) Base RI'!R217</f>
        <v>64410.1</v>
      </c>
      <c r="Y217" s="2">
        <f t="shared" si="23"/>
        <v>152129.35</v>
      </c>
      <c r="Z217" s="10">
        <f>+'A) Base RI'!N217</f>
        <v>20320.150000000001</v>
      </c>
      <c r="AA217" s="10">
        <f>+'A) Base RI'!S217+'A) Base RI'!T217</f>
        <v>2625</v>
      </c>
      <c r="AB217" s="10">
        <f>+'A) Base RI'!U217</f>
        <v>5130</v>
      </c>
      <c r="AC217" s="10">
        <f>+'A) Base RI'!V217</f>
        <v>546.5</v>
      </c>
      <c r="AD217" s="10">
        <f>+'A) Base RI'!W217</f>
        <v>0</v>
      </c>
      <c r="AE217" s="10">
        <f>+'A) Base RI'!Y217</f>
        <v>21242.3</v>
      </c>
      <c r="AF217" s="10">
        <f>+'A) Base RI'!Z217</f>
        <v>0</v>
      </c>
      <c r="AG217" s="10">
        <f>+'A) Base RI'!AA217</f>
        <v>104187.55</v>
      </c>
      <c r="AH217" s="10">
        <f>+'A) Base RI'!AB217</f>
        <v>0</v>
      </c>
      <c r="AI217" s="10">
        <f>+'A) Base RI'!AC217</f>
        <v>66053.399999999994</v>
      </c>
      <c r="AJ217" s="10">
        <f>+'A) Base RI'!AD217</f>
        <v>2700.05</v>
      </c>
      <c r="AK217" s="10">
        <f>+'A) Base RI'!AE217</f>
        <v>0</v>
      </c>
      <c r="AL217" s="10">
        <f>+'A) Base RI'!AF217</f>
        <v>0</v>
      </c>
      <c r="AM217" s="10">
        <f>+'A) Base RI'!AG217</f>
        <v>0</v>
      </c>
      <c r="AN217" s="10">
        <f>+'A) Base RI'!AH217</f>
        <v>27669</v>
      </c>
      <c r="AO217" s="10">
        <f>+'A) Base RI'!AI217</f>
        <v>0</v>
      </c>
      <c r="AP217" s="10">
        <f>+'A) Base RI'!AJ217</f>
        <v>0</v>
      </c>
      <c r="AQ217" s="10">
        <f>+'A) Base RI'!AK217</f>
        <v>0</v>
      </c>
      <c r="AR217" s="10">
        <f>'A) Base RI'!AN217</f>
        <v>928</v>
      </c>
    </row>
    <row r="218" spans="1:44" x14ac:dyDescent="0.25">
      <c r="A218" s="8">
        <f>'A) Base RI'!A218</f>
        <v>5747</v>
      </c>
      <c r="B218" s="34" t="str">
        <f>'A) Base RI'!B218</f>
        <v>Bofflens</v>
      </c>
      <c r="C218" s="10">
        <f>'A) Base RI'!C218+'A) Base RI'!D218</f>
        <v>336733.53999999992</v>
      </c>
      <c r="D218" s="10">
        <f>'A) Base RI'!AO218</f>
        <v>-1520.07</v>
      </c>
      <c r="E218" s="33">
        <f>'A) Base RI'!AP218</f>
        <v>0</v>
      </c>
      <c r="F218" s="33">
        <f>'A) Base RI'!AQ218</f>
        <v>-0.99</v>
      </c>
      <c r="G218" s="2">
        <f t="shared" si="18"/>
        <v>335212.47999999992</v>
      </c>
      <c r="H218" s="10">
        <f>+'A) Base RI'!E218</f>
        <v>0</v>
      </c>
      <c r="I218" s="10">
        <f>+'A) Base RI'!F218</f>
        <v>0</v>
      </c>
      <c r="J218" s="10">
        <f>+'A) Base RI'!G218+'A) Base RI'!H218</f>
        <v>6082</v>
      </c>
      <c r="K218" s="10">
        <f>+'A) Base RI'!I218</f>
        <v>0</v>
      </c>
      <c r="L218" s="10">
        <f>+'A) Base RI'!J218</f>
        <v>4735.13</v>
      </c>
      <c r="M218" s="10">
        <f>+'A) Base RI'!K218</f>
        <v>0</v>
      </c>
      <c r="N218" s="10">
        <f>+'A) Base RI'!Q218</f>
        <v>0</v>
      </c>
      <c r="O218" s="10">
        <f t="shared" si="19"/>
        <v>27078.2</v>
      </c>
      <c r="P218" s="10">
        <f>+'A) Base RI'!L218</f>
        <v>27078.2</v>
      </c>
      <c r="Q218" s="36">
        <f>'A) Base RI'!AR218</f>
        <v>1</v>
      </c>
      <c r="R218" s="2">
        <f t="shared" si="20"/>
        <v>373107.80999999994</v>
      </c>
      <c r="S218" s="35">
        <f>+'A) Base RI'!AM218</f>
        <v>69</v>
      </c>
      <c r="T218" s="2">
        <f t="shared" si="21"/>
        <v>346029.60999999993</v>
      </c>
      <c r="U218" s="2">
        <f t="shared" si="22"/>
        <v>5407.3595652173908</v>
      </c>
      <c r="V218" s="10">
        <f>+'A) Base RI'!O218</f>
        <v>0</v>
      </c>
      <c r="W218" s="10">
        <f>+'A) Base RI'!P218</f>
        <v>1011.2</v>
      </c>
      <c r="X218" s="10">
        <f>+'A) Base RI'!R218</f>
        <v>0</v>
      </c>
      <c r="Y218" s="2">
        <f t="shared" si="23"/>
        <v>1011.2</v>
      </c>
      <c r="Z218" s="10">
        <f>+'A) Base RI'!N218</f>
        <v>0</v>
      </c>
      <c r="AA218" s="10">
        <f>+'A) Base RI'!S218+'A) Base RI'!T218</f>
        <v>0</v>
      </c>
      <c r="AB218" s="10">
        <f>+'A) Base RI'!U218</f>
        <v>480</v>
      </c>
      <c r="AC218" s="10">
        <f>+'A) Base RI'!V218</f>
        <v>0</v>
      </c>
      <c r="AD218" s="10">
        <f>+'A) Base RI'!W218</f>
        <v>0</v>
      </c>
      <c r="AE218" s="10">
        <f>+'A) Base RI'!Y218</f>
        <v>0</v>
      </c>
      <c r="AF218" s="10">
        <f>+'A) Base RI'!Z218</f>
        <v>15000</v>
      </c>
      <c r="AG218" s="10">
        <f>+'A) Base RI'!AA218</f>
        <v>17599</v>
      </c>
      <c r="AH218" s="10">
        <f>+'A) Base RI'!AB218</f>
        <v>0</v>
      </c>
      <c r="AI218" s="10">
        <f>+'A) Base RI'!AC218</f>
        <v>16745.2</v>
      </c>
      <c r="AJ218" s="10">
        <f>+'A) Base RI'!AD218</f>
        <v>8400</v>
      </c>
      <c r="AK218" s="10">
        <f>+'A) Base RI'!AE218</f>
        <v>0</v>
      </c>
      <c r="AL218" s="10">
        <f>+'A) Base RI'!AF218</f>
        <v>0</v>
      </c>
      <c r="AM218" s="10">
        <f>+'A) Base RI'!AG218</f>
        <v>0</v>
      </c>
      <c r="AN218" s="10">
        <f>+'A) Base RI'!AH218</f>
        <v>0</v>
      </c>
      <c r="AO218" s="10">
        <f>+'A) Base RI'!AI218</f>
        <v>0</v>
      </c>
      <c r="AP218" s="10">
        <f>+'A) Base RI'!AJ218</f>
        <v>0</v>
      </c>
      <c r="AQ218" s="10">
        <f>+'A) Base RI'!AK218</f>
        <v>0</v>
      </c>
      <c r="AR218" s="10">
        <f>'A) Base RI'!AN218</f>
        <v>191</v>
      </c>
    </row>
    <row r="219" spans="1:44" x14ac:dyDescent="0.25">
      <c r="A219" s="8">
        <f>'A) Base RI'!A219</f>
        <v>5748</v>
      </c>
      <c r="B219" s="34" t="str">
        <f>'A) Base RI'!B219</f>
        <v>Bretonnières</v>
      </c>
      <c r="C219" s="10">
        <f>'A) Base RI'!C219+'A) Base RI'!D219</f>
        <v>501798.04000000004</v>
      </c>
      <c r="D219" s="10">
        <f>'A) Base RI'!AO219</f>
        <v>-5621.77</v>
      </c>
      <c r="E219" s="33">
        <f>'A) Base RI'!AP219</f>
        <v>0</v>
      </c>
      <c r="F219" s="33">
        <f>'A) Base RI'!AQ219</f>
        <v>0</v>
      </c>
      <c r="G219" s="2">
        <f t="shared" si="18"/>
        <v>496176.27</v>
      </c>
      <c r="H219" s="10">
        <f>+'A) Base RI'!E219</f>
        <v>0</v>
      </c>
      <c r="I219" s="10">
        <f>+'A) Base RI'!F219</f>
        <v>2170</v>
      </c>
      <c r="J219" s="10">
        <f>+'A) Base RI'!G219+'A) Base RI'!H219</f>
        <v>4786.1000000000004</v>
      </c>
      <c r="K219" s="10">
        <f>+'A) Base RI'!I219</f>
        <v>0</v>
      </c>
      <c r="L219" s="10">
        <f>+'A) Base RI'!J219</f>
        <v>6129.57</v>
      </c>
      <c r="M219" s="10">
        <f>+'A) Base RI'!K219</f>
        <v>0</v>
      </c>
      <c r="N219" s="10">
        <f>+'A) Base RI'!Q219</f>
        <v>8832.99</v>
      </c>
      <c r="O219" s="10">
        <f t="shared" si="19"/>
        <v>35378.333333333336</v>
      </c>
      <c r="P219" s="10">
        <f>+'A) Base RI'!L219</f>
        <v>21227</v>
      </c>
      <c r="Q219" s="36">
        <f>'A) Base RI'!AR219</f>
        <v>0.6</v>
      </c>
      <c r="R219" s="2">
        <f t="shared" si="20"/>
        <v>553473.26333333331</v>
      </c>
      <c r="S219" s="35">
        <f>+'A) Base RI'!AM219</f>
        <v>72</v>
      </c>
      <c r="T219" s="2">
        <f t="shared" si="21"/>
        <v>515924.93</v>
      </c>
      <c r="U219" s="2">
        <f t="shared" si="22"/>
        <v>7687.1286574074074</v>
      </c>
      <c r="V219" s="10">
        <f>+'A) Base RI'!O219</f>
        <v>194005.8</v>
      </c>
      <c r="W219" s="10">
        <f>+'A) Base RI'!P219</f>
        <v>13265.75</v>
      </c>
      <c r="X219" s="10">
        <f>+'A) Base RI'!R219</f>
        <v>6703.1</v>
      </c>
      <c r="Y219" s="2">
        <f t="shared" si="23"/>
        <v>213974.65</v>
      </c>
      <c r="Z219" s="10">
        <f>+'A) Base RI'!N219</f>
        <v>6433.6</v>
      </c>
      <c r="AA219" s="10">
        <f>+'A) Base RI'!S219+'A) Base RI'!T219</f>
        <v>0</v>
      </c>
      <c r="AB219" s="10">
        <f>+'A) Base RI'!U219</f>
        <v>1275</v>
      </c>
      <c r="AC219" s="10">
        <f>+'A) Base RI'!V219</f>
        <v>0</v>
      </c>
      <c r="AD219" s="10">
        <f>+'A) Base RI'!W219</f>
        <v>0</v>
      </c>
      <c r="AE219" s="10">
        <f>+'A) Base RI'!Y219</f>
        <v>0</v>
      </c>
      <c r="AF219" s="10">
        <f>+'A) Base RI'!Z219</f>
        <v>53.05</v>
      </c>
      <c r="AG219" s="10">
        <f>+'A) Base RI'!AA219</f>
        <v>30714.2</v>
      </c>
      <c r="AH219" s="10">
        <f>+'A) Base RI'!AB219</f>
        <v>0</v>
      </c>
      <c r="AI219" s="10">
        <f>+'A) Base RI'!AC219</f>
        <v>19995.25</v>
      </c>
      <c r="AJ219" s="10">
        <f>+'A) Base RI'!AD219</f>
        <v>0</v>
      </c>
      <c r="AK219" s="10">
        <f>+'A) Base RI'!AE219</f>
        <v>106.1</v>
      </c>
      <c r="AL219" s="10">
        <f>+'A) Base RI'!AF219</f>
        <v>0</v>
      </c>
      <c r="AM219" s="10">
        <f>+'A) Base RI'!AG219</f>
        <v>0</v>
      </c>
      <c r="AN219" s="10">
        <f>+'A) Base RI'!AH219</f>
        <v>0</v>
      </c>
      <c r="AO219" s="10">
        <f>+'A) Base RI'!AI219</f>
        <v>0</v>
      </c>
      <c r="AP219" s="10">
        <f>+'A) Base RI'!AJ219</f>
        <v>0</v>
      </c>
      <c r="AQ219" s="10">
        <f>+'A) Base RI'!AK219</f>
        <v>0</v>
      </c>
      <c r="AR219" s="10">
        <f>'A) Base RI'!AN219</f>
        <v>262</v>
      </c>
    </row>
    <row r="220" spans="1:44" x14ac:dyDescent="0.25">
      <c r="A220" s="8">
        <f>'A) Base RI'!A220</f>
        <v>5749</v>
      </c>
      <c r="B220" s="34" t="str">
        <f>'A) Base RI'!B220</f>
        <v>Chavornay</v>
      </c>
      <c r="C220" s="10">
        <f>'A) Base RI'!C220+'A) Base RI'!D220</f>
        <v>8459793.5500000007</v>
      </c>
      <c r="D220" s="10">
        <f>'A) Base RI'!AO220</f>
        <v>-231348.09</v>
      </c>
      <c r="E220" s="33">
        <f>'A) Base RI'!AP220</f>
        <v>0</v>
      </c>
      <c r="F220" s="33">
        <f>'A) Base RI'!AQ220</f>
        <v>-409.2</v>
      </c>
      <c r="G220" s="2">
        <f t="shared" si="18"/>
        <v>8228036.2600000007</v>
      </c>
      <c r="H220" s="10">
        <f>+'A) Base RI'!E220</f>
        <v>0</v>
      </c>
      <c r="I220" s="10">
        <f>+'A) Base RI'!F220</f>
        <v>0</v>
      </c>
      <c r="J220" s="10">
        <f>+'A) Base RI'!G220+'A) Base RI'!H220</f>
        <v>494806.65</v>
      </c>
      <c r="K220" s="10">
        <f>+'A) Base RI'!I220</f>
        <v>0</v>
      </c>
      <c r="L220" s="10">
        <f>+'A) Base RI'!J220</f>
        <v>239142.54</v>
      </c>
      <c r="M220" s="10">
        <f>+'A) Base RI'!K220</f>
        <v>48604.4</v>
      </c>
      <c r="N220" s="10">
        <f>+'A) Base RI'!Q220</f>
        <v>92601.24</v>
      </c>
      <c r="O220" s="10">
        <f t="shared" si="19"/>
        <v>736460.05</v>
      </c>
      <c r="P220" s="10">
        <f>+'A) Base RI'!L220</f>
        <v>736460.05</v>
      </c>
      <c r="Q220" s="36">
        <f>'A) Base RI'!AR220</f>
        <v>1</v>
      </c>
      <c r="R220" s="2">
        <f t="shared" si="20"/>
        <v>9839651.1400000006</v>
      </c>
      <c r="S220" s="35">
        <f>+'A) Base RI'!AM220</f>
        <v>72</v>
      </c>
      <c r="T220" s="2">
        <f t="shared" si="21"/>
        <v>9054586.6899999995</v>
      </c>
      <c r="U220" s="2">
        <f t="shared" si="22"/>
        <v>136661.8213888889</v>
      </c>
      <c r="V220" s="10">
        <f>+'A) Base RI'!O220</f>
        <v>75299.600000000006</v>
      </c>
      <c r="W220" s="10">
        <f>+'A) Base RI'!P220</f>
        <v>270997.8</v>
      </c>
      <c r="X220" s="10">
        <f>+'A) Base RI'!R220</f>
        <v>170064.8</v>
      </c>
      <c r="Y220" s="2">
        <f t="shared" si="23"/>
        <v>516362.2</v>
      </c>
      <c r="Z220" s="10">
        <f>+'A) Base RI'!N220</f>
        <v>588022.9</v>
      </c>
      <c r="AA220" s="10">
        <f>+'A) Base RI'!S220+'A) Base RI'!T220</f>
        <v>11697.7</v>
      </c>
      <c r="AB220" s="10">
        <f>+'A) Base RI'!U220</f>
        <v>28540</v>
      </c>
      <c r="AC220" s="10">
        <f>+'A) Base RI'!V220</f>
        <v>0</v>
      </c>
      <c r="AD220" s="10">
        <f>+'A) Base RI'!W220</f>
        <v>0</v>
      </c>
      <c r="AE220" s="10">
        <f>+'A) Base RI'!Y220</f>
        <v>36418.949999999997</v>
      </c>
      <c r="AF220" s="10">
        <f>+'A) Base RI'!Z220</f>
        <v>0</v>
      </c>
      <c r="AG220" s="10">
        <f>+'A) Base RI'!AA220</f>
        <v>657311.6</v>
      </c>
      <c r="AH220" s="10">
        <f>+'A) Base RI'!AB220</f>
        <v>0</v>
      </c>
      <c r="AI220" s="10">
        <f>+'A) Base RI'!AC220</f>
        <v>534685.49</v>
      </c>
      <c r="AJ220" s="10">
        <f>+'A) Base RI'!AD220</f>
        <v>38395.1</v>
      </c>
      <c r="AK220" s="10">
        <f>+'A) Base RI'!AE220</f>
        <v>0</v>
      </c>
      <c r="AL220" s="10">
        <f>+'A) Base RI'!AF220</f>
        <v>0</v>
      </c>
      <c r="AM220" s="10">
        <f>+'A) Base RI'!AG220</f>
        <v>0</v>
      </c>
      <c r="AN220" s="10">
        <f>+'A) Base RI'!AH220</f>
        <v>172494.5</v>
      </c>
      <c r="AO220" s="10">
        <f>+'A) Base RI'!AI220</f>
        <v>0</v>
      </c>
      <c r="AP220" s="10">
        <f>+'A) Base RI'!AJ220</f>
        <v>0</v>
      </c>
      <c r="AQ220" s="10">
        <f>+'A) Base RI'!AK220</f>
        <v>0</v>
      </c>
      <c r="AR220" s="10">
        <f>'A) Base RI'!AN220</f>
        <v>4908</v>
      </c>
    </row>
    <row r="221" spans="1:44" x14ac:dyDescent="0.25">
      <c r="A221" s="8">
        <f>'A) Base RI'!A221</f>
        <v>5750</v>
      </c>
      <c r="B221" s="34" t="str">
        <f>'A) Base RI'!B221</f>
        <v>Les Clées</v>
      </c>
      <c r="C221" s="10">
        <f>'A) Base RI'!C221+'A) Base RI'!D221</f>
        <v>383861.73</v>
      </c>
      <c r="D221" s="10">
        <f>'A) Base RI'!AO221</f>
        <v>-14695.31</v>
      </c>
      <c r="E221" s="33">
        <f>'A) Base RI'!AP221</f>
        <v>0</v>
      </c>
      <c r="F221" s="33">
        <f>'A) Base RI'!AQ221</f>
        <v>0</v>
      </c>
      <c r="G221" s="2">
        <f t="shared" si="18"/>
        <v>369166.42</v>
      </c>
      <c r="H221" s="10">
        <f>+'A) Base RI'!E221</f>
        <v>0</v>
      </c>
      <c r="I221" s="10">
        <f>+'A) Base RI'!F221</f>
        <v>1020</v>
      </c>
      <c r="J221" s="10">
        <f>+'A) Base RI'!G221+'A) Base RI'!H221</f>
        <v>5960.85</v>
      </c>
      <c r="K221" s="10">
        <f>+'A) Base RI'!I221</f>
        <v>0</v>
      </c>
      <c r="L221" s="10">
        <f>+'A) Base RI'!J221</f>
        <v>8539.44</v>
      </c>
      <c r="M221" s="10">
        <f>+'A) Base RI'!K221</f>
        <v>-1746.35</v>
      </c>
      <c r="N221" s="10">
        <f>+'A) Base RI'!Q221</f>
        <v>0</v>
      </c>
      <c r="O221" s="10">
        <f t="shared" si="19"/>
        <v>21260.166666666668</v>
      </c>
      <c r="P221" s="10">
        <f>+'A) Base RI'!L221</f>
        <v>12756.1</v>
      </c>
      <c r="Q221" s="36">
        <f>'A) Base RI'!AR221</f>
        <v>0.6</v>
      </c>
      <c r="R221" s="2">
        <f t="shared" si="20"/>
        <v>404200.52666666667</v>
      </c>
      <c r="S221" s="35">
        <f>+'A) Base RI'!AM221</f>
        <v>80</v>
      </c>
      <c r="T221" s="2">
        <f t="shared" si="21"/>
        <v>383666.70999999996</v>
      </c>
      <c r="U221" s="2">
        <f t="shared" si="22"/>
        <v>5052.5065833333338</v>
      </c>
      <c r="V221" s="10">
        <f>+'A) Base RI'!O221</f>
        <v>14676</v>
      </c>
      <c r="W221" s="10">
        <f>+'A) Base RI'!P221</f>
        <v>3421</v>
      </c>
      <c r="X221" s="10">
        <f>+'A) Base RI'!R221</f>
        <v>-1263.55</v>
      </c>
      <c r="Y221" s="2">
        <f t="shared" si="23"/>
        <v>16833.45</v>
      </c>
      <c r="Z221" s="10">
        <f>+'A) Base RI'!N221</f>
        <v>6513.5</v>
      </c>
      <c r="AA221" s="10">
        <f>+'A) Base RI'!S221+'A) Base RI'!T221</f>
        <v>0</v>
      </c>
      <c r="AB221" s="10">
        <f>+'A) Base RI'!U221</f>
        <v>680</v>
      </c>
      <c r="AC221" s="10">
        <f>+'A) Base RI'!V221</f>
        <v>0</v>
      </c>
      <c r="AD221" s="10">
        <f>+'A) Base RI'!W221</f>
        <v>0</v>
      </c>
      <c r="AE221" s="10">
        <f>+'A) Base RI'!Y221</f>
        <v>369.9</v>
      </c>
      <c r="AF221" s="10">
        <f>+'A) Base RI'!Z221</f>
        <v>0</v>
      </c>
      <c r="AG221" s="10">
        <f>+'A) Base RI'!AA221</f>
        <v>34814</v>
      </c>
      <c r="AH221" s="10">
        <f>+'A) Base RI'!AB221</f>
        <v>0</v>
      </c>
      <c r="AI221" s="10">
        <f>+'A) Base RI'!AC221</f>
        <v>19400.89</v>
      </c>
      <c r="AJ221" s="10">
        <f>+'A) Base RI'!AD221</f>
        <v>0</v>
      </c>
      <c r="AK221" s="10">
        <f>+'A) Base RI'!AE221</f>
        <v>0</v>
      </c>
      <c r="AL221" s="10">
        <f>+'A) Base RI'!AF221</f>
        <v>0</v>
      </c>
      <c r="AM221" s="10">
        <f>+'A) Base RI'!AG221</f>
        <v>108</v>
      </c>
      <c r="AN221" s="10">
        <f>+'A) Base RI'!AH221</f>
        <v>4487.5</v>
      </c>
      <c r="AO221" s="10">
        <f>+'A) Base RI'!AI221</f>
        <v>0</v>
      </c>
      <c r="AP221" s="10">
        <f>+'A) Base RI'!AJ221</f>
        <v>0</v>
      </c>
      <c r="AQ221" s="10">
        <f>+'A) Base RI'!AK221</f>
        <v>0</v>
      </c>
      <c r="AR221" s="10">
        <f>'A) Base RI'!AN221</f>
        <v>181</v>
      </c>
    </row>
    <row r="222" spans="1:44" x14ac:dyDescent="0.25">
      <c r="A222" s="8">
        <f>'A) Base RI'!A222</f>
        <v>5752</v>
      </c>
      <c r="B222" s="34" t="str">
        <f>'A) Base RI'!B222</f>
        <v>Croy</v>
      </c>
      <c r="C222" s="10">
        <f>'A) Base RI'!C222+'A) Base RI'!D222</f>
        <v>773950.58</v>
      </c>
      <c r="D222" s="10">
        <f>'A) Base RI'!AO222</f>
        <v>-5442.03</v>
      </c>
      <c r="E222" s="33">
        <f>'A) Base RI'!AP222</f>
        <v>0</v>
      </c>
      <c r="F222" s="33">
        <f>'A) Base RI'!AQ222</f>
        <v>-3732.15</v>
      </c>
      <c r="G222" s="2">
        <f t="shared" si="18"/>
        <v>764776.39999999991</v>
      </c>
      <c r="H222" s="10">
        <f>+'A) Base RI'!E222</f>
        <v>0</v>
      </c>
      <c r="I222" s="10">
        <f>+'A) Base RI'!F222</f>
        <v>0</v>
      </c>
      <c r="J222" s="10">
        <f>+'A) Base RI'!G222+'A) Base RI'!H222</f>
        <v>10159.299999999999</v>
      </c>
      <c r="K222" s="10">
        <f>+'A) Base RI'!I222</f>
        <v>0</v>
      </c>
      <c r="L222" s="10">
        <f>+'A) Base RI'!J222</f>
        <v>5187.34</v>
      </c>
      <c r="M222" s="10">
        <f>+'A) Base RI'!K222</f>
        <v>741.3</v>
      </c>
      <c r="N222" s="10">
        <f>+'A) Base RI'!Q222</f>
        <v>178.93</v>
      </c>
      <c r="O222" s="10">
        <f t="shared" si="19"/>
        <v>46905.5</v>
      </c>
      <c r="P222" s="10">
        <f>+'A) Base RI'!L222</f>
        <v>32833.85</v>
      </c>
      <c r="Q222" s="36">
        <f>'A) Base RI'!AR222</f>
        <v>0.7</v>
      </c>
      <c r="R222" s="2">
        <f t="shared" si="20"/>
        <v>827948.77</v>
      </c>
      <c r="S222" s="35">
        <f>+'A) Base RI'!AM222</f>
        <v>74</v>
      </c>
      <c r="T222" s="2">
        <f t="shared" si="21"/>
        <v>780301.97</v>
      </c>
      <c r="U222" s="2">
        <f t="shared" si="22"/>
        <v>11188.496891891893</v>
      </c>
      <c r="V222" s="10">
        <f>+'A) Base RI'!O222</f>
        <v>78</v>
      </c>
      <c r="W222" s="10">
        <f>+'A) Base RI'!P222</f>
        <v>12005.6</v>
      </c>
      <c r="X222" s="10">
        <f>+'A) Base RI'!R222</f>
        <v>19877.150000000001</v>
      </c>
      <c r="Y222" s="2">
        <f t="shared" si="23"/>
        <v>31960.75</v>
      </c>
      <c r="Z222" s="10">
        <f>+'A) Base RI'!N222</f>
        <v>22087.200000000001</v>
      </c>
      <c r="AA222" s="10">
        <f>+'A) Base RI'!S222+'A) Base RI'!T222</f>
        <v>0</v>
      </c>
      <c r="AB222" s="10">
        <f>+'A) Base RI'!U222</f>
        <v>2050</v>
      </c>
      <c r="AC222" s="10">
        <f>+'A) Base RI'!V222</f>
        <v>0</v>
      </c>
      <c r="AD222" s="10">
        <f>+'A) Base RI'!W222</f>
        <v>0</v>
      </c>
      <c r="AE222" s="10">
        <f>+'A) Base RI'!Y222</f>
        <v>8008</v>
      </c>
      <c r="AF222" s="10">
        <f>+'A) Base RI'!Z222</f>
        <v>0</v>
      </c>
      <c r="AG222" s="10">
        <f>+'A) Base RI'!AA222</f>
        <v>56500.4</v>
      </c>
      <c r="AH222" s="10">
        <f>+'A) Base RI'!AB222</f>
        <v>0</v>
      </c>
      <c r="AI222" s="10">
        <f>+'A) Base RI'!AC222</f>
        <v>26738.75</v>
      </c>
      <c r="AJ222" s="10">
        <f>+'A) Base RI'!AD222</f>
        <v>8008</v>
      </c>
      <c r="AK222" s="10">
        <f>+'A) Base RI'!AE222</f>
        <v>0</v>
      </c>
      <c r="AL222" s="10">
        <f>+'A) Base RI'!AF222</f>
        <v>0</v>
      </c>
      <c r="AM222" s="10">
        <f>+'A) Base RI'!AG222</f>
        <v>0</v>
      </c>
      <c r="AN222" s="10">
        <f>+'A) Base RI'!AH222</f>
        <v>0</v>
      </c>
      <c r="AO222" s="10">
        <f>+'A) Base RI'!AI222</f>
        <v>0</v>
      </c>
      <c r="AP222" s="10">
        <f>+'A) Base RI'!AJ222</f>
        <v>0</v>
      </c>
      <c r="AQ222" s="10">
        <f>+'A) Base RI'!AK222</f>
        <v>0</v>
      </c>
      <c r="AR222" s="10">
        <f>'A) Base RI'!AN222</f>
        <v>379</v>
      </c>
    </row>
    <row r="223" spans="1:44" x14ac:dyDescent="0.25">
      <c r="A223" s="8">
        <f>'A) Base RI'!A223</f>
        <v>5754</v>
      </c>
      <c r="B223" s="34" t="str">
        <f>'A) Base RI'!B223</f>
        <v>Juriens</v>
      </c>
      <c r="C223" s="10">
        <f>'A) Base RI'!C223+'A) Base RI'!D223</f>
        <v>586291.96</v>
      </c>
      <c r="D223" s="10">
        <f>'A) Base RI'!AO223</f>
        <v>-5263.61</v>
      </c>
      <c r="E223" s="33">
        <f>'A) Base RI'!AP223</f>
        <v>0</v>
      </c>
      <c r="F223" s="33">
        <f>'A) Base RI'!AQ223</f>
        <v>-16.989999999999998</v>
      </c>
      <c r="G223" s="2">
        <f t="shared" si="18"/>
        <v>581011.36</v>
      </c>
      <c r="H223" s="10">
        <f>+'A) Base RI'!E223</f>
        <v>0</v>
      </c>
      <c r="I223" s="10">
        <f>+'A) Base RI'!F223</f>
        <v>0</v>
      </c>
      <c r="J223" s="10">
        <f>+'A) Base RI'!G223+'A) Base RI'!H223</f>
        <v>1810.0500000000002</v>
      </c>
      <c r="K223" s="10">
        <f>+'A) Base RI'!I223</f>
        <v>0</v>
      </c>
      <c r="L223" s="10">
        <f>+'A) Base RI'!J223</f>
        <v>17249.060000000001</v>
      </c>
      <c r="M223" s="10">
        <f>+'A) Base RI'!K223</f>
        <v>944</v>
      </c>
      <c r="N223" s="10">
        <f>+'A) Base RI'!Q223</f>
        <v>5926.89</v>
      </c>
      <c r="O223" s="10">
        <f t="shared" si="19"/>
        <v>35869</v>
      </c>
      <c r="P223" s="10">
        <f>+'A) Base RI'!L223</f>
        <v>35869</v>
      </c>
      <c r="Q223" s="36">
        <f>'A) Base RI'!AR223</f>
        <v>1</v>
      </c>
      <c r="R223" s="2">
        <f t="shared" si="20"/>
        <v>642810.3600000001</v>
      </c>
      <c r="S223" s="35">
        <f>+'A) Base RI'!AM223</f>
        <v>79</v>
      </c>
      <c r="T223" s="2">
        <f t="shared" si="21"/>
        <v>605997.3600000001</v>
      </c>
      <c r="U223" s="2">
        <f t="shared" si="22"/>
        <v>8136.8400000000011</v>
      </c>
      <c r="V223" s="10">
        <f>+'A) Base RI'!O223</f>
        <v>0</v>
      </c>
      <c r="W223" s="10">
        <f>+'A) Base RI'!P223</f>
        <v>5800.2</v>
      </c>
      <c r="X223" s="10">
        <f>+'A) Base RI'!R223</f>
        <v>3130.55</v>
      </c>
      <c r="Y223" s="2">
        <f t="shared" si="23"/>
        <v>8930.75</v>
      </c>
      <c r="Z223" s="10">
        <f>+'A) Base RI'!N223</f>
        <v>294.89999999999998</v>
      </c>
      <c r="AA223" s="10">
        <f>+'A) Base RI'!S223+'A) Base RI'!T223</f>
        <v>0</v>
      </c>
      <c r="AB223" s="10">
        <f>+'A) Base RI'!U223</f>
        <v>1440</v>
      </c>
      <c r="AC223" s="10">
        <f>+'A) Base RI'!V223</f>
        <v>0</v>
      </c>
      <c r="AD223" s="10">
        <f>+'A) Base RI'!W223</f>
        <v>0</v>
      </c>
      <c r="AE223" s="10">
        <f>+'A) Base RI'!Y223</f>
        <v>11696</v>
      </c>
      <c r="AF223" s="10">
        <f>+'A) Base RI'!Z223</f>
        <v>0</v>
      </c>
      <c r="AG223" s="10">
        <f>+'A) Base RI'!AA223</f>
        <v>39712.5</v>
      </c>
      <c r="AH223" s="10">
        <f>+'A) Base RI'!AB223</f>
        <v>0</v>
      </c>
      <c r="AI223" s="10">
        <f>+'A) Base RI'!AC223</f>
        <v>19831.7</v>
      </c>
      <c r="AJ223" s="10">
        <f>+'A) Base RI'!AD223</f>
        <v>4340</v>
      </c>
      <c r="AK223" s="10">
        <f>+'A) Base RI'!AE223</f>
        <v>0</v>
      </c>
      <c r="AL223" s="10">
        <f>+'A) Base RI'!AF223</f>
        <v>0</v>
      </c>
      <c r="AM223" s="10">
        <f>+'A) Base RI'!AG223</f>
        <v>0</v>
      </c>
      <c r="AN223" s="10">
        <f>+'A) Base RI'!AH223</f>
        <v>7614.8</v>
      </c>
      <c r="AO223" s="10">
        <f>+'A) Base RI'!AI223</f>
        <v>0</v>
      </c>
      <c r="AP223" s="10">
        <f>+'A) Base RI'!AJ223</f>
        <v>0</v>
      </c>
      <c r="AQ223" s="10">
        <f>+'A) Base RI'!AK223</f>
        <v>0</v>
      </c>
      <c r="AR223" s="10">
        <f>'A) Base RI'!AN223</f>
        <v>309</v>
      </c>
    </row>
    <row r="224" spans="1:44" x14ac:dyDescent="0.25">
      <c r="A224" s="8">
        <f>'A) Base RI'!A224</f>
        <v>5755</v>
      </c>
      <c r="B224" s="34" t="str">
        <f>'A) Base RI'!B224</f>
        <v>Lignerolle</v>
      </c>
      <c r="C224" s="10">
        <f>'A) Base RI'!C224+'A) Base RI'!D224</f>
        <v>689030.65</v>
      </c>
      <c r="D224" s="10">
        <f>'A) Base RI'!AO224</f>
        <v>-53367.34</v>
      </c>
      <c r="E224" s="33">
        <f>'A) Base RI'!AP224</f>
        <v>0</v>
      </c>
      <c r="F224" s="33">
        <f>'A) Base RI'!AQ224</f>
        <v>-8.76</v>
      </c>
      <c r="G224" s="2">
        <f t="shared" si="18"/>
        <v>635654.55000000005</v>
      </c>
      <c r="H224" s="10">
        <f>+'A) Base RI'!E224</f>
        <v>0</v>
      </c>
      <c r="I224" s="10">
        <f>+'A) Base RI'!F224</f>
        <v>0</v>
      </c>
      <c r="J224" s="10">
        <f>+'A) Base RI'!G224+'A) Base RI'!H224</f>
        <v>20229.900000000001</v>
      </c>
      <c r="K224" s="10">
        <f>+'A) Base RI'!I224</f>
        <v>0</v>
      </c>
      <c r="L224" s="10">
        <f>+'A) Base RI'!J224</f>
        <v>19604.66</v>
      </c>
      <c r="M224" s="10">
        <f>+'A) Base RI'!K224</f>
        <v>3152.6</v>
      </c>
      <c r="N224" s="10">
        <f>+'A) Base RI'!Q224</f>
        <v>18120.939999999999</v>
      </c>
      <c r="O224" s="10">
        <f t="shared" si="19"/>
        <v>56237.642857142855</v>
      </c>
      <c r="P224" s="10">
        <f>+'A) Base RI'!L224</f>
        <v>39366.35</v>
      </c>
      <c r="Q224" s="36">
        <f>'A) Base RI'!AR224</f>
        <v>0.7</v>
      </c>
      <c r="R224" s="2">
        <f t="shared" si="20"/>
        <v>753000.29285714286</v>
      </c>
      <c r="S224" s="35">
        <f>+'A) Base RI'!AM224</f>
        <v>80</v>
      </c>
      <c r="T224" s="2">
        <f t="shared" si="21"/>
        <v>693610.05</v>
      </c>
      <c r="U224" s="2">
        <f t="shared" si="22"/>
        <v>9412.5036607142865</v>
      </c>
      <c r="V224" s="10">
        <f>+'A) Base RI'!O224</f>
        <v>0</v>
      </c>
      <c r="W224" s="10">
        <f>+'A) Base RI'!P224</f>
        <v>17655.150000000001</v>
      </c>
      <c r="X224" s="10">
        <f>+'A) Base RI'!R224</f>
        <v>18617.650000000001</v>
      </c>
      <c r="Y224" s="2">
        <f t="shared" si="23"/>
        <v>36272.800000000003</v>
      </c>
      <c r="Z224" s="10">
        <f>+'A) Base RI'!N224</f>
        <v>17491.8</v>
      </c>
      <c r="AA224" s="10">
        <f>+'A) Base RI'!S224+'A) Base RI'!T224</f>
        <v>0</v>
      </c>
      <c r="AB224" s="10">
        <f>+'A) Base RI'!U224</f>
        <v>2450</v>
      </c>
      <c r="AC224" s="10">
        <f>+'A) Base RI'!V224</f>
        <v>0</v>
      </c>
      <c r="AD224" s="10">
        <f>+'A) Base RI'!W224</f>
        <v>0</v>
      </c>
      <c r="AE224" s="10">
        <f>+'A) Base RI'!Y224</f>
        <v>3600</v>
      </c>
      <c r="AF224" s="10">
        <f>+'A) Base RI'!Z224</f>
        <v>0</v>
      </c>
      <c r="AG224" s="10">
        <f>+'A) Base RI'!AA224</f>
        <v>58762.65</v>
      </c>
      <c r="AH224" s="10">
        <f>+'A) Base RI'!AB224</f>
        <v>0</v>
      </c>
      <c r="AI224" s="10">
        <f>+'A) Base RI'!AC224</f>
        <v>49789.4</v>
      </c>
      <c r="AJ224" s="10">
        <f>+'A) Base RI'!AD224</f>
        <v>3600</v>
      </c>
      <c r="AK224" s="10">
        <f>+'A) Base RI'!AE224</f>
        <v>0</v>
      </c>
      <c r="AL224" s="10">
        <f>+'A) Base RI'!AF224</f>
        <v>0</v>
      </c>
      <c r="AM224" s="10">
        <f>+'A) Base RI'!AG224</f>
        <v>0</v>
      </c>
      <c r="AN224" s="10">
        <f>+'A) Base RI'!AH224</f>
        <v>0</v>
      </c>
      <c r="AO224" s="10">
        <f>+'A) Base RI'!AI224</f>
        <v>0</v>
      </c>
      <c r="AP224" s="10">
        <f>+'A) Base RI'!AJ224</f>
        <v>0</v>
      </c>
      <c r="AQ224" s="10">
        <f>+'A) Base RI'!AK224</f>
        <v>0</v>
      </c>
      <c r="AR224" s="10">
        <f>'A) Base RI'!AN224</f>
        <v>417</v>
      </c>
    </row>
    <row r="225" spans="1:44" x14ac:dyDescent="0.25">
      <c r="A225" s="8">
        <f>'A) Base RI'!A225</f>
        <v>5756</v>
      </c>
      <c r="B225" s="34" t="str">
        <f>'A) Base RI'!B225</f>
        <v>Montcherand</v>
      </c>
      <c r="C225" s="10">
        <f>'A) Base RI'!C225+'A) Base RI'!D225</f>
        <v>1205204.56</v>
      </c>
      <c r="D225" s="10">
        <f>'A) Base RI'!AO225</f>
        <v>-15207.37</v>
      </c>
      <c r="E225" s="33">
        <f>'A) Base RI'!AP225</f>
        <v>0</v>
      </c>
      <c r="F225" s="33">
        <f>'A) Base RI'!AQ225</f>
        <v>-254.03</v>
      </c>
      <c r="G225" s="2">
        <f t="shared" si="18"/>
        <v>1189743.1599999999</v>
      </c>
      <c r="H225" s="10">
        <f>+'A) Base RI'!E225</f>
        <v>0</v>
      </c>
      <c r="I225" s="10">
        <f>+'A) Base RI'!F225</f>
        <v>0</v>
      </c>
      <c r="J225" s="10">
        <f>+'A) Base RI'!G225+'A) Base RI'!H225</f>
        <v>64645.450000000004</v>
      </c>
      <c r="K225" s="10">
        <f>+'A) Base RI'!I225</f>
        <v>0</v>
      </c>
      <c r="L225" s="10">
        <f>+'A) Base RI'!J225</f>
        <v>12464.53</v>
      </c>
      <c r="M225" s="10">
        <f>+'A) Base RI'!K225</f>
        <v>61.5</v>
      </c>
      <c r="N225" s="10">
        <f>+'A) Base RI'!Q225</f>
        <v>0</v>
      </c>
      <c r="O225" s="10">
        <f t="shared" si="19"/>
        <v>81036.7</v>
      </c>
      <c r="P225" s="10">
        <f>+'A) Base RI'!L225</f>
        <v>81036.7</v>
      </c>
      <c r="Q225" s="36">
        <f>'A) Base RI'!AR225</f>
        <v>1</v>
      </c>
      <c r="R225" s="2">
        <f t="shared" si="20"/>
        <v>1347951.3399999999</v>
      </c>
      <c r="S225" s="35">
        <f>+'A) Base RI'!AM225</f>
        <v>72</v>
      </c>
      <c r="T225" s="2">
        <f t="shared" si="21"/>
        <v>1266853.1399999999</v>
      </c>
      <c r="U225" s="2">
        <f t="shared" si="22"/>
        <v>18721.546388888888</v>
      </c>
      <c r="V225" s="10">
        <f>+'A) Base RI'!O225</f>
        <v>0</v>
      </c>
      <c r="W225" s="10">
        <f>+'A) Base RI'!P225</f>
        <v>16866.099999999999</v>
      </c>
      <c r="X225" s="10">
        <f>+'A) Base RI'!R225</f>
        <v>15466.1</v>
      </c>
      <c r="Y225" s="2">
        <f t="shared" si="23"/>
        <v>32332.199999999997</v>
      </c>
      <c r="Z225" s="10">
        <f>+'A) Base RI'!N225</f>
        <v>26068.7</v>
      </c>
      <c r="AA225" s="10">
        <f>+'A) Base RI'!S225+'A) Base RI'!T225</f>
        <v>500</v>
      </c>
      <c r="AB225" s="10">
        <f>+'A) Base RI'!U225</f>
        <v>2805</v>
      </c>
      <c r="AC225" s="10">
        <f>+'A) Base RI'!V225</f>
        <v>0</v>
      </c>
      <c r="AD225" s="10">
        <f>+'A) Base RI'!W225</f>
        <v>0</v>
      </c>
      <c r="AE225" s="10">
        <f>+'A) Base RI'!Y225</f>
        <v>4320.3999999999996</v>
      </c>
      <c r="AF225" s="10">
        <f>+'A) Base RI'!Z225</f>
        <v>0</v>
      </c>
      <c r="AG225" s="10">
        <f>+'A) Base RI'!AA225</f>
        <v>55062.6</v>
      </c>
      <c r="AH225" s="10">
        <f>+'A) Base RI'!AB225</f>
        <v>0</v>
      </c>
      <c r="AI225" s="10">
        <f>+'A) Base RI'!AC225</f>
        <v>28429.5</v>
      </c>
      <c r="AJ225" s="10">
        <f>+'A) Base RI'!AD225</f>
        <v>3610.1</v>
      </c>
      <c r="AK225" s="10">
        <f>+'A) Base RI'!AE225</f>
        <v>0</v>
      </c>
      <c r="AL225" s="10">
        <f>+'A) Base RI'!AF225</f>
        <v>0</v>
      </c>
      <c r="AM225" s="10">
        <f>+'A) Base RI'!AG225</f>
        <v>0</v>
      </c>
      <c r="AN225" s="10">
        <f>+'A) Base RI'!AH225</f>
        <v>11357.55</v>
      </c>
      <c r="AO225" s="10">
        <f>+'A) Base RI'!AI225</f>
        <v>0</v>
      </c>
      <c r="AP225" s="10">
        <f>+'A) Base RI'!AJ225</f>
        <v>0</v>
      </c>
      <c r="AQ225" s="10">
        <f>+'A) Base RI'!AK225</f>
        <v>0</v>
      </c>
      <c r="AR225" s="10">
        <f>'A) Base RI'!AN225</f>
        <v>482</v>
      </c>
    </row>
    <row r="226" spans="1:44" x14ac:dyDescent="0.25">
      <c r="A226" s="8">
        <f>'A) Base RI'!A226</f>
        <v>5757</v>
      </c>
      <c r="B226" s="34" t="str">
        <f>'A) Base RI'!B226</f>
        <v>Orbe</v>
      </c>
      <c r="C226" s="10">
        <f>'A) Base RI'!C226+'A) Base RI'!D226</f>
        <v>12167190.280000001</v>
      </c>
      <c r="D226" s="10">
        <f>'A) Base RI'!AO226</f>
        <v>-356228.78</v>
      </c>
      <c r="E226" s="33">
        <f>'A) Base RI'!AP226</f>
        <v>0</v>
      </c>
      <c r="F226" s="33">
        <f>'A) Base RI'!AQ226</f>
        <v>-22809.19</v>
      </c>
      <c r="G226" s="2">
        <f t="shared" si="18"/>
        <v>11788152.310000002</v>
      </c>
      <c r="H226" s="10">
        <f>+'A) Base RI'!E226</f>
        <v>0</v>
      </c>
      <c r="I226" s="10">
        <f>+'A) Base RI'!F226</f>
        <v>0</v>
      </c>
      <c r="J226" s="10">
        <f>+'A) Base RI'!G226+'A) Base RI'!H226</f>
        <v>2232462.7999999998</v>
      </c>
      <c r="K226" s="10">
        <f>+'A) Base RI'!I226</f>
        <v>0</v>
      </c>
      <c r="L226" s="10">
        <f>+'A) Base RI'!J226</f>
        <v>474951.93</v>
      </c>
      <c r="M226" s="10">
        <f>+'A) Base RI'!K226</f>
        <v>71774.399999999994</v>
      </c>
      <c r="N226" s="10">
        <f>+'A) Base RI'!Q226</f>
        <v>79099.490000000005</v>
      </c>
      <c r="O226" s="10">
        <f t="shared" si="19"/>
        <v>1211935.6000000001</v>
      </c>
      <c r="P226" s="10">
        <f>+'A) Base RI'!L226</f>
        <v>1211935.6000000001</v>
      </c>
      <c r="Q226" s="36">
        <f>'A) Base RI'!AR226</f>
        <v>1</v>
      </c>
      <c r="R226" s="2">
        <f t="shared" si="20"/>
        <v>15858376.530000003</v>
      </c>
      <c r="S226" s="35">
        <f>+'A) Base RI'!AM226</f>
        <v>77</v>
      </c>
      <c r="T226" s="2">
        <f t="shared" si="21"/>
        <v>14574666.530000003</v>
      </c>
      <c r="U226" s="2">
        <f t="shared" si="22"/>
        <v>205952.941948052</v>
      </c>
      <c r="V226" s="10">
        <f>+'A) Base RI'!O226</f>
        <v>13397.3</v>
      </c>
      <c r="W226" s="10">
        <f>+'A) Base RI'!P226</f>
        <v>494441.85</v>
      </c>
      <c r="X226" s="10">
        <f>+'A) Base RI'!R226</f>
        <v>442812.05</v>
      </c>
      <c r="Y226" s="2">
        <f t="shared" si="23"/>
        <v>950651.2</v>
      </c>
      <c r="Z226" s="10">
        <f>+'A) Base RI'!N226</f>
        <v>2511647.6</v>
      </c>
      <c r="AA226" s="10">
        <f>+'A) Base RI'!S226+'A) Base RI'!T226</f>
        <v>43370.54</v>
      </c>
      <c r="AB226" s="10">
        <f>+'A) Base RI'!U226</f>
        <v>39960</v>
      </c>
      <c r="AC226" s="10">
        <f>+'A) Base RI'!V226</f>
        <v>744</v>
      </c>
      <c r="AD226" s="10">
        <f>+'A) Base RI'!W226</f>
        <v>0</v>
      </c>
      <c r="AE226" s="10">
        <f>+'A) Base RI'!Y226</f>
        <v>73550</v>
      </c>
      <c r="AF226" s="10">
        <f>+'A) Base RI'!Z226</f>
        <v>0</v>
      </c>
      <c r="AG226" s="10">
        <f>+'A) Base RI'!AA226</f>
        <v>1160217.3</v>
      </c>
      <c r="AH226" s="10">
        <f>+'A) Base RI'!AB226</f>
        <v>0</v>
      </c>
      <c r="AI226" s="10">
        <f>+'A) Base RI'!AC226</f>
        <v>940209.29</v>
      </c>
      <c r="AJ226" s="10">
        <f>+'A) Base RI'!AD226</f>
        <v>24376.799999999999</v>
      </c>
      <c r="AK226" s="10">
        <f>+'A) Base RI'!AE226</f>
        <v>0</v>
      </c>
      <c r="AL226" s="10">
        <f>+'A) Base RI'!AF226</f>
        <v>0</v>
      </c>
      <c r="AM226" s="10">
        <f>+'A) Base RI'!AG226</f>
        <v>14925.6</v>
      </c>
      <c r="AN226" s="10">
        <f>+'A) Base RI'!AH226</f>
        <v>0</v>
      </c>
      <c r="AO226" s="10">
        <f>+'A) Base RI'!AI226</f>
        <v>127547.8</v>
      </c>
      <c r="AP226" s="10">
        <f>+'A) Base RI'!AJ226</f>
        <v>127547.8</v>
      </c>
      <c r="AQ226" s="10">
        <f>+'A) Base RI'!AK226</f>
        <v>0</v>
      </c>
      <c r="AR226" s="10">
        <f>'A) Base RI'!AN226</f>
        <v>6985</v>
      </c>
    </row>
    <row r="227" spans="1:44" x14ac:dyDescent="0.25">
      <c r="A227" s="8">
        <f>'A) Base RI'!A227</f>
        <v>5758</v>
      </c>
      <c r="B227" s="34" t="str">
        <f>'A) Base RI'!B227</f>
        <v>La Praz</v>
      </c>
      <c r="C227" s="10">
        <f>'A) Base RI'!C227+'A) Base RI'!D227</f>
        <v>244100.81</v>
      </c>
      <c r="D227" s="10">
        <f>'A) Base RI'!AO227</f>
        <v>-4425.82</v>
      </c>
      <c r="E227" s="33">
        <f>'A) Base RI'!AP227</f>
        <v>0</v>
      </c>
      <c r="F227" s="33">
        <f>'A) Base RI'!AQ227</f>
        <v>0</v>
      </c>
      <c r="G227" s="2">
        <f t="shared" si="18"/>
        <v>239674.99</v>
      </c>
      <c r="H227" s="10">
        <f>+'A) Base RI'!E227</f>
        <v>0</v>
      </c>
      <c r="I227" s="10">
        <f>+'A) Base RI'!F227</f>
        <v>940</v>
      </c>
      <c r="J227" s="10">
        <f>+'A) Base RI'!G227+'A) Base RI'!H227</f>
        <v>4209.3500000000004</v>
      </c>
      <c r="K227" s="10">
        <f>+'A) Base RI'!I227</f>
        <v>0</v>
      </c>
      <c r="L227" s="10">
        <f>+'A) Base RI'!J227</f>
        <v>846.63</v>
      </c>
      <c r="M227" s="10">
        <f>+'A) Base RI'!K227</f>
        <v>0</v>
      </c>
      <c r="N227" s="10">
        <f>+'A) Base RI'!Q227</f>
        <v>0</v>
      </c>
      <c r="O227" s="10">
        <f t="shared" si="19"/>
        <v>22432.833333333332</v>
      </c>
      <c r="P227" s="10">
        <f>+'A) Base RI'!L227</f>
        <v>20189.55</v>
      </c>
      <c r="Q227" s="36">
        <f>'A) Base RI'!AR227</f>
        <v>0.9</v>
      </c>
      <c r="R227" s="2">
        <f t="shared" si="20"/>
        <v>268103.80333333334</v>
      </c>
      <c r="S227" s="35">
        <f>+'A) Base RI'!AM227</f>
        <v>83</v>
      </c>
      <c r="T227" s="2">
        <f t="shared" si="21"/>
        <v>244730.97</v>
      </c>
      <c r="U227" s="2">
        <f t="shared" si="22"/>
        <v>3230.1663052208837</v>
      </c>
      <c r="V227" s="10">
        <f>+'A) Base RI'!O227</f>
        <v>23869.7</v>
      </c>
      <c r="W227" s="10">
        <f>+'A) Base RI'!P227</f>
        <v>20757</v>
      </c>
      <c r="X227" s="10">
        <f>+'A) Base RI'!R227</f>
        <v>8141.1</v>
      </c>
      <c r="Y227" s="2">
        <f t="shared" si="23"/>
        <v>52767.799999999996</v>
      </c>
      <c r="Z227" s="10">
        <f>+'A) Base RI'!N227</f>
        <v>0</v>
      </c>
      <c r="AA227" s="10">
        <f>+'A) Base RI'!S227+'A) Base RI'!T227</f>
        <v>0</v>
      </c>
      <c r="AB227" s="10">
        <f>+'A) Base RI'!U227</f>
        <v>780</v>
      </c>
      <c r="AC227" s="10">
        <f>+'A) Base RI'!V227</f>
        <v>0</v>
      </c>
      <c r="AD227" s="10">
        <f>+'A) Base RI'!W227</f>
        <v>0</v>
      </c>
      <c r="AE227" s="10">
        <f>+'A) Base RI'!Y227</f>
        <v>8581.75</v>
      </c>
      <c r="AF227" s="10">
        <f>+'A) Base RI'!Z227</f>
        <v>0</v>
      </c>
      <c r="AG227" s="10">
        <f>+'A) Base RI'!AA227</f>
        <v>26406.95</v>
      </c>
      <c r="AH227" s="10">
        <f>+'A) Base RI'!AB227</f>
        <v>0</v>
      </c>
      <c r="AI227" s="10">
        <f>+'A) Base RI'!AC227</f>
        <v>12115.85</v>
      </c>
      <c r="AJ227" s="10">
        <f>+'A) Base RI'!AD227</f>
        <v>9000</v>
      </c>
      <c r="AK227" s="10">
        <f>+'A) Base RI'!AE227</f>
        <v>0</v>
      </c>
      <c r="AL227" s="10">
        <f>+'A) Base RI'!AF227</f>
        <v>0</v>
      </c>
      <c r="AM227" s="10">
        <f>+'A) Base RI'!AG227</f>
        <v>0</v>
      </c>
      <c r="AN227" s="10">
        <f>+'A) Base RI'!AH227</f>
        <v>2100</v>
      </c>
      <c r="AO227" s="10">
        <f>+'A) Base RI'!AI227</f>
        <v>0</v>
      </c>
      <c r="AP227" s="10">
        <f>+'A) Base RI'!AJ227</f>
        <v>0</v>
      </c>
      <c r="AQ227" s="10">
        <f>+'A) Base RI'!AK227</f>
        <v>0</v>
      </c>
      <c r="AR227" s="10">
        <f>'A) Base RI'!AN227</f>
        <v>160</v>
      </c>
    </row>
    <row r="228" spans="1:44" x14ac:dyDescent="0.25">
      <c r="A228" s="8">
        <f>'A) Base RI'!A228</f>
        <v>5759</v>
      </c>
      <c r="B228" s="34" t="str">
        <f>'A) Base RI'!B228</f>
        <v>Premier</v>
      </c>
      <c r="C228" s="10">
        <f>'A) Base RI'!C228+'A) Base RI'!D228</f>
        <v>365626.29</v>
      </c>
      <c r="D228" s="10">
        <f>'A) Base RI'!AO228</f>
        <v>-11828.77</v>
      </c>
      <c r="E228" s="33">
        <f>'A) Base RI'!AP228</f>
        <v>0</v>
      </c>
      <c r="F228" s="33">
        <f>'A) Base RI'!AQ228</f>
        <v>-30.22</v>
      </c>
      <c r="G228" s="2">
        <f t="shared" si="18"/>
        <v>353767.3</v>
      </c>
      <c r="H228" s="10">
        <f>+'A) Base RI'!E228</f>
        <v>0</v>
      </c>
      <c r="I228" s="10">
        <f>+'A) Base RI'!F228</f>
        <v>0</v>
      </c>
      <c r="J228" s="10">
        <f>+'A) Base RI'!G228+'A) Base RI'!H228</f>
        <v>1154.8</v>
      </c>
      <c r="K228" s="10">
        <f>+'A) Base RI'!I228</f>
        <v>0</v>
      </c>
      <c r="L228" s="10">
        <f>+'A) Base RI'!J228</f>
        <v>2377.8200000000002</v>
      </c>
      <c r="M228" s="10">
        <f>+'A) Base RI'!K228</f>
        <v>242.95</v>
      </c>
      <c r="N228" s="10">
        <f>+'A) Base RI'!Q228</f>
        <v>0</v>
      </c>
      <c r="O228" s="10">
        <f t="shared" si="19"/>
        <v>25806.7</v>
      </c>
      <c r="P228" s="10">
        <f>+'A) Base RI'!L228</f>
        <v>25806.7</v>
      </c>
      <c r="Q228" s="36">
        <f>'A) Base RI'!AR228</f>
        <v>1</v>
      </c>
      <c r="R228" s="2">
        <f t="shared" si="20"/>
        <v>383349.57</v>
      </c>
      <c r="S228" s="35">
        <f>+'A) Base RI'!AM228</f>
        <v>81</v>
      </c>
      <c r="T228" s="2">
        <f t="shared" si="21"/>
        <v>357299.92</v>
      </c>
      <c r="U228" s="2">
        <f t="shared" si="22"/>
        <v>4732.7107407407411</v>
      </c>
      <c r="V228" s="10">
        <f>+'A) Base RI'!O228</f>
        <v>0</v>
      </c>
      <c r="W228" s="10">
        <f>+'A) Base RI'!P228</f>
        <v>15840</v>
      </c>
      <c r="X228" s="10">
        <f>+'A) Base RI'!R228</f>
        <v>22357.9</v>
      </c>
      <c r="Y228" s="2">
        <f t="shared" si="23"/>
        <v>38197.9</v>
      </c>
      <c r="Z228" s="10">
        <f>+'A) Base RI'!N228</f>
        <v>1371.65</v>
      </c>
      <c r="AA228" s="10">
        <f>+'A) Base RI'!S228+'A) Base RI'!T228</f>
        <v>0</v>
      </c>
      <c r="AB228" s="10">
        <f>+'A) Base RI'!U228</f>
        <v>1225</v>
      </c>
      <c r="AC228" s="10">
        <f>+'A) Base RI'!V228</f>
        <v>0</v>
      </c>
      <c r="AD228" s="10">
        <f>+'A) Base RI'!W228</f>
        <v>0</v>
      </c>
      <c r="AE228" s="10">
        <f>+'A) Base RI'!Y228</f>
        <v>0</v>
      </c>
      <c r="AF228" s="10">
        <f>+'A) Base RI'!Z228</f>
        <v>0</v>
      </c>
      <c r="AG228" s="10">
        <f>+'A) Base RI'!AA228</f>
        <v>25852.55</v>
      </c>
      <c r="AH228" s="10">
        <f>+'A) Base RI'!AB228</f>
        <v>0</v>
      </c>
      <c r="AI228" s="10">
        <f>+'A) Base RI'!AC228</f>
        <v>17660.3</v>
      </c>
      <c r="AJ228" s="10">
        <f>+'A) Base RI'!AD228</f>
        <v>0</v>
      </c>
      <c r="AK228" s="10">
        <f>+'A) Base RI'!AE228</f>
        <v>0</v>
      </c>
      <c r="AL228" s="10">
        <f>+'A) Base RI'!AF228</f>
        <v>0</v>
      </c>
      <c r="AM228" s="10">
        <f>+'A) Base RI'!AG228</f>
        <v>0</v>
      </c>
      <c r="AN228" s="10">
        <f>+'A) Base RI'!AH228</f>
        <v>0</v>
      </c>
      <c r="AO228" s="10">
        <f>+'A) Base RI'!AI228</f>
        <v>0</v>
      </c>
      <c r="AP228" s="10">
        <f>+'A) Base RI'!AJ228</f>
        <v>0</v>
      </c>
      <c r="AQ228" s="10">
        <f>+'A) Base RI'!AK228</f>
        <v>0</v>
      </c>
      <c r="AR228" s="10">
        <f>'A) Base RI'!AN228</f>
        <v>210</v>
      </c>
    </row>
    <row r="229" spans="1:44" x14ac:dyDescent="0.25">
      <c r="A229" s="8">
        <f>'A) Base RI'!A229</f>
        <v>5760</v>
      </c>
      <c r="B229" s="34" t="str">
        <f>'A) Base RI'!B229</f>
        <v>Rances</v>
      </c>
      <c r="C229" s="10">
        <f>'A) Base RI'!C229+'A) Base RI'!D229</f>
        <v>782853.49</v>
      </c>
      <c r="D229" s="10">
        <f>'A) Base RI'!AO229</f>
        <v>-44141.71</v>
      </c>
      <c r="E229" s="33">
        <f>'A) Base RI'!AP229</f>
        <v>0</v>
      </c>
      <c r="F229" s="33">
        <f>'A) Base RI'!AQ229</f>
        <v>-637.04</v>
      </c>
      <c r="G229" s="2">
        <f t="shared" si="18"/>
        <v>738074.74</v>
      </c>
      <c r="H229" s="10">
        <f>+'A) Base RI'!E229</f>
        <v>0</v>
      </c>
      <c r="I229" s="10">
        <f>+'A) Base RI'!F229</f>
        <v>2310</v>
      </c>
      <c r="J229" s="10">
        <f>+'A) Base RI'!G229+'A) Base RI'!H229</f>
        <v>11312.199999999999</v>
      </c>
      <c r="K229" s="10">
        <f>+'A) Base RI'!I229</f>
        <v>0</v>
      </c>
      <c r="L229" s="10">
        <f>+'A) Base RI'!J229</f>
        <v>172.7</v>
      </c>
      <c r="M229" s="10">
        <f>+'A) Base RI'!K229</f>
        <v>0</v>
      </c>
      <c r="N229" s="10">
        <f>+'A) Base RI'!Q229</f>
        <v>577.46</v>
      </c>
      <c r="O229" s="10">
        <f t="shared" si="19"/>
        <v>64127.1</v>
      </c>
      <c r="P229" s="10">
        <f>+'A) Base RI'!L229</f>
        <v>96190.65</v>
      </c>
      <c r="Q229" s="36">
        <f>'A) Base RI'!AR229</f>
        <v>1.5</v>
      </c>
      <c r="R229" s="2">
        <f t="shared" si="20"/>
        <v>816574.19999999984</v>
      </c>
      <c r="S229" s="35">
        <f>+'A) Base RI'!AM229</f>
        <v>78</v>
      </c>
      <c r="T229" s="2">
        <f t="shared" si="21"/>
        <v>750137.09999999986</v>
      </c>
      <c r="U229" s="2">
        <f t="shared" si="22"/>
        <v>10468.899999999998</v>
      </c>
      <c r="V229" s="10">
        <f>+'A) Base RI'!O229</f>
        <v>0</v>
      </c>
      <c r="W229" s="10">
        <f>+'A) Base RI'!P229</f>
        <v>15840</v>
      </c>
      <c r="X229" s="10">
        <f>+'A) Base RI'!R229</f>
        <v>22330.2</v>
      </c>
      <c r="Y229" s="2">
        <f t="shared" si="23"/>
        <v>38170.199999999997</v>
      </c>
      <c r="Z229" s="10">
        <f>+'A) Base RI'!N229</f>
        <v>13876.8</v>
      </c>
      <c r="AA229" s="10">
        <f>+'A) Base RI'!S229+'A) Base RI'!T229</f>
        <v>772.25</v>
      </c>
      <c r="AB229" s="10">
        <f>+'A) Base RI'!U229</f>
        <v>2940</v>
      </c>
      <c r="AC229" s="10">
        <f>+'A) Base RI'!V229</f>
        <v>0</v>
      </c>
      <c r="AD229" s="10">
        <f>+'A) Base RI'!W229</f>
        <v>0</v>
      </c>
      <c r="AE229" s="10">
        <f>+'A) Base RI'!Y229</f>
        <v>0</v>
      </c>
      <c r="AF229" s="10">
        <f>+'A) Base RI'!Z229</f>
        <v>415.9</v>
      </c>
      <c r="AG229" s="10">
        <f>+'A) Base RI'!AA229</f>
        <v>45349.35</v>
      </c>
      <c r="AH229" s="10">
        <f>+'A) Base RI'!AB229</f>
        <v>64911.95</v>
      </c>
      <c r="AI229" s="10">
        <f>+'A) Base RI'!AC229</f>
        <v>27270.85</v>
      </c>
      <c r="AJ229" s="10">
        <f>+'A) Base RI'!AD229</f>
        <v>0</v>
      </c>
      <c r="AK229" s="10">
        <f>+'A) Base RI'!AE229</f>
        <v>0</v>
      </c>
      <c r="AL229" s="10">
        <f>+'A) Base RI'!AF229</f>
        <v>0</v>
      </c>
      <c r="AM229" s="10">
        <f>+'A) Base RI'!AG229</f>
        <v>0</v>
      </c>
      <c r="AN229" s="10">
        <f>+'A) Base RI'!AH229</f>
        <v>0</v>
      </c>
      <c r="AO229" s="10">
        <f>+'A) Base RI'!AI229</f>
        <v>0</v>
      </c>
      <c r="AP229" s="10">
        <f>+'A) Base RI'!AJ229</f>
        <v>0</v>
      </c>
      <c r="AQ229" s="10">
        <f>+'A) Base RI'!AK229</f>
        <v>0</v>
      </c>
      <c r="AR229" s="10">
        <f>'A) Base RI'!AN229</f>
        <v>485</v>
      </c>
    </row>
    <row r="230" spans="1:44" x14ac:dyDescent="0.25">
      <c r="A230" s="8">
        <f>'A) Base RI'!A230</f>
        <v>5761</v>
      </c>
      <c r="B230" s="34" t="str">
        <f>'A) Base RI'!B230</f>
        <v>Romainmôtier-Envy</v>
      </c>
      <c r="C230" s="10">
        <f>'A) Base RI'!C230+'A) Base RI'!D230</f>
        <v>953506.33000000007</v>
      </c>
      <c r="D230" s="10">
        <f>'A) Base RI'!AO230</f>
        <v>-11989.97</v>
      </c>
      <c r="E230" s="33">
        <f>'A) Base RI'!AP230</f>
        <v>0</v>
      </c>
      <c r="F230" s="33">
        <f>'A) Base RI'!AQ230</f>
        <v>-0.01</v>
      </c>
      <c r="G230" s="2">
        <f t="shared" si="18"/>
        <v>941516.35000000009</v>
      </c>
      <c r="H230" s="10">
        <f>+'A) Base RI'!E230</f>
        <v>0</v>
      </c>
      <c r="I230" s="10">
        <f>+'A) Base RI'!F230</f>
        <v>0</v>
      </c>
      <c r="J230" s="10">
        <f>+'A) Base RI'!G230+'A) Base RI'!H230</f>
        <v>15387.5</v>
      </c>
      <c r="K230" s="10">
        <f>+'A) Base RI'!I230</f>
        <v>0</v>
      </c>
      <c r="L230" s="10">
        <f>+'A) Base RI'!J230</f>
        <v>6284.36</v>
      </c>
      <c r="M230" s="10">
        <f>+'A) Base RI'!K230</f>
        <v>3477.55</v>
      </c>
      <c r="N230" s="10">
        <f>+'A) Base RI'!Q230</f>
        <v>1745.7</v>
      </c>
      <c r="O230" s="10">
        <f t="shared" si="19"/>
        <v>75840.409090909088</v>
      </c>
      <c r="P230" s="10">
        <f>+'A) Base RI'!L230</f>
        <v>83424.45</v>
      </c>
      <c r="Q230" s="36">
        <f>'A) Base RI'!AR230</f>
        <v>1.1000000000000001</v>
      </c>
      <c r="R230" s="2">
        <f t="shared" si="20"/>
        <v>1044251.8690909091</v>
      </c>
      <c r="S230" s="35">
        <f>+'A) Base RI'!AM230</f>
        <v>81</v>
      </c>
      <c r="T230" s="2">
        <f t="shared" si="21"/>
        <v>964933.91</v>
      </c>
      <c r="U230" s="2">
        <f t="shared" si="22"/>
        <v>12891.998383838385</v>
      </c>
      <c r="V230" s="10">
        <f>+'A) Base RI'!O230</f>
        <v>15866.2</v>
      </c>
      <c r="W230" s="10">
        <f>+'A) Base RI'!P230</f>
        <v>50973.75</v>
      </c>
      <c r="X230" s="10">
        <f>+'A) Base RI'!R230</f>
        <v>20098.8</v>
      </c>
      <c r="Y230" s="2">
        <f t="shared" si="23"/>
        <v>86938.75</v>
      </c>
      <c r="Z230" s="10">
        <f>+'A) Base RI'!N230</f>
        <v>49055</v>
      </c>
      <c r="AA230" s="10">
        <f>+'A) Base RI'!S230+'A) Base RI'!T230</f>
        <v>502.45</v>
      </c>
      <c r="AB230" s="10">
        <f>+'A) Base RI'!U230</f>
        <v>3312</v>
      </c>
      <c r="AC230" s="10">
        <f>+'A) Base RI'!V230</f>
        <v>704.3</v>
      </c>
      <c r="AD230" s="10">
        <f>+'A) Base RI'!W230</f>
        <v>0</v>
      </c>
      <c r="AE230" s="10">
        <f>+'A) Base RI'!Y230</f>
        <v>5126</v>
      </c>
      <c r="AF230" s="10">
        <f>+'A) Base RI'!Z230</f>
        <v>0</v>
      </c>
      <c r="AG230" s="10">
        <f>+'A) Base RI'!AA230</f>
        <v>91525.85</v>
      </c>
      <c r="AH230" s="10">
        <f>+'A) Base RI'!AB230</f>
        <v>0</v>
      </c>
      <c r="AI230" s="10">
        <f>+'A) Base RI'!AC230</f>
        <v>53065.85</v>
      </c>
      <c r="AJ230" s="10">
        <f>+'A) Base RI'!AD230</f>
        <v>1864</v>
      </c>
      <c r="AK230" s="10">
        <f>+'A) Base RI'!AE230</f>
        <v>0</v>
      </c>
      <c r="AL230" s="10">
        <f>+'A) Base RI'!AF230</f>
        <v>0</v>
      </c>
      <c r="AM230" s="10">
        <f>+'A) Base RI'!AG230</f>
        <v>0</v>
      </c>
      <c r="AN230" s="10">
        <f>+'A) Base RI'!AH230</f>
        <v>17242.2</v>
      </c>
      <c r="AO230" s="10">
        <f>+'A) Base RI'!AI230</f>
        <v>0</v>
      </c>
      <c r="AP230" s="10">
        <f>+'A) Base RI'!AJ230</f>
        <v>0</v>
      </c>
      <c r="AQ230" s="10">
        <f>+'A) Base RI'!AK230</f>
        <v>0</v>
      </c>
      <c r="AR230" s="10">
        <f>'A) Base RI'!AN230</f>
        <v>551</v>
      </c>
    </row>
    <row r="231" spans="1:44" x14ac:dyDescent="0.25">
      <c r="A231" s="8">
        <f>'A) Base RI'!A231</f>
        <v>5762</v>
      </c>
      <c r="B231" s="34" t="str">
        <f>'A) Base RI'!B231</f>
        <v>Sergey</v>
      </c>
      <c r="C231" s="10">
        <f>'A) Base RI'!C231+'A) Base RI'!D231</f>
        <v>290143.22000000003</v>
      </c>
      <c r="D231" s="10">
        <f>'A) Base RI'!AO231</f>
        <v>-3249.89</v>
      </c>
      <c r="E231" s="33">
        <f>'A) Base RI'!AP231</f>
        <v>0</v>
      </c>
      <c r="F231" s="33">
        <f>'A) Base RI'!AQ231</f>
        <v>0</v>
      </c>
      <c r="G231" s="2">
        <f t="shared" si="18"/>
        <v>286893.33</v>
      </c>
      <c r="H231" s="10">
        <f>+'A) Base RI'!E231</f>
        <v>0</v>
      </c>
      <c r="I231" s="10">
        <f>+'A) Base RI'!F231</f>
        <v>0</v>
      </c>
      <c r="J231" s="10">
        <f>+'A) Base RI'!G231+'A) Base RI'!H231</f>
        <v>13259.8</v>
      </c>
      <c r="K231" s="10">
        <f>+'A) Base RI'!I231</f>
        <v>0</v>
      </c>
      <c r="L231" s="10">
        <f>+'A) Base RI'!J231</f>
        <v>-3687.24</v>
      </c>
      <c r="M231" s="10">
        <f>+'A) Base RI'!K231</f>
        <v>0</v>
      </c>
      <c r="N231" s="10">
        <f>+'A) Base RI'!Q231</f>
        <v>0</v>
      </c>
      <c r="O231" s="10">
        <f t="shared" si="19"/>
        <v>18643.2</v>
      </c>
      <c r="P231" s="10">
        <f>+'A) Base RI'!L231</f>
        <v>18643.2</v>
      </c>
      <c r="Q231" s="36">
        <f>'A) Base RI'!AR231</f>
        <v>1</v>
      </c>
      <c r="R231" s="2">
        <f t="shared" si="20"/>
        <v>315109.09000000003</v>
      </c>
      <c r="S231" s="35">
        <f>+'A) Base RI'!AM231</f>
        <v>78</v>
      </c>
      <c r="T231" s="2">
        <f t="shared" si="21"/>
        <v>296465.89</v>
      </c>
      <c r="U231" s="2">
        <f t="shared" si="22"/>
        <v>4039.8601282051286</v>
      </c>
      <c r="V231" s="10">
        <f>+'A) Base RI'!O231</f>
        <v>922.5</v>
      </c>
      <c r="W231" s="10">
        <f>+'A) Base RI'!P231</f>
        <v>0</v>
      </c>
      <c r="X231" s="10">
        <f>+'A) Base RI'!R231</f>
        <v>0</v>
      </c>
      <c r="Y231" s="2">
        <f t="shared" si="23"/>
        <v>922.5</v>
      </c>
      <c r="Z231" s="10">
        <f>+'A) Base RI'!N231</f>
        <v>9127.7000000000007</v>
      </c>
      <c r="AA231" s="10">
        <f>+'A) Base RI'!S231+'A) Base RI'!T231</f>
        <v>0</v>
      </c>
      <c r="AB231" s="10">
        <f>+'A) Base RI'!U231</f>
        <v>900</v>
      </c>
      <c r="AC231" s="10">
        <f>+'A) Base RI'!V231</f>
        <v>0</v>
      </c>
      <c r="AD231" s="10">
        <f>+'A) Base RI'!W231</f>
        <v>0</v>
      </c>
      <c r="AE231" s="10">
        <f>+'A) Base RI'!Y231</f>
        <v>0</v>
      </c>
      <c r="AF231" s="10">
        <f>+'A) Base RI'!Z231</f>
        <v>0</v>
      </c>
      <c r="AG231" s="10">
        <f>+'A) Base RI'!AA231</f>
        <v>5512.8</v>
      </c>
      <c r="AH231" s="10">
        <f>+'A) Base RI'!AB231</f>
        <v>0</v>
      </c>
      <c r="AI231" s="10">
        <f>+'A) Base RI'!AC231</f>
        <v>12022.35</v>
      </c>
      <c r="AJ231" s="10">
        <f>+'A) Base RI'!AD231</f>
        <v>0</v>
      </c>
      <c r="AK231" s="10">
        <f>+'A) Base RI'!AE231</f>
        <v>0</v>
      </c>
      <c r="AL231" s="10">
        <f>+'A) Base RI'!AF231</f>
        <v>0</v>
      </c>
      <c r="AM231" s="10">
        <f>+'A) Base RI'!AG231</f>
        <v>0</v>
      </c>
      <c r="AN231" s="10">
        <f>+'A) Base RI'!AH231</f>
        <v>0</v>
      </c>
      <c r="AO231" s="10">
        <f>+'A) Base RI'!AI231</f>
        <v>0</v>
      </c>
      <c r="AP231" s="10">
        <f>+'A) Base RI'!AJ231</f>
        <v>0</v>
      </c>
      <c r="AQ231" s="10">
        <f>+'A) Base RI'!AK231</f>
        <v>0</v>
      </c>
      <c r="AR231" s="10">
        <f>'A) Base RI'!AN231</f>
        <v>137</v>
      </c>
    </row>
    <row r="232" spans="1:44" x14ac:dyDescent="0.25">
      <c r="A232" s="8">
        <f>'A) Base RI'!A232</f>
        <v>5763</v>
      </c>
      <c r="B232" s="34" t="str">
        <f>'A) Base RI'!B232</f>
        <v>Valeyres-sous-Rances</v>
      </c>
      <c r="C232" s="10">
        <f>'A) Base RI'!C232+'A) Base RI'!D232</f>
        <v>1200306.74</v>
      </c>
      <c r="D232" s="10">
        <f>'A) Base RI'!AO232</f>
        <v>-5783.68</v>
      </c>
      <c r="E232" s="33">
        <f>'A) Base RI'!AP232</f>
        <v>0</v>
      </c>
      <c r="F232" s="33">
        <f>'A) Base RI'!AQ232</f>
        <v>-99.31</v>
      </c>
      <c r="G232" s="2">
        <f t="shared" si="18"/>
        <v>1194423.75</v>
      </c>
      <c r="H232" s="10">
        <f>+'A) Base RI'!E232</f>
        <v>0</v>
      </c>
      <c r="I232" s="10">
        <f>+'A) Base RI'!F232</f>
        <v>3420</v>
      </c>
      <c r="J232" s="10">
        <f>+'A) Base RI'!G232+'A) Base RI'!H232</f>
        <v>-2614.1</v>
      </c>
      <c r="K232" s="10">
        <f>+'A) Base RI'!I232</f>
        <v>0</v>
      </c>
      <c r="L232" s="10">
        <f>+'A) Base RI'!J232</f>
        <v>20690.38</v>
      </c>
      <c r="M232" s="10">
        <f>+'A) Base RI'!K232</f>
        <v>3484.35</v>
      </c>
      <c r="N232" s="10">
        <f>+'A) Base RI'!Q232</f>
        <v>1462.6</v>
      </c>
      <c r="O232" s="10">
        <f t="shared" si="19"/>
        <v>82484.2</v>
      </c>
      <c r="P232" s="10">
        <f>+'A) Base RI'!L232</f>
        <v>82484.2</v>
      </c>
      <c r="Q232" s="36">
        <f>'A) Base RI'!AR232</f>
        <v>1</v>
      </c>
      <c r="R232" s="2">
        <f t="shared" si="20"/>
        <v>1303351.18</v>
      </c>
      <c r="S232" s="35">
        <f>+'A) Base RI'!AM232</f>
        <v>65</v>
      </c>
      <c r="T232" s="2">
        <f t="shared" si="21"/>
        <v>1213962.6299999999</v>
      </c>
      <c r="U232" s="2">
        <f t="shared" si="22"/>
        <v>20051.556615384616</v>
      </c>
      <c r="V232" s="10">
        <f>+'A) Base RI'!O232</f>
        <v>0</v>
      </c>
      <c r="W232" s="10">
        <f>+'A) Base RI'!P232</f>
        <v>20077.75</v>
      </c>
      <c r="X232" s="10">
        <f>+'A) Base RI'!R232</f>
        <v>18042.099999999999</v>
      </c>
      <c r="Y232" s="2">
        <f t="shared" si="23"/>
        <v>38119.85</v>
      </c>
      <c r="Z232" s="10">
        <f>+'A) Base RI'!N232</f>
        <v>64422.35</v>
      </c>
      <c r="AA232" s="10">
        <f>+'A) Base RI'!S232+'A) Base RI'!T232</f>
        <v>1579.9</v>
      </c>
      <c r="AB232" s="10">
        <f>+'A) Base RI'!U232</f>
        <v>4250</v>
      </c>
      <c r="AC232" s="10">
        <f>+'A) Base RI'!V232</f>
        <v>0</v>
      </c>
      <c r="AD232" s="10">
        <f>+'A) Base RI'!W232</f>
        <v>0</v>
      </c>
      <c r="AE232" s="10">
        <f>+'A) Base RI'!Y232</f>
        <v>5833.2</v>
      </c>
      <c r="AF232" s="10">
        <f>+'A) Base RI'!Z232</f>
        <v>0</v>
      </c>
      <c r="AG232" s="10">
        <f>+'A) Base RI'!AA232</f>
        <v>94503.2</v>
      </c>
      <c r="AH232" s="10">
        <f>+'A) Base RI'!AB232</f>
        <v>0</v>
      </c>
      <c r="AI232" s="10">
        <f>+'A) Base RI'!AC232</f>
        <v>54803.05</v>
      </c>
      <c r="AJ232" s="10">
        <f>+'A) Base RI'!AD232</f>
        <v>6560.6</v>
      </c>
      <c r="AK232" s="10">
        <f>+'A) Base RI'!AE232</f>
        <v>0</v>
      </c>
      <c r="AL232" s="10">
        <f>+'A) Base RI'!AF232</f>
        <v>0</v>
      </c>
      <c r="AM232" s="10">
        <f>+'A) Base RI'!AG232</f>
        <v>0</v>
      </c>
      <c r="AN232" s="10">
        <f>+'A) Base RI'!AH232</f>
        <v>0</v>
      </c>
      <c r="AO232" s="10">
        <f>+'A) Base RI'!AI232</f>
        <v>0</v>
      </c>
      <c r="AP232" s="10">
        <f>+'A) Base RI'!AJ232</f>
        <v>0</v>
      </c>
      <c r="AQ232" s="10">
        <f>+'A) Base RI'!AK232</f>
        <v>0</v>
      </c>
      <c r="AR232" s="10">
        <f>'A) Base RI'!AN232</f>
        <v>631</v>
      </c>
    </row>
    <row r="233" spans="1:44" x14ac:dyDescent="0.25">
      <c r="A233" s="8">
        <f>'A) Base RI'!A233</f>
        <v>5764</v>
      </c>
      <c r="B233" s="34" t="str">
        <f>'A) Base RI'!B233</f>
        <v>Vallorbe</v>
      </c>
      <c r="C233" s="10">
        <f>'A) Base RI'!C233+'A) Base RI'!D233</f>
        <v>5050699.42</v>
      </c>
      <c r="D233" s="10">
        <f>'A) Base RI'!AO233</f>
        <v>-204440.24</v>
      </c>
      <c r="E233" s="33">
        <f>'A) Base RI'!AP233</f>
        <v>0</v>
      </c>
      <c r="F233" s="33">
        <f>'A) Base RI'!AQ233</f>
        <v>-312.85000000000002</v>
      </c>
      <c r="G233" s="2">
        <f t="shared" si="18"/>
        <v>4845946.33</v>
      </c>
      <c r="H233" s="10">
        <f>+'A) Base RI'!E233</f>
        <v>0</v>
      </c>
      <c r="I233" s="10">
        <f>+'A) Base RI'!F233</f>
        <v>0</v>
      </c>
      <c r="J233" s="10">
        <f>+'A) Base RI'!G233+'A) Base RI'!H233</f>
        <v>528192.04999999993</v>
      </c>
      <c r="K233" s="10">
        <f>+'A) Base RI'!I233</f>
        <v>0</v>
      </c>
      <c r="L233" s="10">
        <f>+'A) Base RI'!J233</f>
        <v>253550.03</v>
      </c>
      <c r="M233" s="10">
        <f>+'A) Base RI'!K233</f>
        <v>16142.75</v>
      </c>
      <c r="N233" s="10">
        <f>+'A) Base RI'!Q233</f>
        <v>29098.83</v>
      </c>
      <c r="O233" s="10">
        <f t="shared" si="19"/>
        <v>412807.6</v>
      </c>
      <c r="P233" s="10">
        <f>+'A) Base RI'!L233</f>
        <v>412807.6</v>
      </c>
      <c r="Q233" s="36">
        <f>'A) Base RI'!AR233</f>
        <v>1</v>
      </c>
      <c r="R233" s="2">
        <f t="shared" si="20"/>
        <v>6085737.5899999999</v>
      </c>
      <c r="S233" s="35">
        <f>+'A) Base RI'!AM233</f>
        <v>73</v>
      </c>
      <c r="T233" s="2">
        <f t="shared" si="21"/>
        <v>5656787.2400000002</v>
      </c>
      <c r="U233" s="2">
        <f t="shared" si="22"/>
        <v>83366.268356164379</v>
      </c>
      <c r="V233" s="10">
        <f>+'A) Base RI'!O233</f>
        <v>22688.799999999999</v>
      </c>
      <c r="W233" s="10">
        <f>+'A) Base RI'!P233</f>
        <v>230419.3</v>
      </c>
      <c r="X233" s="10">
        <f>+'A) Base RI'!R233</f>
        <v>90429</v>
      </c>
      <c r="Y233" s="2">
        <f t="shared" si="23"/>
        <v>343537.1</v>
      </c>
      <c r="Z233" s="10">
        <f>+'A) Base RI'!N233</f>
        <v>2031379.6</v>
      </c>
      <c r="AA233" s="10">
        <f>+'A) Base RI'!S233+'A) Base RI'!T233</f>
        <v>8374.2000000000007</v>
      </c>
      <c r="AB233" s="10">
        <f>+'A) Base RI'!U233</f>
        <v>21262.5</v>
      </c>
      <c r="AC233" s="10">
        <f>+'A) Base RI'!V233</f>
        <v>50288.6</v>
      </c>
      <c r="AD233" s="10">
        <f>+'A) Base RI'!W233</f>
        <v>0</v>
      </c>
      <c r="AE233" s="10">
        <f>+'A) Base RI'!Y233</f>
        <v>53983.7</v>
      </c>
      <c r="AF233" s="10">
        <f>+'A) Base RI'!Z233</f>
        <v>4300</v>
      </c>
      <c r="AG233" s="10">
        <f>+'A) Base RI'!AA233</f>
        <v>527235.71</v>
      </c>
      <c r="AH233" s="10">
        <f>+'A) Base RI'!AB233</f>
        <v>0</v>
      </c>
      <c r="AI233" s="10">
        <f>+'A) Base RI'!AC233</f>
        <v>547957.72</v>
      </c>
      <c r="AJ233" s="10">
        <f>+'A) Base RI'!AD233</f>
        <v>17196.3</v>
      </c>
      <c r="AK233" s="10">
        <f>+'A) Base RI'!AE233</f>
        <v>7279.65</v>
      </c>
      <c r="AL233" s="10">
        <f>+'A) Base RI'!AF233</f>
        <v>0</v>
      </c>
      <c r="AM233" s="10">
        <f>+'A) Base RI'!AG233</f>
        <v>6736.2</v>
      </c>
      <c r="AN233" s="10">
        <f>+'A) Base RI'!AH233</f>
        <v>196439.25</v>
      </c>
      <c r="AO233" s="10">
        <f>+'A) Base RI'!AI233</f>
        <v>0</v>
      </c>
      <c r="AP233" s="10">
        <f>+'A) Base RI'!AJ233</f>
        <v>0</v>
      </c>
      <c r="AQ233" s="10">
        <f>+'A) Base RI'!AK233</f>
        <v>0</v>
      </c>
      <c r="AR233" s="10">
        <f>'A) Base RI'!AN233</f>
        <v>3851</v>
      </c>
    </row>
    <row r="234" spans="1:44" x14ac:dyDescent="0.25">
      <c r="A234" s="8">
        <f>'A) Base RI'!A234</f>
        <v>5765</v>
      </c>
      <c r="B234" s="34" t="str">
        <f>'A) Base RI'!B234</f>
        <v>Vaulion</v>
      </c>
      <c r="C234" s="10">
        <f>'A) Base RI'!C234+'A) Base RI'!D234</f>
        <v>713240.8</v>
      </c>
      <c r="D234" s="10">
        <f>'A) Base RI'!AO234</f>
        <v>-16805.04</v>
      </c>
      <c r="E234" s="33">
        <f>'A) Base RI'!AP234</f>
        <v>0</v>
      </c>
      <c r="F234" s="33">
        <f>'A) Base RI'!AQ234</f>
        <v>-0.05</v>
      </c>
      <c r="G234" s="2">
        <f t="shared" si="18"/>
        <v>696435.71</v>
      </c>
      <c r="H234" s="10">
        <f>+'A) Base RI'!E234</f>
        <v>0</v>
      </c>
      <c r="I234" s="10">
        <f>+'A) Base RI'!F234</f>
        <v>0</v>
      </c>
      <c r="J234" s="10">
        <f>+'A) Base RI'!G234+'A) Base RI'!H234</f>
        <v>7322.45</v>
      </c>
      <c r="K234" s="10">
        <f>+'A) Base RI'!I234</f>
        <v>0</v>
      </c>
      <c r="L234" s="10">
        <f>+'A) Base RI'!J234</f>
        <v>13489.22</v>
      </c>
      <c r="M234" s="10">
        <f>+'A) Base RI'!K234</f>
        <v>0</v>
      </c>
      <c r="N234" s="10">
        <f>+'A) Base RI'!Q234</f>
        <v>2219.75</v>
      </c>
      <c r="O234" s="10">
        <f t="shared" si="19"/>
        <v>57133.599999999999</v>
      </c>
      <c r="P234" s="10">
        <f>+'A) Base RI'!L234</f>
        <v>28566.799999999999</v>
      </c>
      <c r="Q234" s="36">
        <f>'A) Base RI'!AR234</f>
        <v>0.5</v>
      </c>
      <c r="R234" s="2">
        <f t="shared" si="20"/>
        <v>776600.72999999986</v>
      </c>
      <c r="S234" s="35">
        <f>+'A) Base RI'!AM234</f>
        <v>81</v>
      </c>
      <c r="T234" s="2">
        <f t="shared" si="21"/>
        <v>719467.12999999989</v>
      </c>
      <c r="U234" s="2">
        <f t="shared" si="22"/>
        <v>9587.663333333332</v>
      </c>
      <c r="V234" s="10">
        <f>+'A) Base RI'!O234</f>
        <v>848.7</v>
      </c>
      <c r="W234" s="10">
        <f>+'A) Base RI'!P234</f>
        <v>14927.35</v>
      </c>
      <c r="X234" s="10">
        <f>+'A) Base RI'!R234</f>
        <v>7700</v>
      </c>
      <c r="Y234" s="2">
        <f t="shared" si="23"/>
        <v>23476.050000000003</v>
      </c>
      <c r="Z234" s="10">
        <f>+'A) Base RI'!N234</f>
        <v>40966.35</v>
      </c>
      <c r="AA234" s="10">
        <f>+'A) Base RI'!S234+'A) Base RI'!T234</f>
        <v>1142</v>
      </c>
      <c r="AB234" s="10">
        <f>+'A) Base RI'!U234</f>
        <v>3840</v>
      </c>
      <c r="AC234" s="10">
        <f>+'A) Base RI'!V234</f>
        <v>157</v>
      </c>
      <c r="AD234" s="10">
        <f>+'A) Base RI'!W234</f>
        <v>0</v>
      </c>
      <c r="AE234" s="10">
        <f>+'A) Base RI'!Y234</f>
        <v>0</v>
      </c>
      <c r="AF234" s="10">
        <f>+'A) Base RI'!Z234</f>
        <v>3000.8</v>
      </c>
      <c r="AG234" s="10">
        <f>+'A) Base RI'!AA234</f>
        <v>123832.6</v>
      </c>
      <c r="AH234" s="10">
        <f>+'A) Base RI'!AB234</f>
        <v>0</v>
      </c>
      <c r="AI234" s="10">
        <f>+'A) Base RI'!AC234</f>
        <v>64196.3</v>
      </c>
      <c r="AJ234" s="10">
        <f>+'A) Base RI'!AD234</f>
        <v>0</v>
      </c>
      <c r="AK234" s="10">
        <f>+'A) Base RI'!AE234</f>
        <v>1500.35</v>
      </c>
      <c r="AL234" s="10">
        <f>+'A) Base RI'!AF234</f>
        <v>0</v>
      </c>
      <c r="AM234" s="10">
        <f>+'A) Base RI'!AG234</f>
        <v>0</v>
      </c>
      <c r="AN234" s="10">
        <f>+'A) Base RI'!AH234</f>
        <v>0</v>
      </c>
      <c r="AO234" s="10">
        <f>+'A) Base RI'!AI234</f>
        <v>0</v>
      </c>
      <c r="AP234" s="10">
        <f>+'A) Base RI'!AJ234</f>
        <v>0</v>
      </c>
      <c r="AQ234" s="10">
        <f>+'A) Base RI'!AK234</f>
        <v>0</v>
      </c>
      <c r="AR234" s="10">
        <f>'A) Base RI'!AN234</f>
        <v>482</v>
      </c>
    </row>
    <row r="235" spans="1:44" x14ac:dyDescent="0.25">
      <c r="A235" s="8">
        <f>'A) Base RI'!A235</f>
        <v>5766</v>
      </c>
      <c r="B235" s="34" t="str">
        <f>'A) Base RI'!B235</f>
        <v>Vuiteboeuf</v>
      </c>
      <c r="C235" s="10">
        <f>'A) Base RI'!C235+'A) Base RI'!D235</f>
        <v>897958.25</v>
      </c>
      <c r="D235" s="10">
        <f>'A) Base RI'!AO235</f>
        <v>-20970.79</v>
      </c>
      <c r="E235" s="33">
        <f>'A) Base RI'!AP235</f>
        <v>0</v>
      </c>
      <c r="F235" s="33">
        <f>'A) Base RI'!AQ235</f>
        <v>-30.57</v>
      </c>
      <c r="G235" s="2">
        <f t="shared" si="18"/>
        <v>876956.89</v>
      </c>
      <c r="H235" s="10">
        <f>+'A) Base RI'!E235</f>
        <v>0</v>
      </c>
      <c r="I235" s="10">
        <f>+'A) Base RI'!F235</f>
        <v>0</v>
      </c>
      <c r="J235" s="10">
        <f>+'A) Base RI'!G235+'A) Base RI'!H235</f>
        <v>28204</v>
      </c>
      <c r="K235" s="10">
        <f>+'A) Base RI'!I235</f>
        <v>0</v>
      </c>
      <c r="L235" s="10">
        <f>+'A) Base RI'!J235</f>
        <v>19724.080000000002</v>
      </c>
      <c r="M235" s="10">
        <f>+'A) Base RI'!K235</f>
        <v>3610.65</v>
      </c>
      <c r="N235" s="10">
        <f>+'A) Base RI'!Q235</f>
        <v>5264.03</v>
      </c>
      <c r="O235" s="10">
        <f t="shared" si="19"/>
        <v>71055.5</v>
      </c>
      <c r="P235" s="10">
        <f>+'A) Base RI'!L235</f>
        <v>49738.85</v>
      </c>
      <c r="Q235" s="36">
        <f>'A) Base RI'!AR235</f>
        <v>0.7</v>
      </c>
      <c r="R235" s="2">
        <f t="shared" si="20"/>
        <v>1004815.15</v>
      </c>
      <c r="S235" s="35">
        <f>+'A) Base RI'!AM235</f>
        <v>77</v>
      </c>
      <c r="T235" s="2">
        <f t="shared" si="21"/>
        <v>930149</v>
      </c>
      <c r="U235" s="2">
        <f t="shared" si="22"/>
        <v>13049.547402597404</v>
      </c>
      <c r="V235" s="10">
        <f>+'A) Base RI'!O235</f>
        <v>0</v>
      </c>
      <c r="W235" s="10">
        <f>+'A) Base RI'!P235</f>
        <v>23797.4</v>
      </c>
      <c r="X235" s="10">
        <f>+'A) Base RI'!R235</f>
        <v>56136.95</v>
      </c>
      <c r="Y235" s="2">
        <f t="shared" si="23"/>
        <v>79934.350000000006</v>
      </c>
      <c r="Z235" s="10">
        <f>+'A) Base RI'!N235</f>
        <v>19131.75</v>
      </c>
      <c r="AA235" s="10">
        <f>+'A) Base RI'!S235+'A) Base RI'!T235</f>
        <v>0</v>
      </c>
      <c r="AB235" s="10">
        <f>+'A) Base RI'!U235</f>
        <v>2000</v>
      </c>
      <c r="AC235" s="10">
        <f>+'A) Base RI'!V235</f>
        <v>0</v>
      </c>
      <c r="AD235" s="10">
        <f>+'A) Base RI'!W235</f>
        <v>0</v>
      </c>
      <c r="AE235" s="10">
        <f>+'A) Base RI'!Y235</f>
        <v>0</v>
      </c>
      <c r="AF235" s="10">
        <f>+'A) Base RI'!Z235</f>
        <v>0</v>
      </c>
      <c r="AG235" s="10">
        <f>+'A) Base RI'!AA235</f>
        <v>51339.4</v>
      </c>
      <c r="AH235" s="10">
        <f>+'A) Base RI'!AB235</f>
        <v>0</v>
      </c>
      <c r="AI235" s="10">
        <f>+'A) Base RI'!AC235</f>
        <v>36521.300000000003</v>
      </c>
      <c r="AJ235" s="10">
        <f>+'A) Base RI'!AD235</f>
        <v>0</v>
      </c>
      <c r="AK235" s="10">
        <f>+'A) Base RI'!AE235</f>
        <v>0</v>
      </c>
      <c r="AL235" s="10">
        <f>+'A) Base RI'!AF235</f>
        <v>0</v>
      </c>
      <c r="AM235" s="10">
        <f>+'A) Base RI'!AG235</f>
        <v>0</v>
      </c>
      <c r="AN235" s="10">
        <f>+'A) Base RI'!AH235</f>
        <v>15839.95</v>
      </c>
      <c r="AO235" s="10">
        <f>+'A) Base RI'!AI235</f>
        <v>0</v>
      </c>
      <c r="AP235" s="10">
        <f>+'A) Base RI'!AJ235</f>
        <v>0</v>
      </c>
      <c r="AQ235" s="10">
        <f>+'A) Base RI'!AK235</f>
        <v>0</v>
      </c>
      <c r="AR235" s="10">
        <f>'A) Base RI'!AN235</f>
        <v>574</v>
      </c>
    </row>
    <row r="236" spans="1:44" x14ac:dyDescent="0.25">
      <c r="A236" s="8">
        <f>'A) Base RI'!A236</f>
        <v>5785</v>
      </c>
      <c r="B236" s="34" t="str">
        <f>'A) Base RI'!B236</f>
        <v>Corcelles-le-Jorat</v>
      </c>
      <c r="C236" s="10">
        <f>'A) Base RI'!C236+'A) Base RI'!D236</f>
        <v>1112421.8899999999</v>
      </c>
      <c r="D236" s="10">
        <f>'A) Base RI'!AO236</f>
        <v>-129.91</v>
      </c>
      <c r="E236" s="33">
        <f>'A) Base RI'!AP236</f>
        <v>0</v>
      </c>
      <c r="F236" s="33">
        <f>'A) Base RI'!AQ236</f>
        <v>-296.14</v>
      </c>
      <c r="G236" s="2">
        <f t="shared" si="18"/>
        <v>1111995.8400000001</v>
      </c>
      <c r="H236" s="10">
        <f>+'A) Base RI'!E236</f>
        <v>0</v>
      </c>
      <c r="I236" s="10">
        <f>+'A) Base RI'!F236</f>
        <v>0</v>
      </c>
      <c r="J236" s="10">
        <f>+'A) Base RI'!G236+'A) Base RI'!H236</f>
        <v>-20271.399999999998</v>
      </c>
      <c r="K236" s="10">
        <f>+'A) Base RI'!I236</f>
        <v>0</v>
      </c>
      <c r="L236" s="10">
        <f>+'A) Base RI'!J236</f>
        <v>16310.88</v>
      </c>
      <c r="M236" s="10">
        <f>+'A) Base RI'!K236</f>
        <v>845.6</v>
      </c>
      <c r="N236" s="10">
        <f>+'A) Base RI'!Q236</f>
        <v>0</v>
      </c>
      <c r="O236" s="10">
        <f t="shared" si="19"/>
        <v>66389</v>
      </c>
      <c r="P236" s="10">
        <f>+'A) Base RI'!L236</f>
        <v>66389</v>
      </c>
      <c r="Q236" s="36">
        <f>'A) Base RI'!AR236</f>
        <v>1</v>
      </c>
      <c r="R236" s="2">
        <f t="shared" si="20"/>
        <v>1175269.9200000002</v>
      </c>
      <c r="S236" s="35">
        <f>+'A) Base RI'!AM236</f>
        <v>77</v>
      </c>
      <c r="T236" s="2">
        <f t="shared" si="21"/>
        <v>1108035.32</v>
      </c>
      <c r="U236" s="2">
        <f t="shared" si="22"/>
        <v>15263.245714285717</v>
      </c>
      <c r="V236" s="10">
        <f>+'A) Base RI'!O236</f>
        <v>645.4</v>
      </c>
      <c r="W236" s="10">
        <f>+'A) Base RI'!P236</f>
        <v>47043.7</v>
      </c>
      <c r="X236" s="10">
        <f>+'A) Base RI'!R236</f>
        <v>23683.35</v>
      </c>
      <c r="Y236" s="2">
        <f t="shared" si="23"/>
        <v>71372.45</v>
      </c>
      <c r="Z236" s="10">
        <f>+'A) Base RI'!N236</f>
        <v>0</v>
      </c>
      <c r="AA236" s="10">
        <f>+'A) Base RI'!S236+'A) Base RI'!T236</f>
        <v>30</v>
      </c>
      <c r="AB236" s="10">
        <f>+'A) Base RI'!U236</f>
        <v>2740</v>
      </c>
      <c r="AC236" s="10">
        <f>+'A) Base RI'!V236</f>
        <v>0</v>
      </c>
      <c r="AD236" s="10">
        <f>+'A) Base RI'!W236</f>
        <v>0</v>
      </c>
      <c r="AE236" s="10">
        <f>+'A) Base RI'!Y236</f>
        <v>0</v>
      </c>
      <c r="AF236" s="10">
        <f>+'A) Base RI'!Z236</f>
        <v>0</v>
      </c>
      <c r="AG236" s="10">
        <f>+'A) Base RI'!AA236</f>
        <v>92028.5</v>
      </c>
      <c r="AH236" s="10">
        <f>+'A) Base RI'!AB236</f>
        <v>0</v>
      </c>
      <c r="AI236" s="10">
        <f>+'A) Base RI'!AC236</f>
        <v>40407.800000000003</v>
      </c>
      <c r="AJ236" s="10">
        <f>+'A) Base RI'!AD236</f>
        <v>4600</v>
      </c>
      <c r="AK236" s="10">
        <f>+'A) Base RI'!AE236</f>
        <v>0</v>
      </c>
      <c r="AL236" s="10">
        <f>+'A) Base RI'!AF236</f>
        <v>0</v>
      </c>
      <c r="AM236" s="10">
        <f>+'A) Base RI'!AG236</f>
        <v>0</v>
      </c>
      <c r="AN236" s="10">
        <f>+'A) Base RI'!AH236</f>
        <v>0</v>
      </c>
      <c r="AO236" s="10">
        <f>+'A) Base RI'!AI236</f>
        <v>0</v>
      </c>
      <c r="AP236" s="10">
        <f>+'A) Base RI'!AJ236</f>
        <v>0</v>
      </c>
      <c r="AQ236" s="10">
        <f>+'A) Base RI'!AK236</f>
        <v>0</v>
      </c>
      <c r="AR236" s="10">
        <f>'A) Base RI'!AN236</f>
        <v>460</v>
      </c>
    </row>
    <row r="237" spans="1:44" x14ac:dyDescent="0.25">
      <c r="A237" s="8">
        <f>'A) Base RI'!A237</f>
        <v>5788</v>
      </c>
      <c r="B237" s="34" t="str">
        <f>'A) Base RI'!B237</f>
        <v>Essertes</v>
      </c>
      <c r="C237" s="10">
        <f>'A) Base RI'!C237+'A) Base RI'!D237</f>
        <v>776358.4800000001</v>
      </c>
      <c r="D237" s="10">
        <f>'A) Base RI'!AO237</f>
        <v>-43548.98</v>
      </c>
      <c r="E237" s="33">
        <f>'A) Base RI'!AP237</f>
        <v>0</v>
      </c>
      <c r="F237" s="33">
        <f>'A) Base RI'!AQ237</f>
        <v>-10.38</v>
      </c>
      <c r="G237" s="2">
        <f t="shared" si="18"/>
        <v>732799.12000000011</v>
      </c>
      <c r="H237" s="10">
        <f>+'A) Base RI'!E237</f>
        <v>0</v>
      </c>
      <c r="I237" s="10">
        <f>+'A) Base RI'!F237</f>
        <v>0</v>
      </c>
      <c r="J237" s="10">
        <f>+'A) Base RI'!G237+'A) Base RI'!H237</f>
        <v>6700.0999999999995</v>
      </c>
      <c r="K237" s="10">
        <f>+'A) Base RI'!I237</f>
        <v>0</v>
      </c>
      <c r="L237" s="10">
        <f>+'A) Base RI'!J237</f>
        <v>21628.84</v>
      </c>
      <c r="M237" s="10">
        <f>+'A) Base RI'!K237</f>
        <v>949.5</v>
      </c>
      <c r="N237" s="10">
        <f>+'A) Base RI'!Q237</f>
        <v>14313</v>
      </c>
      <c r="O237" s="10">
        <f t="shared" si="19"/>
        <v>56010.92</v>
      </c>
      <c r="P237" s="10">
        <f>+'A) Base RI'!L237</f>
        <v>70013.649999999994</v>
      </c>
      <c r="Q237" s="36">
        <f>'A) Base RI'!AR237</f>
        <v>1.25</v>
      </c>
      <c r="R237" s="2">
        <f t="shared" si="20"/>
        <v>832401.4800000001</v>
      </c>
      <c r="S237" s="35">
        <f>+'A) Base RI'!AM237</f>
        <v>72</v>
      </c>
      <c r="T237" s="2">
        <f t="shared" si="21"/>
        <v>775441.06</v>
      </c>
      <c r="U237" s="2">
        <f t="shared" si="22"/>
        <v>11561.131666666668</v>
      </c>
      <c r="V237" s="10">
        <f>+'A) Base RI'!O237</f>
        <v>0</v>
      </c>
      <c r="W237" s="10">
        <f>+'A) Base RI'!P237</f>
        <v>97923.95</v>
      </c>
      <c r="X237" s="10">
        <f>+'A) Base RI'!R237</f>
        <v>25714.65</v>
      </c>
      <c r="Y237" s="2">
        <f t="shared" si="23"/>
        <v>123638.6</v>
      </c>
      <c r="Z237" s="10">
        <f>+'A) Base RI'!N237</f>
        <v>0</v>
      </c>
      <c r="AA237" s="10">
        <f>+'A) Base RI'!S237+'A) Base RI'!T237</f>
        <v>0</v>
      </c>
      <c r="AB237" s="10">
        <f>+'A) Base RI'!U237</f>
        <v>1710</v>
      </c>
      <c r="AC237" s="10">
        <f>+'A) Base RI'!V237</f>
        <v>0</v>
      </c>
      <c r="AD237" s="10">
        <f>+'A) Base RI'!W237</f>
        <v>0</v>
      </c>
      <c r="AE237" s="10">
        <f>+'A) Base RI'!Y237</f>
        <v>1070</v>
      </c>
      <c r="AF237" s="10">
        <f>+'A) Base RI'!Z237</f>
        <v>0</v>
      </c>
      <c r="AG237" s="10">
        <f>+'A) Base RI'!AA237</f>
        <v>47275.6</v>
      </c>
      <c r="AH237" s="10">
        <f>+'A) Base RI'!AB237</f>
        <v>0</v>
      </c>
      <c r="AI237" s="10">
        <f>+'A) Base RI'!AC237</f>
        <v>21084.1</v>
      </c>
      <c r="AJ237" s="10">
        <f>+'A) Base RI'!AD237</f>
        <v>0</v>
      </c>
      <c r="AK237" s="10">
        <f>+'A) Base RI'!AE237</f>
        <v>0</v>
      </c>
      <c r="AL237" s="10">
        <f>+'A) Base RI'!AF237</f>
        <v>0</v>
      </c>
      <c r="AM237" s="10">
        <f>+'A) Base RI'!AG237</f>
        <v>0</v>
      </c>
      <c r="AN237" s="10">
        <f>+'A) Base RI'!AH237</f>
        <v>0</v>
      </c>
      <c r="AO237" s="10">
        <f>+'A) Base RI'!AI237</f>
        <v>0</v>
      </c>
      <c r="AP237" s="10">
        <f>+'A) Base RI'!AJ237</f>
        <v>0</v>
      </c>
      <c r="AQ237" s="10">
        <f>+'A) Base RI'!AK237</f>
        <v>0</v>
      </c>
      <c r="AR237" s="10">
        <f>'A) Base RI'!AN237</f>
        <v>346</v>
      </c>
    </row>
    <row r="238" spans="1:44" x14ac:dyDescent="0.25">
      <c r="A238" s="8">
        <f>'A) Base RI'!A238</f>
        <v>5790</v>
      </c>
      <c r="B238" s="34" t="str">
        <f>'A) Base RI'!B238</f>
        <v>Maracon</v>
      </c>
      <c r="C238" s="10">
        <f>'A) Base RI'!C238+'A) Base RI'!D238</f>
        <v>831600.15</v>
      </c>
      <c r="D238" s="10">
        <f>'A) Base RI'!AO238</f>
        <v>-7657.33</v>
      </c>
      <c r="E238" s="33">
        <f>'A) Base RI'!AP238</f>
        <v>0</v>
      </c>
      <c r="F238" s="33">
        <f>'A) Base RI'!AQ238</f>
        <v>-100.57</v>
      </c>
      <c r="G238" s="2">
        <f t="shared" si="18"/>
        <v>823842.25000000012</v>
      </c>
      <c r="H238" s="10">
        <f>+'A) Base RI'!E238</f>
        <v>0</v>
      </c>
      <c r="I238" s="10">
        <f>+'A) Base RI'!F238</f>
        <v>0</v>
      </c>
      <c r="J238" s="10">
        <f>+'A) Base RI'!G238+'A) Base RI'!H238</f>
        <v>3276.3</v>
      </c>
      <c r="K238" s="10">
        <f>+'A) Base RI'!I238</f>
        <v>0</v>
      </c>
      <c r="L238" s="10">
        <f>+'A) Base RI'!J238</f>
        <v>18411.830000000002</v>
      </c>
      <c r="M238" s="10">
        <f>+'A) Base RI'!K238</f>
        <v>2173.5</v>
      </c>
      <c r="N238" s="10">
        <f>+'A) Base RI'!Q238</f>
        <v>0</v>
      </c>
      <c r="O238" s="10">
        <f t="shared" si="19"/>
        <v>72565.45</v>
      </c>
      <c r="P238" s="10">
        <f>+'A) Base RI'!L238</f>
        <v>72565.45</v>
      </c>
      <c r="Q238" s="36">
        <f>'A) Base RI'!AR238</f>
        <v>1</v>
      </c>
      <c r="R238" s="2">
        <f t="shared" si="20"/>
        <v>920269.33000000007</v>
      </c>
      <c r="S238" s="35">
        <f>+'A) Base RI'!AM238</f>
        <v>76</v>
      </c>
      <c r="T238" s="2">
        <f t="shared" si="21"/>
        <v>845530.38000000012</v>
      </c>
      <c r="U238" s="2">
        <f t="shared" si="22"/>
        <v>12108.806973684212</v>
      </c>
      <c r="V238" s="10">
        <f>+'A) Base RI'!O238</f>
        <v>0</v>
      </c>
      <c r="W238" s="10">
        <f>+'A) Base RI'!P238</f>
        <v>34405.949999999997</v>
      </c>
      <c r="X238" s="10">
        <f>+'A) Base RI'!R238</f>
        <v>74480.3</v>
      </c>
      <c r="Y238" s="2">
        <f t="shared" si="23"/>
        <v>108886.25</v>
      </c>
      <c r="Z238" s="10">
        <f>+'A) Base RI'!N238</f>
        <v>4176.3500000000004</v>
      </c>
      <c r="AA238" s="10">
        <f>+'A) Base RI'!S238+'A) Base RI'!T238</f>
        <v>26</v>
      </c>
      <c r="AB238" s="10">
        <f>+'A) Base RI'!U238</f>
        <v>5150</v>
      </c>
      <c r="AC238" s="10">
        <f>+'A) Base RI'!V238</f>
        <v>0</v>
      </c>
      <c r="AD238" s="10">
        <f>+'A) Base RI'!W238</f>
        <v>0</v>
      </c>
      <c r="AE238" s="10">
        <f>+'A) Base RI'!Y238</f>
        <v>0</v>
      </c>
      <c r="AF238" s="10">
        <f>+'A) Base RI'!Z238</f>
        <v>0</v>
      </c>
      <c r="AG238" s="10">
        <f>+'A) Base RI'!AA238</f>
        <v>60999.7</v>
      </c>
      <c r="AH238" s="10">
        <f>+'A) Base RI'!AB238</f>
        <v>0</v>
      </c>
      <c r="AI238" s="10">
        <f>+'A) Base RI'!AC238</f>
        <v>26100.5</v>
      </c>
      <c r="AJ238" s="10">
        <f>+'A) Base RI'!AD238</f>
        <v>0</v>
      </c>
      <c r="AK238" s="10">
        <f>+'A) Base RI'!AE238</f>
        <v>0</v>
      </c>
      <c r="AL238" s="10">
        <f>+'A) Base RI'!AF238</f>
        <v>0</v>
      </c>
      <c r="AM238" s="10">
        <f>+'A) Base RI'!AG238</f>
        <v>0</v>
      </c>
      <c r="AN238" s="10">
        <f>+'A) Base RI'!AH238</f>
        <v>0</v>
      </c>
      <c r="AO238" s="10">
        <f>+'A) Base RI'!AI238</f>
        <v>0</v>
      </c>
      <c r="AP238" s="10">
        <f>+'A) Base RI'!AJ238</f>
        <v>0</v>
      </c>
      <c r="AQ238" s="10">
        <f>+'A) Base RI'!AK238</f>
        <v>0</v>
      </c>
      <c r="AR238" s="10">
        <f>'A) Base RI'!AN238</f>
        <v>477</v>
      </c>
    </row>
    <row r="239" spans="1:44" x14ac:dyDescent="0.25">
      <c r="A239" s="8">
        <f>'A) Base RI'!A239</f>
        <v>5792</v>
      </c>
      <c r="B239" s="34" t="str">
        <f>'A) Base RI'!B239</f>
        <v>Montpreveyres</v>
      </c>
      <c r="C239" s="10">
        <f>'A) Base RI'!C239+'A) Base RI'!D239</f>
        <v>1195497.3400000001</v>
      </c>
      <c r="D239" s="10">
        <f>'A) Base RI'!AO239</f>
        <v>-35201.4</v>
      </c>
      <c r="E239" s="33">
        <f>'A) Base RI'!AP239</f>
        <v>0</v>
      </c>
      <c r="F239" s="33">
        <f>'A) Base RI'!AQ239</f>
        <v>-18.239999999999998</v>
      </c>
      <c r="G239" s="2">
        <f t="shared" si="18"/>
        <v>1160277.7000000002</v>
      </c>
      <c r="H239" s="10">
        <f>+'A) Base RI'!E239</f>
        <v>0</v>
      </c>
      <c r="I239" s="10">
        <f>+'A) Base RI'!F239</f>
        <v>0</v>
      </c>
      <c r="J239" s="10">
        <f>+'A) Base RI'!G239+'A) Base RI'!H239</f>
        <v>28033.649999999998</v>
      </c>
      <c r="K239" s="10">
        <f>+'A) Base RI'!I239</f>
        <v>0</v>
      </c>
      <c r="L239" s="10">
        <f>+'A) Base RI'!J239</f>
        <v>39894.949999999997</v>
      </c>
      <c r="M239" s="10">
        <f>+'A) Base RI'!K239</f>
        <v>-3647.2</v>
      </c>
      <c r="N239" s="10">
        <f>+'A) Base RI'!Q239</f>
        <v>18090.75</v>
      </c>
      <c r="O239" s="10">
        <f t="shared" si="19"/>
        <v>106648.25</v>
      </c>
      <c r="P239" s="10">
        <f>+'A) Base RI'!L239</f>
        <v>106648.25</v>
      </c>
      <c r="Q239" s="36">
        <f>'A) Base RI'!AR239</f>
        <v>1</v>
      </c>
      <c r="R239" s="2">
        <f t="shared" ref="R239:R241" si="24">SUM(G239:O239)</f>
        <v>1349298.1</v>
      </c>
      <c r="S239" s="35">
        <f>+'A) Base RI'!AM239</f>
        <v>77</v>
      </c>
      <c r="T239" s="2">
        <f t="shared" ref="T239:T241" si="25">(G239+H239+J239+K239+L239+N239)</f>
        <v>1246297.05</v>
      </c>
      <c r="U239" s="2">
        <f t="shared" ref="U239:U241" si="26">R239/S239</f>
        <v>17523.35194805195</v>
      </c>
      <c r="V239" s="10">
        <f>+'A) Base RI'!O239</f>
        <v>0</v>
      </c>
      <c r="W239" s="10">
        <f>+'A) Base RI'!P239</f>
        <v>87030.3</v>
      </c>
      <c r="X239" s="10">
        <f>+'A) Base RI'!R239</f>
        <v>35235.949999999997</v>
      </c>
      <c r="Y239" s="2">
        <f t="shared" ref="Y239:Y241" si="27">SUM(V239:X239)</f>
        <v>122266.25</v>
      </c>
      <c r="Z239" s="10">
        <f>+'A) Base RI'!N239</f>
        <v>0</v>
      </c>
      <c r="AA239" s="10">
        <f>+'A) Base RI'!S239+'A) Base RI'!T239</f>
        <v>0</v>
      </c>
      <c r="AB239" s="10">
        <f>+'A) Base RI'!U239</f>
        <v>3275</v>
      </c>
      <c r="AC239" s="10">
        <f>+'A) Base RI'!V239</f>
        <v>0</v>
      </c>
      <c r="AD239" s="10">
        <f>+'A) Base RI'!W239</f>
        <v>0</v>
      </c>
      <c r="AE239" s="10">
        <f>+'A) Base RI'!Y239</f>
        <v>70701</v>
      </c>
      <c r="AF239" s="10">
        <f>+'A) Base RI'!Z239</f>
        <v>0</v>
      </c>
      <c r="AG239" s="10">
        <f>+'A) Base RI'!AA239</f>
        <v>45781.75</v>
      </c>
      <c r="AH239" s="10">
        <f>+'A) Base RI'!AB239</f>
        <v>0</v>
      </c>
      <c r="AI239" s="10">
        <f>+'A) Base RI'!AC239</f>
        <v>45360</v>
      </c>
      <c r="AJ239" s="10">
        <f>+'A) Base RI'!AD239</f>
        <v>0</v>
      </c>
      <c r="AK239" s="10">
        <f>+'A) Base RI'!AE239</f>
        <v>66320.399999999994</v>
      </c>
      <c r="AL239" s="10">
        <f>+'A) Base RI'!AF239</f>
        <v>0</v>
      </c>
      <c r="AM239" s="10">
        <f>+'A) Base RI'!AG239</f>
        <v>0</v>
      </c>
      <c r="AN239" s="10">
        <f>+'A) Base RI'!AH239</f>
        <v>6362.25</v>
      </c>
      <c r="AO239" s="10">
        <f>+'A) Base RI'!AI239</f>
        <v>0</v>
      </c>
      <c r="AP239" s="10">
        <f>+'A) Base RI'!AJ239</f>
        <v>0</v>
      </c>
      <c r="AQ239" s="10">
        <f>+'A) Base RI'!AK239</f>
        <v>0</v>
      </c>
      <c r="AR239" s="10">
        <f>'A) Base RI'!AN239</f>
        <v>648</v>
      </c>
    </row>
    <row r="240" spans="1:44" x14ac:dyDescent="0.25">
      <c r="A240" s="8">
        <f>'A) Base RI'!A240</f>
        <v>5798</v>
      </c>
      <c r="B240" s="34" t="str">
        <f>'A) Base RI'!B240</f>
        <v>Ropraz</v>
      </c>
      <c r="C240" s="10">
        <f>'A) Base RI'!C240+'A) Base RI'!D240</f>
        <v>982142.65</v>
      </c>
      <c r="D240" s="10">
        <f>'A) Base RI'!AO240</f>
        <v>-7045.93</v>
      </c>
      <c r="E240" s="33">
        <f>'A) Base RI'!AP240</f>
        <v>0</v>
      </c>
      <c r="F240" s="33">
        <f>'A) Base RI'!AQ240</f>
        <v>-241.96</v>
      </c>
      <c r="G240" s="2">
        <f t="shared" si="18"/>
        <v>974854.76</v>
      </c>
      <c r="H240" s="10">
        <f>+'A) Base RI'!E240</f>
        <v>0</v>
      </c>
      <c r="I240" s="10">
        <f>+'A) Base RI'!F240</f>
        <v>0</v>
      </c>
      <c r="J240" s="10">
        <f>+'A) Base RI'!G240+'A) Base RI'!H240</f>
        <v>24110.05</v>
      </c>
      <c r="K240" s="10">
        <f>+'A) Base RI'!I240</f>
        <v>0</v>
      </c>
      <c r="L240" s="10">
        <f>+'A) Base RI'!J240</f>
        <v>24651.54</v>
      </c>
      <c r="M240" s="10">
        <f>+'A) Base RI'!K240</f>
        <v>-135.5</v>
      </c>
      <c r="N240" s="10">
        <f>+'A) Base RI'!Q240</f>
        <v>0</v>
      </c>
      <c r="O240" s="10">
        <f t="shared" si="19"/>
        <v>68931.3</v>
      </c>
      <c r="P240" s="10">
        <f>+'A) Base RI'!L240</f>
        <v>34465.65</v>
      </c>
      <c r="Q240" s="36">
        <f>'A) Base RI'!AR240</f>
        <v>0.5</v>
      </c>
      <c r="R240" s="2">
        <f t="shared" si="24"/>
        <v>1092412.1500000001</v>
      </c>
      <c r="S240" s="35">
        <f>+'A) Base RI'!AM240</f>
        <v>77.5</v>
      </c>
      <c r="T240" s="2">
        <f t="shared" si="25"/>
        <v>1023616.3500000001</v>
      </c>
      <c r="U240" s="2">
        <f t="shared" si="26"/>
        <v>14095.640645161293</v>
      </c>
      <c r="V240" s="10">
        <f>+'A) Base RI'!O240</f>
        <v>4856.8999999999996</v>
      </c>
      <c r="W240" s="10">
        <f>+'A) Base RI'!P240</f>
        <v>63061.85</v>
      </c>
      <c r="X240" s="10">
        <f>+'A) Base RI'!R240</f>
        <v>38274.5</v>
      </c>
      <c r="Y240" s="2">
        <f t="shared" si="27"/>
        <v>106193.25</v>
      </c>
      <c r="Z240" s="10">
        <f>+'A) Base RI'!N240</f>
        <v>0</v>
      </c>
      <c r="AA240" s="10">
        <f>+'A) Base RI'!S240+'A) Base RI'!T240</f>
        <v>0</v>
      </c>
      <c r="AB240" s="10">
        <f>+'A) Base RI'!U240</f>
        <v>2880</v>
      </c>
      <c r="AC240" s="10">
        <f>+'A) Base RI'!V240</f>
        <v>0</v>
      </c>
      <c r="AD240" s="10">
        <f>+'A) Base RI'!W240</f>
        <v>0</v>
      </c>
      <c r="AE240" s="10">
        <f>+'A) Base RI'!Y240</f>
        <v>55000</v>
      </c>
      <c r="AF240" s="10">
        <f>+'A) Base RI'!Z240</f>
        <v>0</v>
      </c>
      <c r="AG240" s="10">
        <f>+'A) Base RI'!AA240</f>
        <v>42060</v>
      </c>
      <c r="AH240" s="10">
        <f>+'A) Base RI'!AB240</f>
        <v>0</v>
      </c>
      <c r="AI240" s="10">
        <f>+'A) Base RI'!AC240</f>
        <v>35380.75</v>
      </c>
      <c r="AJ240" s="10">
        <f>+'A) Base RI'!AD240</f>
        <v>35329.4</v>
      </c>
      <c r="AK240" s="10">
        <f>+'A) Base RI'!AE240</f>
        <v>0</v>
      </c>
      <c r="AL240" s="10">
        <f>+'A) Base RI'!AF240</f>
        <v>0</v>
      </c>
      <c r="AM240" s="10">
        <f>+'A) Base RI'!AG240</f>
        <v>0</v>
      </c>
      <c r="AN240" s="10">
        <f>+'A) Base RI'!AH240</f>
        <v>0</v>
      </c>
      <c r="AO240" s="10">
        <f>+'A) Base RI'!AI240</f>
        <v>0</v>
      </c>
      <c r="AP240" s="10">
        <f>+'A) Base RI'!AJ240</f>
        <v>0</v>
      </c>
      <c r="AQ240" s="10">
        <f>+'A) Base RI'!AK240</f>
        <v>0</v>
      </c>
      <c r="AR240" s="10">
        <f>'A) Base RI'!AN240</f>
        <v>450</v>
      </c>
    </row>
    <row r="241" spans="1:44" x14ac:dyDescent="0.25">
      <c r="A241" s="8">
        <f>'A) Base RI'!A241</f>
        <v>5799</v>
      </c>
      <c r="B241" s="34" t="str">
        <f>'A) Base RI'!B241</f>
        <v>Servion</v>
      </c>
      <c r="C241" s="10">
        <f>'A) Base RI'!C241+'A) Base RI'!D241</f>
        <v>4120286.8</v>
      </c>
      <c r="D241" s="10">
        <f>'A) Base RI'!AO241</f>
        <v>-49287.6</v>
      </c>
      <c r="E241" s="33">
        <f>'A) Base RI'!AP241</f>
        <v>0</v>
      </c>
      <c r="F241" s="33">
        <f>'A) Base RI'!AQ241</f>
        <v>-63.68</v>
      </c>
      <c r="G241" s="2">
        <f t="shared" si="18"/>
        <v>4070935.5199999996</v>
      </c>
      <c r="H241" s="10">
        <f>+'A) Base RI'!E241</f>
        <v>0</v>
      </c>
      <c r="I241" s="10">
        <f>+'A) Base RI'!F241</f>
        <v>0</v>
      </c>
      <c r="J241" s="10">
        <f>+'A) Base RI'!G241+'A) Base RI'!H241</f>
        <v>83570.8</v>
      </c>
      <c r="K241" s="10">
        <f>+'A) Base RI'!I241</f>
        <v>0</v>
      </c>
      <c r="L241" s="10">
        <f>+'A) Base RI'!J241</f>
        <v>29480.5</v>
      </c>
      <c r="M241" s="10">
        <f>+'A) Base RI'!K241</f>
        <v>6260.75</v>
      </c>
      <c r="N241" s="10">
        <f>+'A) Base RI'!Q241</f>
        <v>1818.48</v>
      </c>
      <c r="O241" s="10">
        <f t="shared" si="19"/>
        <v>344121.4</v>
      </c>
      <c r="P241" s="10">
        <f>+'A) Base RI'!L241</f>
        <v>344121.4</v>
      </c>
      <c r="Q241" s="36">
        <f>'A) Base RI'!AR241</f>
        <v>1</v>
      </c>
      <c r="R241" s="2">
        <f t="shared" si="24"/>
        <v>4536187.4499999993</v>
      </c>
      <c r="S241" s="35">
        <f>+'A) Base RI'!AM241</f>
        <v>69</v>
      </c>
      <c r="T241" s="2">
        <f t="shared" si="25"/>
        <v>4185805.2999999993</v>
      </c>
      <c r="U241" s="2">
        <f t="shared" si="26"/>
        <v>65741.847101449268</v>
      </c>
      <c r="V241" s="10">
        <f>+'A) Base RI'!O241</f>
        <v>0</v>
      </c>
      <c r="W241" s="10">
        <f>+'A) Base RI'!P241</f>
        <v>123826.7</v>
      </c>
      <c r="X241" s="10">
        <f>+'A) Base RI'!R241</f>
        <v>112519.95</v>
      </c>
      <c r="Y241" s="2">
        <f t="shared" si="27"/>
        <v>236346.65</v>
      </c>
      <c r="Z241" s="10">
        <f>+'A) Base RI'!N241</f>
        <v>18141.150000000001</v>
      </c>
      <c r="AA241" s="10">
        <f>+'A) Base RI'!S241+'A) Base RI'!T241</f>
        <v>0</v>
      </c>
      <c r="AB241" s="10">
        <f>+'A) Base RI'!U241</f>
        <v>9200</v>
      </c>
      <c r="AC241" s="10">
        <f>+'A) Base RI'!V241</f>
        <v>57098.75</v>
      </c>
      <c r="AD241" s="10">
        <f>+'A) Base RI'!W241</f>
        <v>615.6</v>
      </c>
      <c r="AE241" s="10">
        <f>+'A) Base RI'!Y241</f>
        <v>108278</v>
      </c>
      <c r="AF241" s="10">
        <f>+'A) Base RI'!Z241</f>
        <v>0</v>
      </c>
      <c r="AG241" s="10">
        <f>+'A) Base RI'!AA241</f>
        <v>375177.7</v>
      </c>
      <c r="AH241" s="10">
        <f>+'A) Base RI'!AB241</f>
        <v>0</v>
      </c>
      <c r="AI241" s="10">
        <f>+'A) Base RI'!AC241</f>
        <v>122070.7</v>
      </c>
      <c r="AJ241" s="10">
        <f>+'A) Base RI'!AD241</f>
        <v>0</v>
      </c>
      <c r="AK241" s="10">
        <f>+'A) Base RI'!AE241</f>
        <v>0</v>
      </c>
      <c r="AL241" s="10">
        <f>+'A) Base RI'!AF241</f>
        <v>0</v>
      </c>
      <c r="AM241" s="10">
        <f>+'A) Base RI'!AG241</f>
        <v>0</v>
      </c>
      <c r="AN241" s="10">
        <f>+'A) Base RI'!AH241</f>
        <v>57281</v>
      </c>
      <c r="AO241" s="10">
        <f>+'A) Base RI'!AI241</f>
        <v>0</v>
      </c>
      <c r="AP241" s="10">
        <f>+'A) Base RI'!AJ241</f>
        <v>0</v>
      </c>
      <c r="AQ241" s="10">
        <f>+'A) Base RI'!AK241</f>
        <v>0</v>
      </c>
      <c r="AR241" s="10">
        <f>'A) Base RI'!AN241</f>
        <v>1904</v>
      </c>
    </row>
    <row r="242" spans="1:44" x14ac:dyDescent="0.25">
      <c r="A242" s="8">
        <f>'A) Base RI'!A242</f>
        <v>5803</v>
      </c>
      <c r="B242" s="34" t="str">
        <f>'A) Base RI'!B242</f>
        <v>Vulliens</v>
      </c>
      <c r="C242" s="10">
        <f>'A) Base RI'!C242+'A) Base RI'!D242</f>
        <v>1109241.1400000001</v>
      </c>
      <c r="D242" s="10">
        <f>'A) Base RI'!AO242</f>
        <v>-11429.48</v>
      </c>
      <c r="E242" s="33">
        <f>'A) Base RI'!AP242</f>
        <v>0</v>
      </c>
      <c r="F242" s="33">
        <f>'A) Base RI'!AQ242</f>
        <v>-33.19</v>
      </c>
      <c r="G242" s="2">
        <f t="shared" si="18"/>
        <v>1097778.4700000002</v>
      </c>
      <c r="H242" s="10">
        <f>+'A) Base RI'!E242</f>
        <v>0</v>
      </c>
      <c r="I242" s="10">
        <f>+'A) Base RI'!F242</f>
        <v>0</v>
      </c>
      <c r="J242" s="10">
        <f>+'A) Base RI'!G242+'A) Base RI'!H242</f>
        <v>23400.850000000002</v>
      </c>
      <c r="K242" s="10">
        <f>+'A) Base RI'!I242</f>
        <v>0</v>
      </c>
      <c r="L242" s="10">
        <f>+'A) Base RI'!J242</f>
        <v>15472.17</v>
      </c>
      <c r="M242" s="10">
        <f>+'A) Base RI'!K242</f>
        <v>0</v>
      </c>
      <c r="N242" s="10">
        <f>+'A) Base RI'!Q242</f>
        <v>2394.15</v>
      </c>
      <c r="O242" s="10">
        <f t="shared" si="19"/>
        <v>81214.649999999994</v>
      </c>
      <c r="P242" s="10">
        <f>+'A) Base RI'!L242</f>
        <v>81214.649999999994</v>
      </c>
      <c r="Q242" s="36">
        <f>'A) Base RI'!AR242</f>
        <v>1</v>
      </c>
      <c r="R242" s="2">
        <f t="shared" si="20"/>
        <v>1220260.29</v>
      </c>
      <c r="S242" s="35">
        <f>+'A) Base RI'!AM242</f>
        <v>78</v>
      </c>
      <c r="T242" s="2">
        <f t="shared" si="21"/>
        <v>1139045.6400000001</v>
      </c>
      <c r="U242" s="2">
        <f t="shared" si="22"/>
        <v>15644.362692307694</v>
      </c>
      <c r="V242" s="10">
        <f>+'A) Base RI'!O242</f>
        <v>10915.2</v>
      </c>
      <c r="W242" s="10">
        <f>+'A) Base RI'!P242</f>
        <v>41720.85</v>
      </c>
      <c r="X242" s="10">
        <f>+'A) Base RI'!R242</f>
        <v>35989.65</v>
      </c>
      <c r="Y242" s="2">
        <f t="shared" si="23"/>
        <v>88625.700000000012</v>
      </c>
      <c r="Z242" s="10">
        <f>+'A) Base RI'!N242</f>
        <v>0</v>
      </c>
      <c r="AA242" s="10">
        <f>+'A) Base RI'!S242+'A) Base RI'!T242</f>
        <v>816.9</v>
      </c>
      <c r="AB242" s="10">
        <f>+'A) Base RI'!U242</f>
        <v>5250</v>
      </c>
      <c r="AC242" s="10">
        <f>+'A) Base RI'!V242</f>
        <v>0</v>
      </c>
      <c r="AD242" s="10">
        <f>+'A) Base RI'!W242</f>
        <v>0</v>
      </c>
      <c r="AE242" s="10">
        <f>+'A) Base RI'!Y242</f>
        <v>4000</v>
      </c>
      <c r="AF242" s="10">
        <f>+'A) Base RI'!Z242</f>
        <v>0</v>
      </c>
      <c r="AG242" s="10">
        <f>+'A) Base RI'!AA242</f>
        <v>0</v>
      </c>
      <c r="AH242" s="10">
        <f>+'A) Base RI'!AB242</f>
        <v>43280</v>
      </c>
      <c r="AI242" s="10">
        <f>+'A) Base RI'!AC242</f>
        <v>31700.65</v>
      </c>
      <c r="AJ242" s="10">
        <f>+'A) Base RI'!AD242</f>
        <v>31769.9</v>
      </c>
      <c r="AK242" s="10">
        <f>+'A) Base RI'!AE242</f>
        <v>11450</v>
      </c>
      <c r="AL242" s="10">
        <f>+'A) Base RI'!AF242</f>
        <v>0</v>
      </c>
      <c r="AM242" s="10">
        <f>+'A) Base RI'!AG242</f>
        <v>0</v>
      </c>
      <c r="AN242" s="10">
        <f>+'A) Base RI'!AH242</f>
        <v>0</v>
      </c>
      <c r="AO242" s="10">
        <f>+'A) Base RI'!AI242</f>
        <v>0</v>
      </c>
      <c r="AP242" s="10">
        <f>+'A) Base RI'!AJ242</f>
        <v>0</v>
      </c>
      <c r="AQ242" s="10">
        <f>+'A) Base RI'!AK242</f>
        <v>0</v>
      </c>
      <c r="AR242" s="10">
        <f>'A) Base RI'!AN242</f>
        <v>515</v>
      </c>
    </row>
    <row r="243" spans="1:44" x14ac:dyDescent="0.25">
      <c r="A243" s="8">
        <f>'A) Base RI'!A243</f>
        <v>5804</v>
      </c>
      <c r="B243" s="34" t="str">
        <f>'A) Base RI'!B243</f>
        <v>Jorat-Menthue</v>
      </c>
      <c r="C243" s="10">
        <f>'A) Base RI'!C243+'A) Base RI'!D243</f>
        <v>3032946.4899999998</v>
      </c>
      <c r="D243" s="10">
        <f>'A) Base RI'!AO243</f>
        <v>-47779.29</v>
      </c>
      <c r="E243" s="33">
        <f>'A) Base RI'!AP243</f>
        <v>0</v>
      </c>
      <c r="F243" s="33">
        <f>'A) Base RI'!AQ243</f>
        <v>-40.700000000000003</v>
      </c>
      <c r="G243" s="2">
        <f t="shared" si="18"/>
        <v>2985126.4999999995</v>
      </c>
      <c r="H243" s="10">
        <f>+'A) Base RI'!E243</f>
        <v>0</v>
      </c>
      <c r="I243" s="10">
        <f>+'A) Base RI'!F243</f>
        <v>0</v>
      </c>
      <c r="J243" s="10">
        <f>+'A) Base RI'!G243+'A) Base RI'!H243</f>
        <v>19568.2</v>
      </c>
      <c r="K243" s="10">
        <f>+'A) Base RI'!I243</f>
        <v>0</v>
      </c>
      <c r="L243" s="10">
        <f>+'A) Base RI'!J243</f>
        <v>87834.28</v>
      </c>
      <c r="M243" s="10">
        <f>+'A) Base RI'!K243</f>
        <v>3758.75</v>
      </c>
      <c r="N243" s="10">
        <f>+'A) Base RI'!Q243</f>
        <v>37920.019999999997</v>
      </c>
      <c r="O243" s="10">
        <f t="shared" si="19"/>
        <v>251301.05</v>
      </c>
      <c r="P243" s="10">
        <f>+'A) Base RI'!L243</f>
        <v>251301.05</v>
      </c>
      <c r="Q243" s="36">
        <f>'A) Base RI'!AR243</f>
        <v>1</v>
      </c>
      <c r="R243" s="2">
        <f t="shared" si="20"/>
        <v>3385508.7999999993</v>
      </c>
      <c r="S243" s="35">
        <f>+'A) Base RI'!AM243</f>
        <v>72</v>
      </c>
      <c r="T243" s="2">
        <f t="shared" si="21"/>
        <v>3130448.9999999995</v>
      </c>
      <c r="U243" s="2">
        <f t="shared" si="22"/>
        <v>47020.955555555549</v>
      </c>
      <c r="V243" s="10">
        <f>+'A) Base RI'!O243</f>
        <v>101140.4</v>
      </c>
      <c r="W243" s="10">
        <f>+'A) Base RI'!P243</f>
        <v>61436.3</v>
      </c>
      <c r="X243" s="10">
        <f>+'A) Base RI'!R243</f>
        <v>78689.2</v>
      </c>
      <c r="Y243" s="2">
        <f t="shared" si="23"/>
        <v>241265.90000000002</v>
      </c>
      <c r="Z243" s="10">
        <f>+'A) Base RI'!N243</f>
        <v>4035.95</v>
      </c>
      <c r="AA243" s="10">
        <f>+'A) Base RI'!S243+'A) Base RI'!T243</f>
        <v>1827.25</v>
      </c>
      <c r="AB243" s="10">
        <f>+'A) Base RI'!U243</f>
        <v>14550</v>
      </c>
      <c r="AC243" s="10">
        <f>+'A) Base RI'!V243</f>
        <v>0</v>
      </c>
      <c r="AD243" s="10">
        <f>+'A) Base RI'!W243</f>
        <v>0</v>
      </c>
      <c r="AE243" s="10">
        <f>+'A) Base RI'!Y243</f>
        <v>53635.85</v>
      </c>
      <c r="AF243" s="10">
        <f>+'A) Base RI'!Z243</f>
        <v>0</v>
      </c>
      <c r="AG243" s="10">
        <f>+'A) Base RI'!AA243</f>
        <v>272062.09999999998</v>
      </c>
      <c r="AH243" s="10">
        <f>+'A) Base RI'!AB243</f>
        <v>0</v>
      </c>
      <c r="AI243" s="10">
        <f>+'A) Base RI'!AC243</f>
        <v>184195.3</v>
      </c>
      <c r="AJ243" s="10">
        <f>+'A) Base RI'!AD243</f>
        <v>41736.5</v>
      </c>
      <c r="AK243" s="10">
        <f>+'A) Base RI'!AE243</f>
        <v>0</v>
      </c>
      <c r="AL243" s="10">
        <f>+'A) Base RI'!AF243</f>
        <v>0</v>
      </c>
      <c r="AM243" s="10">
        <f>+'A) Base RI'!AG243</f>
        <v>0</v>
      </c>
      <c r="AN243" s="10">
        <f>+'A) Base RI'!AH243</f>
        <v>41521.5</v>
      </c>
      <c r="AO243" s="10">
        <f>+'A) Base RI'!AI243</f>
        <v>0</v>
      </c>
      <c r="AP243" s="10">
        <f>+'A) Base RI'!AJ243</f>
        <v>0</v>
      </c>
      <c r="AQ243" s="10">
        <f>+'A) Base RI'!AK243</f>
        <v>0</v>
      </c>
      <c r="AR243" s="10">
        <f>'A) Base RI'!AN243</f>
        <v>1532</v>
      </c>
    </row>
    <row r="244" spans="1:44" x14ac:dyDescent="0.25">
      <c r="A244" s="8">
        <f>'A) Base RI'!A244</f>
        <v>5805</v>
      </c>
      <c r="B244" s="34" t="str">
        <f>'A) Base RI'!B244</f>
        <v>Oron</v>
      </c>
      <c r="C244" s="10">
        <f>'A) Base RI'!C244+'A) Base RI'!D244</f>
        <v>8555720.8599999994</v>
      </c>
      <c r="D244" s="10">
        <f>'A) Base RI'!AO244</f>
        <v>-229812.76</v>
      </c>
      <c r="E244" s="33">
        <f>'A) Base RI'!AP244</f>
        <v>0</v>
      </c>
      <c r="F244" s="33">
        <f>'A) Base RI'!AQ244</f>
        <v>-2330.09</v>
      </c>
      <c r="G244" s="2">
        <f t="shared" si="18"/>
        <v>8323578.0099999998</v>
      </c>
      <c r="H244" s="10">
        <f>+'A) Base RI'!E244</f>
        <v>0</v>
      </c>
      <c r="I244" s="10">
        <f>+'A) Base RI'!F244</f>
        <v>0</v>
      </c>
      <c r="J244" s="10">
        <f>+'A) Base RI'!G244+'A) Base RI'!H244</f>
        <v>749787.35</v>
      </c>
      <c r="K244" s="10">
        <f>+'A) Base RI'!I244</f>
        <v>0</v>
      </c>
      <c r="L244" s="10">
        <f>+'A) Base RI'!J244</f>
        <v>240899.77</v>
      </c>
      <c r="M244" s="10">
        <f>+'A) Base RI'!K244</f>
        <v>40874.1</v>
      </c>
      <c r="N244" s="10">
        <f>+'A) Base RI'!Q244</f>
        <v>24293.29</v>
      </c>
      <c r="O244" s="10">
        <f t="shared" si="19"/>
        <v>860798.18181818177</v>
      </c>
      <c r="P244" s="10">
        <f>+'A) Base RI'!L244</f>
        <v>946878</v>
      </c>
      <c r="Q244" s="36">
        <f>'A) Base RI'!AR244</f>
        <v>1.1000000000000001</v>
      </c>
      <c r="R244" s="2">
        <f t="shared" si="20"/>
        <v>10240230.701818179</v>
      </c>
      <c r="S244" s="35">
        <f>+'A) Base RI'!AM244</f>
        <v>69</v>
      </c>
      <c r="T244" s="2">
        <f t="shared" si="21"/>
        <v>9338558.4199999981</v>
      </c>
      <c r="U244" s="2">
        <f t="shared" si="22"/>
        <v>148409.14060606057</v>
      </c>
      <c r="V244" s="10">
        <f>+'A) Base RI'!O244</f>
        <v>80453.7</v>
      </c>
      <c r="W244" s="10">
        <f>+'A) Base RI'!P244</f>
        <v>457879.75</v>
      </c>
      <c r="X244" s="10">
        <f>+'A) Base RI'!R244</f>
        <v>306814.09999999998</v>
      </c>
      <c r="Y244" s="2">
        <f t="shared" si="23"/>
        <v>845147.54999999993</v>
      </c>
      <c r="Z244" s="10">
        <f>+'A) Base RI'!N244</f>
        <v>83623.100000000006</v>
      </c>
      <c r="AA244" s="10">
        <f>+'A) Base RI'!S244+'A) Base RI'!T244</f>
        <v>51098.1</v>
      </c>
      <c r="AB244" s="10">
        <f>+'A) Base RI'!U244</f>
        <v>37400</v>
      </c>
      <c r="AC244" s="10">
        <f>+'A) Base RI'!V244</f>
        <v>2400</v>
      </c>
      <c r="AD244" s="10">
        <f>+'A) Base RI'!W244</f>
        <v>3932.65</v>
      </c>
      <c r="AE244" s="10">
        <f>+'A) Base RI'!Y244</f>
        <v>170569.7</v>
      </c>
      <c r="AF244" s="10">
        <f>+'A) Base RI'!Z244</f>
        <v>0</v>
      </c>
      <c r="AG244" s="10">
        <f>+'A) Base RI'!AA244</f>
        <v>816144.95</v>
      </c>
      <c r="AH244" s="10">
        <f>+'A) Base RI'!AB244</f>
        <v>0</v>
      </c>
      <c r="AI244" s="10">
        <f>+'A) Base RI'!AC244</f>
        <v>372873.1</v>
      </c>
      <c r="AJ244" s="10">
        <f>+'A) Base RI'!AD244</f>
        <v>128707.07</v>
      </c>
      <c r="AK244" s="10">
        <f>+'A) Base RI'!AE244</f>
        <v>0</v>
      </c>
      <c r="AL244" s="10">
        <f>+'A) Base RI'!AF244</f>
        <v>0</v>
      </c>
      <c r="AM244" s="10">
        <f>+'A) Base RI'!AG244</f>
        <v>0</v>
      </c>
      <c r="AN244" s="10">
        <f>+'A) Base RI'!AH244</f>
        <v>162167.95000000001</v>
      </c>
      <c r="AO244" s="10">
        <f>+'A) Base RI'!AI244</f>
        <v>0</v>
      </c>
      <c r="AP244" s="10">
        <f>+'A) Base RI'!AJ244</f>
        <v>0</v>
      </c>
      <c r="AQ244" s="10">
        <f>+'A) Base RI'!AK244</f>
        <v>0</v>
      </c>
      <c r="AR244" s="10">
        <f>'A) Base RI'!AN244</f>
        <v>5463</v>
      </c>
    </row>
    <row r="245" spans="1:44" x14ac:dyDescent="0.25">
      <c r="A245" s="8">
        <f>'A) Base RI'!A245</f>
        <v>5806</v>
      </c>
      <c r="B245" s="34" t="str">
        <f>'A) Base RI'!B245</f>
        <v>Jorat-Mézières</v>
      </c>
      <c r="C245" s="10">
        <f>'A) Base RI'!C245+'A) Base RI'!D245</f>
        <v>5742509.0499999998</v>
      </c>
      <c r="D245" s="10">
        <f>'A) Base RI'!AO245</f>
        <v>-99560.960000000006</v>
      </c>
      <c r="E245" s="33">
        <f>'A) Base RI'!AP245</f>
        <v>0</v>
      </c>
      <c r="F245" s="33">
        <f>'A) Base RI'!AQ245</f>
        <v>-326.69</v>
      </c>
      <c r="G245" s="2">
        <f t="shared" si="18"/>
        <v>5642621.3999999994</v>
      </c>
      <c r="H245" s="10">
        <f>+'A) Base RI'!E245</f>
        <v>0</v>
      </c>
      <c r="I245" s="10">
        <f>+'A) Base RI'!F245</f>
        <v>0</v>
      </c>
      <c r="J245" s="10">
        <f>+'A) Base RI'!G245+'A) Base RI'!H245</f>
        <v>241611.8</v>
      </c>
      <c r="K245" s="10">
        <f>+'A) Base RI'!I245</f>
        <v>54947.5</v>
      </c>
      <c r="L245" s="10">
        <f>+'A) Base RI'!J245</f>
        <v>91214.42</v>
      </c>
      <c r="M245" s="10">
        <f>+'A) Base RI'!K245</f>
        <v>11950.35</v>
      </c>
      <c r="N245" s="10">
        <f>+'A) Base RI'!Q245</f>
        <v>14243.32</v>
      </c>
      <c r="O245" s="10">
        <f t="shared" si="19"/>
        <v>498136.3</v>
      </c>
      <c r="P245" s="10">
        <f>+'A) Base RI'!L245</f>
        <v>498136.3</v>
      </c>
      <c r="Q245" s="36">
        <f>'A) Base RI'!AR245</f>
        <v>1</v>
      </c>
      <c r="R245" s="2">
        <f t="shared" si="20"/>
        <v>6554725.0899999989</v>
      </c>
      <c r="S245" s="35">
        <f>+'A) Base RI'!AM245</f>
        <v>76</v>
      </c>
      <c r="T245" s="2">
        <f t="shared" si="21"/>
        <v>6044638.4399999995</v>
      </c>
      <c r="U245" s="2">
        <f t="shared" si="22"/>
        <v>86246.382763157875</v>
      </c>
      <c r="V245" s="10">
        <f>+'A) Base RI'!O245</f>
        <v>27856.3</v>
      </c>
      <c r="W245" s="10">
        <f>+'A) Base RI'!P245</f>
        <v>278699.65000000002</v>
      </c>
      <c r="X245" s="10">
        <f>+'A) Base RI'!R245</f>
        <v>176974.1</v>
      </c>
      <c r="Y245" s="2">
        <f t="shared" si="23"/>
        <v>483530.05000000005</v>
      </c>
      <c r="Z245" s="10">
        <f>+'A) Base RI'!N245</f>
        <v>22621.9</v>
      </c>
      <c r="AA245" s="10">
        <f>+'A) Base RI'!S245+'A) Base RI'!T245</f>
        <v>0</v>
      </c>
      <c r="AB245" s="10">
        <f>+'A) Base RI'!U245</f>
        <v>10770</v>
      </c>
      <c r="AC245" s="10">
        <f>+'A) Base RI'!V245</f>
        <v>20000</v>
      </c>
      <c r="AD245" s="10">
        <f>+'A) Base RI'!W245</f>
        <v>1434</v>
      </c>
      <c r="AE245" s="10">
        <f>+'A) Base RI'!Y245</f>
        <v>379573.05</v>
      </c>
      <c r="AF245" s="10">
        <f>+'A) Base RI'!Z245</f>
        <v>0</v>
      </c>
      <c r="AG245" s="10">
        <f>+'A) Base RI'!AA245</f>
        <v>583395.30000000005</v>
      </c>
      <c r="AH245" s="10">
        <f>+'A) Base RI'!AB245</f>
        <v>0</v>
      </c>
      <c r="AI245" s="10">
        <f>+'A) Base RI'!AC245</f>
        <v>283972.53999999998</v>
      </c>
      <c r="AJ245" s="10">
        <f>+'A) Base RI'!AD245</f>
        <v>225340</v>
      </c>
      <c r="AK245" s="10">
        <f>+'A) Base RI'!AE245</f>
        <v>0</v>
      </c>
      <c r="AL245" s="10">
        <f>+'A) Base RI'!AF245</f>
        <v>0</v>
      </c>
      <c r="AM245" s="10">
        <f>+'A) Base RI'!AG245</f>
        <v>3038</v>
      </c>
      <c r="AN245" s="10">
        <f>+'A) Base RI'!AH245</f>
        <v>0</v>
      </c>
      <c r="AO245" s="10">
        <f>+'A) Base RI'!AI245</f>
        <v>0</v>
      </c>
      <c r="AP245" s="10">
        <f>+'A) Base RI'!AJ245</f>
        <v>0</v>
      </c>
      <c r="AQ245" s="10">
        <f>+'A) Base RI'!AK245</f>
        <v>0</v>
      </c>
      <c r="AR245" s="10">
        <f>'A) Base RI'!AN245</f>
        <v>2850</v>
      </c>
    </row>
    <row r="246" spans="1:44" x14ac:dyDescent="0.25">
      <c r="A246" s="8">
        <f>'A) Base RI'!A246</f>
        <v>5812</v>
      </c>
      <c r="B246" s="34" t="str">
        <f>'A) Base RI'!B246</f>
        <v>Champtauroz</v>
      </c>
      <c r="C246" s="10">
        <f>'A) Base RI'!C246+'A) Base RI'!D246</f>
        <v>175163.03</v>
      </c>
      <c r="D246" s="10">
        <f>'A) Base RI'!AO246</f>
        <v>-6512.51</v>
      </c>
      <c r="E246" s="33">
        <f>'A) Base RI'!AP246</f>
        <v>0</v>
      </c>
      <c r="F246" s="33">
        <f>'A) Base RI'!AQ246</f>
        <v>0</v>
      </c>
      <c r="G246" s="2">
        <f t="shared" si="18"/>
        <v>168650.52</v>
      </c>
      <c r="H246" s="10">
        <f>+'A) Base RI'!E246</f>
        <v>0</v>
      </c>
      <c r="I246" s="10">
        <f>+'A) Base RI'!F246</f>
        <v>0</v>
      </c>
      <c r="J246" s="10">
        <f>+'A) Base RI'!G246+'A) Base RI'!H246</f>
        <v>831.90000000000009</v>
      </c>
      <c r="K246" s="10">
        <f>+'A) Base RI'!I246</f>
        <v>0</v>
      </c>
      <c r="L246" s="10">
        <f>+'A) Base RI'!J246</f>
        <v>4.3499999999999996</v>
      </c>
      <c r="M246" s="10">
        <f>+'A) Base RI'!K246</f>
        <v>613</v>
      </c>
      <c r="N246" s="10">
        <f>+'A) Base RI'!Q246</f>
        <v>0</v>
      </c>
      <c r="O246" s="10">
        <f t="shared" si="19"/>
        <v>15767.125</v>
      </c>
      <c r="P246" s="10">
        <f>+'A) Base RI'!L246</f>
        <v>12613.7</v>
      </c>
      <c r="Q246" s="36">
        <f>'A) Base RI'!AR246</f>
        <v>0.8</v>
      </c>
      <c r="R246" s="2">
        <f t="shared" si="20"/>
        <v>185866.89499999999</v>
      </c>
      <c r="S246" s="35">
        <f>+'A) Base RI'!AM246</f>
        <v>77</v>
      </c>
      <c r="T246" s="2">
        <f t="shared" si="21"/>
        <v>169486.77</v>
      </c>
      <c r="U246" s="2">
        <f t="shared" si="22"/>
        <v>2413.8557792207789</v>
      </c>
      <c r="V246" s="10">
        <f>+'A) Base RI'!O246</f>
        <v>0</v>
      </c>
      <c r="W246" s="10">
        <f>+'A) Base RI'!P246</f>
        <v>7359</v>
      </c>
      <c r="X246" s="10">
        <f>+'A) Base RI'!R246</f>
        <v>20000.8</v>
      </c>
      <c r="Y246" s="2">
        <f t="shared" si="23"/>
        <v>27359.8</v>
      </c>
      <c r="Z246" s="10">
        <f>+'A) Base RI'!N246</f>
        <v>0</v>
      </c>
      <c r="AA246" s="10">
        <f>+'A) Base RI'!S246+'A) Base RI'!T246</f>
        <v>0</v>
      </c>
      <c r="AB246" s="10">
        <f>+'A) Base RI'!U246</f>
        <v>540</v>
      </c>
      <c r="AC246" s="10">
        <f>+'A) Base RI'!V246</f>
        <v>0</v>
      </c>
      <c r="AD246" s="10">
        <f>+'A) Base RI'!W246</f>
        <v>0</v>
      </c>
      <c r="AE246" s="10">
        <f>+'A) Base RI'!Y246</f>
        <v>11200</v>
      </c>
      <c r="AF246" s="10">
        <f>+'A) Base RI'!Z246</f>
        <v>0</v>
      </c>
      <c r="AG246" s="10">
        <f>+'A) Base RI'!AA246</f>
        <v>10079.5</v>
      </c>
      <c r="AH246" s="10">
        <f>+'A) Base RI'!AB246</f>
        <v>0</v>
      </c>
      <c r="AI246" s="10">
        <f>+'A) Base RI'!AC246</f>
        <v>12699.05</v>
      </c>
      <c r="AJ246" s="10">
        <f>+'A) Base RI'!AD246</f>
        <v>7530</v>
      </c>
      <c r="AK246" s="10">
        <f>+'A) Base RI'!AE246</f>
        <v>0</v>
      </c>
      <c r="AL246" s="10">
        <f>+'A) Base RI'!AF246</f>
        <v>0</v>
      </c>
      <c r="AM246" s="10">
        <f>+'A) Base RI'!AG246</f>
        <v>0</v>
      </c>
      <c r="AN246" s="10">
        <f>+'A) Base RI'!AH246</f>
        <v>2605.35</v>
      </c>
      <c r="AO246" s="10">
        <f>+'A) Base RI'!AI246</f>
        <v>0</v>
      </c>
      <c r="AP246" s="10">
        <f>+'A) Base RI'!AJ246</f>
        <v>0</v>
      </c>
      <c r="AQ246" s="10">
        <f>+'A) Base RI'!AK246</f>
        <v>0</v>
      </c>
      <c r="AR246" s="10">
        <f>'A) Base RI'!AN246</f>
        <v>128</v>
      </c>
    </row>
    <row r="247" spans="1:44" x14ac:dyDescent="0.25">
      <c r="A247" s="8">
        <f>'A) Base RI'!A247</f>
        <v>5813</v>
      </c>
      <c r="B247" s="34" t="str">
        <f>'A) Base RI'!B247</f>
        <v>Chevroux</v>
      </c>
      <c r="C247" s="10">
        <f>'A) Base RI'!C247+'A) Base RI'!D247</f>
        <v>819841.52</v>
      </c>
      <c r="D247" s="10">
        <f>'A) Base RI'!AO247</f>
        <v>-26203.85</v>
      </c>
      <c r="E247" s="33">
        <f>'A) Base RI'!AP247</f>
        <v>0</v>
      </c>
      <c r="F247" s="33">
        <f>'A) Base RI'!AQ247</f>
        <v>-7.65</v>
      </c>
      <c r="G247" s="2">
        <f t="shared" si="18"/>
        <v>793630.02</v>
      </c>
      <c r="H247" s="10">
        <f>+'A) Base RI'!E247</f>
        <v>0</v>
      </c>
      <c r="I247" s="10">
        <f>+'A) Base RI'!F247</f>
        <v>2860</v>
      </c>
      <c r="J247" s="10">
        <f>+'A) Base RI'!G247+'A) Base RI'!H247</f>
        <v>30670.6</v>
      </c>
      <c r="K247" s="10">
        <f>+'A) Base RI'!I247</f>
        <v>0</v>
      </c>
      <c r="L247" s="10">
        <f>+'A) Base RI'!J247</f>
        <v>5666.85</v>
      </c>
      <c r="M247" s="10">
        <f>+'A) Base RI'!K247</f>
        <v>0</v>
      </c>
      <c r="N247" s="10">
        <f>+'A) Base RI'!Q247</f>
        <v>23644.78</v>
      </c>
      <c r="O247" s="10">
        <f t="shared" si="19"/>
        <v>74768.958333333343</v>
      </c>
      <c r="P247" s="10">
        <f>+'A) Base RI'!L247</f>
        <v>89722.75</v>
      </c>
      <c r="Q247" s="36">
        <f>'A) Base RI'!AR247</f>
        <v>1.2</v>
      </c>
      <c r="R247" s="2">
        <f t="shared" si="20"/>
        <v>931241.20833333337</v>
      </c>
      <c r="S247" s="35">
        <f>+'A) Base RI'!AM247</f>
        <v>70</v>
      </c>
      <c r="T247" s="2">
        <f t="shared" si="21"/>
        <v>853612.25</v>
      </c>
      <c r="U247" s="2">
        <f t="shared" si="22"/>
        <v>13303.445833333333</v>
      </c>
      <c r="V247" s="10">
        <f>+'A) Base RI'!O247</f>
        <v>47168.5</v>
      </c>
      <c r="W247" s="10">
        <f>+'A) Base RI'!P247</f>
        <v>56331.15</v>
      </c>
      <c r="X247" s="10">
        <f>+'A) Base RI'!R247</f>
        <v>52335.45</v>
      </c>
      <c r="Y247" s="2">
        <f t="shared" si="23"/>
        <v>155835.09999999998</v>
      </c>
      <c r="Z247" s="10">
        <f>+'A) Base RI'!N247</f>
        <v>0</v>
      </c>
      <c r="AA247" s="10">
        <f>+'A) Base RI'!S247+'A) Base RI'!T247</f>
        <v>2057.6999999999998</v>
      </c>
      <c r="AB247" s="10">
        <f>+'A) Base RI'!U247</f>
        <v>5250</v>
      </c>
      <c r="AC247" s="10">
        <f>+'A) Base RI'!V247</f>
        <v>0</v>
      </c>
      <c r="AD247" s="10">
        <f>+'A) Base RI'!W247</f>
        <v>0</v>
      </c>
      <c r="AE247" s="10">
        <f>+'A) Base RI'!Y247</f>
        <v>9708</v>
      </c>
      <c r="AF247" s="10">
        <f>+'A) Base RI'!Z247</f>
        <v>0</v>
      </c>
      <c r="AG247" s="10">
        <f>+'A) Base RI'!AA247</f>
        <v>51189</v>
      </c>
      <c r="AH247" s="10">
        <f>+'A) Base RI'!AB247</f>
        <v>0</v>
      </c>
      <c r="AI247" s="10">
        <f>+'A) Base RI'!AC247</f>
        <v>54056.87</v>
      </c>
      <c r="AJ247" s="10">
        <f>+'A) Base RI'!AD247</f>
        <v>6573.95</v>
      </c>
      <c r="AK247" s="10">
        <f>+'A) Base RI'!AE247</f>
        <v>0</v>
      </c>
      <c r="AL247" s="10">
        <f>+'A) Base RI'!AF247</f>
        <v>0</v>
      </c>
      <c r="AM247" s="10">
        <f>+'A) Base RI'!AG247</f>
        <v>85065</v>
      </c>
      <c r="AN247" s="10">
        <f>+'A) Base RI'!AH247</f>
        <v>0</v>
      </c>
      <c r="AO247" s="10">
        <f>+'A) Base RI'!AI247</f>
        <v>18166.400000000001</v>
      </c>
      <c r="AP247" s="10">
        <f>+'A) Base RI'!AJ247</f>
        <v>0</v>
      </c>
      <c r="AQ247" s="10">
        <f>+'A) Base RI'!AK247</f>
        <v>0</v>
      </c>
      <c r="AR247" s="10">
        <f>'A) Base RI'!AN247</f>
        <v>470</v>
      </c>
    </row>
    <row r="248" spans="1:44" x14ac:dyDescent="0.25">
      <c r="A248" s="8">
        <f>'A) Base RI'!A248</f>
        <v>5816</v>
      </c>
      <c r="B248" s="34" t="str">
        <f>'A) Base RI'!B248</f>
        <v>Corcelles-près-Payerne</v>
      </c>
      <c r="C248" s="10">
        <f>'A) Base RI'!C248+'A) Base RI'!D248</f>
        <v>3428346.15</v>
      </c>
      <c r="D248" s="10">
        <f>'A) Base RI'!AO248</f>
        <v>-82985.820000000007</v>
      </c>
      <c r="E248" s="33">
        <f>'A) Base RI'!AP248</f>
        <v>0</v>
      </c>
      <c r="F248" s="33">
        <f>'A) Base RI'!AQ248</f>
        <v>-10.39</v>
      </c>
      <c r="G248" s="2">
        <f t="shared" si="18"/>
        <v>3345349.94</v>
      </c>
      <c r="H248" s="10">
        <f>+'A) Base RI'!E248</f>
        <v>0</v>
      </c>
      <c r="I248" s="10">
        <f>+'A) Base RI'!F248</f>
        <v>0</v>
      </c>
      <c r="J248" s="10">
        <f>+'A) Base RI'!G248+'A) Base RI'!H248</f>
        <v>295272.10000000003</v>
      </c>
      <c r="K248" s="10">
        <f>+'A) Base RI'!I248</f>
        <v>0</v>
      </c>
      <c r="L248" s="10">
        <f>+'A) Base RI'!J248</f>
        <v>178054.71</v>
      </c>
      <c r="M248" s="10">
        <f>+'A) Base RI'!K248</f>
        <v>19333.5</v>
      </c>
      <c r="N248" s="10">
        <f>+'A) Base RI'!Q248</f>
        <v>2720.71</v>
      </c>
      <c r="O248" s="10">
        <f t="shared" si="19"/>
        <v>332015.85714285716</v>
      </c>
      <c r="P248" s="10">
        <f>+'A) Base RI'!L248</f>
        <v>232411.1</v>
      </c>
      <c r="Q248" s="36">
        <f>'A) Base RI'!AR248</f>
        <v>0.7</v>
      </c>
      <c r="R248" s="2">
        <f t="shared" si="20"/>
        <v>4172746.8171428572</v>
      </c>
      <c r="S248" s="35">
        <f>+'A) Base RI'!AM248</f>
        <v>72</v>
      </c>
      <c r="T248" s="2">
        <f t="shared" si="21"/>
        <v>3821397.46</v>
      </c>
      <c r="U248" s="2">
        <f t="shared" si="22"/>
        <v>57954.816904761909</v>
      </c>
      <c r="V248" s="10">
        <f>+'A) Base RI'!O248</f>
        <v>65734.899999999994</v>
      </c>
      <c r="W248" s="10">
        <f>+'A) Base RI'!P248</f>
        <v>138344.45000000001</v>
      </c>
      <c r="X248" s="10">
        <f>+'A) Base RI'!R248</f>
        <v>101756.4</v>
      </c>
      <c r="Y248" s="2">
        <f t="shared" si="23"/>
        <v>305835.75</v>
      </c>
      <c r="Z248" s="10">
        <f>+'A) Base RI'!N248</f>
        <v>19098.8</v>
      </c>
      <c r="AA248" s="10">
        <f>+'A) Base RI'!S248+'A) Base RI'!T248</f>
        <v>8946.9</v>
      </c>
      <c r="AB248" s="10">
        <f>+'A) Base RI'!U248</f>
        <v>9210</v>
      </c>
      <c r="AC248" s="10">
        <f>+'A) Base RI'!V248</f>
        <v>0</v>
      </c>
      <c r="AD248" s="10">
        <f>+'A) Base RI'!W248</f>
        <v>0</v>
      </c>
      <c r="AE248" s="10">
        <f>+'A) Base RI'!Y248</f>
        <v>93784.3</v>
      </c>
      <c r="AF248" s="10">
        <f>+'A) Base RI'!Z248</f>
        <v>0</v>
      </c>
      <c r="AG248" s="10">
        <f>+'A) Base RI'!AA248</f>
        <v>475358.95</v>
      </c>
      <c r="AH248" s="10">
        <f>+'A) Base RI'!AB248</f>
        <v>0</v>
      </c>
      <c r="AI248" s="10">
        <f>+'A) Base RI'!AC248</f>
        <v>162648.28</v>
      </c>
      <c r="AJ248" s="10">
        <f>+'A) Base RI'!AD248</f>
        <v>43913.5</v>
      </c>
      <c r="AK248" s="10">
        <f>+'A) Base RI'!AE248</f>
        <v>0</v>
      </c>
      <c r="AL248" s="10">
        <f>+'A) Base RI'!AF248</f>
        <v>0</v>
      </c>
      <c r="AM248" s="10">
        <f>+'A) Base RI'!AG248</f>
        <v>0</v>
      </c>
      <c r="AN248" s="10">
        <f>+'A) Base RI'!AH248</f>
        <v>0</v>
      </c>
      <c r="AO248" s="10">
        <f>+'A) Base RI'!AI248</f>
        <v>0</v>
      </c>
      <c r="AP248" s="10">
        <f>+'A) Base RI'!AJ248</f>
        <v>0</v>
      </c>
      <c r="AQ248" s="10">
        <f>+'A) Base RI'!AK248</f>
        <v>0</v>
      </c>
      <c r="AR248" s="10">
        <f>'A) Base RI'!AN248</f>
        <v>2448</v>
      </c>
    </row>
    <row r="249" spans="1:44" x14ac:dyDescent="0.25">
      <c r="A249" s="8">
        <f>'A) Base RI'!A249</f>
        <v>5817</v>
      </c>
      <c r="B249" s="34" t="str">
        <f>'A) Base RI'!B249</f>
        <v>Grandcour</v>
      </c>
      <c r="C249" s="10">
        <f>'A) Base RI'!C249+'A) Base RI'!D249</f>
        <v>1661264.72</v>
      </c>
      <c r="D249" s="10">
        <f>'A) Base RI'!AO249</f>
        <v>-101794.85</v>
      </c>
      <c r="E249" s="33">
        <f>'A) Base RI'!AP249</f>
        <v>0</v>
      </c>
      <c r="F249" s="33">
        <f>'A) Base RI'!AQ249</f>
        <v>-0.71</v>
      </c>
      <c r="G249" s="2">
        <f t="shared" si="18"/>
        <v>1559469.16</v>
      </c>
      <c r="H249" s="10">
        <f>+'A) Base RI'!E249</f>
        <v>0</v>
      </c>
      <c r="I249" s="10">
        <f>+'A) Base RI'!F249</f>
        <v>0</v>
      </c>
      <c r="J249" s="10">
        <f>+'A) Base RI'!G249+'A) Base RI'!H249</f>
        <v>35988.550000000003</v>
      </c>
      <c r="K249" s="10">
        <f>+'A) Base RI'!I249</f>
        <v>0</v>
      </c>
      <c r="L249" s="10">
        <f>+'A) Base RI'!J249</f>
        <v>25402.91</v>
      </c>
      <c r="M249" s="10">
        <f>+'A) Base RI'!K249</f>
        <v>2752.95</v>
      </c>
      <c r="N249" s="10">
        <f>+'A) Base RI'!Q249</f>
        <v>34999.15</v>
      </c>
      <c r="O249" s="10">
        <f t="shared" si="19"/>
        <v>110131.8</v>
      </c>
      <c r="P249" s="10">
        <f>+'A) Base RI'!L249</f>
        <v>110131.8</v>
      </c>
      <c r="Q249" s="36">
        <f>'A) Base RI'!AR249</f>
        <v>1</v>
      </c>
      <c r="R249" s="2">
        <f t="shared" si="20"/>
        <v>1768744.5199999998</v>
      </c>
      <c r="S249" s="35">
        <f>+'A) Base RI'!AM249</f>
        <v>79.5</v>
      </c>
      <c r="T249" s="2">
        <f t="shared" si="21"/>
        <v>1655859.7699999998</v>
      </c>
      <c r="U249" s="2">
        <f t="shared" si="22"/>
        <v>22248.358742138364</v>
      </c>
      <c r="V249" s="10">
        <f>+'A) Base RI'!O249</f>
        <v>4940</v>
      </c>
      <c r="W249" s="10">
        <f>+'A) Base RI'!P249</f>
        <v>50052.9</v>
      </c>
      <c r="X249" s="10">
        <f>+'A) Base RI'!R249</f>
        <v>71500.600000000006</v>
      </c>
      <c r="Y249" s="2">
        <f t="shared" si="23"/>
        <v>126493.5</v>
      </c>
      <c r="Z249" s="10">
        <f>+'A) Base RI'!N249</f>
        <v>0</v>
      </c>
      <c r="AA249" s="10">
        <f>+'A) Base RI'!S249+'A) Base RI'!T249</f>
        <v>1340.05</v>
      </c>
      <c r="AB249" s="10">
        <f>+'A) Base RI'!U249</f>
        <v>4450</v>
      </c>
      <c r="AC249" s="10">
        <f>+'A) Base RI'!V249</f>
        <v>0</v>
      </c>
      <c r="AD249" s="10">
        <f>+'A) Base RI'!W249</f>
        <v>0</v>
      </c>
      <c r="AE249" s="10">
        <f>+'A) Base RI'!Y249</f>
        <v>45926</v>
      </c>
      <c r="AF249" s="10">
        <f>+'A) Base RI'!Z249</f>
        <v>0</v>
      </c>
      <c r="AG249" s="10">
        <f>+'A) Base RI'!AA249</f>
        <v>245077.95</v>
      </c>
      <c r="AH249" s="10">
        <f>+'A) Base RI'!AB249</f>
        <v>0</v>
      </c>
      <c r="AI249" s="10">
        <f>+'A) Base RI'!AC249</f>
        <v>67088.45</v>
      </c>
      <c r="AJ249" s="10">
        <f>+'A) Base RI'!AD249</f>
        <v>12868</v>
      </c>
      <c r="AK249" s="10">
        <f>+'A) Base RI'!AE249</f>
        <v>0</v>
      </c>
      <c r="AL249" s="10">
        <f>+'A) Base RI'!AF249</f>
        <v>0</v>
      </c>
      <c r="AM249" s="10">
        <f>+'A) Base RI'!AG249</f>
        <v>0</v>
      </c>
      <c r="AN249" s="10">
        <f>+'A) Base RI'!AH249</f>
        <v>24785.25</v>
      </c>
      <c r="AO249" s="10">
        <f>+'A) Base RI'!AI249</f>
        <v>0</v>
      </c>
      <c r="AP249" s="10">
        <f>+'A) Base RI'!AJ249</f>
        <v>0</v>
      </c>
      <c r="AQ249" s="10">
        <f>+'A) Base RI'!AK249</f>
        <v>0</v>
      </c>
      <c r="AR249" s="10">
        <f>'A) Base RI'!AN249</f>
        <v>890</v>
      </c>
    </row>
    <row r="250" spans="1:44" x14ac:dyDescent="0.25">
      <c r="A250" s="8">
        <f>'A) Base RI'!A250</f>
        <v>5819</v>
      </c>
      <c r="B250" s="34" t="str">
        <f>'A) Base RI'!B250</f>
        <v>Henniez</v>
      </c>
      <c r="C250" s="10">
        <f>'A) Base RI'!C250+'A) Base RI'!D250</f>
        <v>699421.63</v>
      </c>
      <c r="D250" s="10">
        <f>'A) Base RI'!AO250</f>
        <v>-12381.68</v>
      </c>
      <c r="E250" s="33">
        <f>'A) Base RI'!AP250</f>
        <v>0</v>
      </c>
      <c r="F250" s="33">
        <f>'A) Base RI'!AQ250</f>
        <v>-99.16</v>
      </c>
      <c r="G250" s="2">
        <f t="shared" si="18"/>
        <v>686940.78999999992</v>
      </c>
      <c r="H250" s="10">
        <f>+'A) Base RI'!E250</f>
        <v>0</v>
      </c>
      <c r="I250" s="10">
        <f>+'A) Base RI'!F250</f>
        <v>0</v>
      </c>
      <c r="J250" s="10">
        <f>+'A) Base RI'!G250+'A) Base RI'!H250</f>
        <v>243125.25</v>
      </c>
      <c r="K250" s="10">
        <f>+'A) Base RI'!I250</f>
        <v>0</v>
      </c>
      <c r="L250" s="10">
        <f>+'A) Base RI'!J250</f>
        <v>11537.38</v>
      </c>
      <c r="M250" s="10">
        <f>+'A) Base RI'!K250</f>
        <v>1849.35</v>
      </c>
      <c r="N250" s="10">
        <f>+'A) Base RI'!Q250</f>
        <v>2012.25</v>
      </c>
      <c r="O250" s="10">
        <f t="shared" si="19"/>
        <v>80845.350000000006</v>
      </c>
      <c r="P250" s="10">
        <f>+'A) Base RI'!L250</f>
        <v>80845.350000000006</v>
      </c>
      <c r="Q250" s="36">
        <f>'A) Base RI'!AR250</f>
        <v>1</v>
      </c>
      <c r="R250" s="2">
        <f t="shared" si="20"/>
        <v>1026310.3699999999</v>
      </c>
      <c r="S250" s="35">
        <f>+'A) Base RI'!AM250</f>
        <v>69</v>
      </c>
      <c r="T250" s="2">
        <f t="shared" si="21"/>
        <v>943615.66999999993</v>
      </c>
      <c r="U250" s="2">
        <f t="shared" si="22"/>
        <v>14874.063333333332</v>
      </c>
      <c r="V250" s="10">
        <f>+'A) Base RI'!O250</f>
        <v>1532.6</v>
      </c>
      <c r="W250" s="10">
        <f>+'A) Base RI'!P250</f>
        <v>18786.5</v>
      </c>
      <c r="X250" s="10">
        <f>+'A) Base RI'!R250</f>
        <v>39202.35</v>
      </c>
      <c r="Y250" s="2">
        <f t="shared" si="23"/>
        <v>59521.45</v>
      </c>
      <c r="Z250" s="10">
        <f>+'A) Base RI'!N250</f>
        <v>18163.650000000001</v>
      </c>
      <c r="AA250" s="10">
        <f>+'A) Base RI'!S250+'A) Base RI'!T250</f>
        <v>0</v>
      </c>
      <c r="AB250" s="10">
        <f>+'A) Base RI'!U250</f>
        <v>880</v>
      </c>
      <c r="AC250" s="10">
        <f>+'A) Base RI'!V250</f>
        <v>0</v>
      </c>
      <c r="AD250" s="10">
        <f>+'A) Base RI'!W250</f>
        <v>0</v>
      </c>
      <c r="AE250" s="10">
        <f>+'A) Base RI'!Y250</f>
        <v>21000</v>
      </c>
      <c r="AF250" s="10">
        <f>+'A) Base RI'!Z250</f>
        <v>0</v>
      </c>
      <c r="AG250" s="10">
        <f>+'A) Base RI'!AA250</f>
        <v>27765.25</v>
      </c>
      <c r="AH250" s="10">
        <f>+'A) Base RI'!AB250</f>
        <v>0</v>
      </c>
      <c r="AI250" s="10">
        <f>+'A) Base RI'!AC250</f>
        <v>33909.9</v>
      </c>
      <c r="AJ250" s="10">
        <f>+'A) Base RI'!AD250</f>
        <v>15297</v>
      </c>
      <c r="AK250" s="10">
        <f>+'A) Base RI'!AE250</f>
        <v>0</v>
      </c>
      <c r="AL250" s="10">
        <f>+'A) Base RI'!AF250</f>
        <v>0</v>
      </c>
      <c r="AM250" s="10">
        <f>+'A) Base RI'!AG250</f>
        <v>0</v>
      </c>
      <c r="AN250" s="10">
        <f>+'A) Base RI'!AH250</f>
        <v>0</v>
      </c>
      <c r="AO250" s="10">
        <f>+'A) Base RI'!AI250</f>
        <v>0</v>
      </c>
      <c r="AP250" s="10">
        <f>+'A) Base RI'!AJ250</f>
        <v>0</v>
      </c>
      <c r="AQ250" s="10">
        <f>+'A) Base RI'!AK250</f>
        <v>0</v>
      </c>
      <c r="AR250" s="10">
        <f>'A) Base RI'!AN250</f>
        <v>359</v>
      </c>
    </row>
    <row r="251" spans="1:44" x14ac:dyDescent="0.25">
      <c r="A251" s="8">
        <f>'A) Base RI'!A251</f>
        <v>5821</v>
      </c>
      <c r="B251" s="34" t="str">
        <f>'A) Base RI'!B251</f>
        <v>Missy</v>
      </c>
      <c r="C251" s="10">
        <f>'A) Base RI'!C251+'A) Base RI'!D251</f>
        <v>501896.95</v>
      </c>
      <c r="D251" s="10">
        <f>'A) Base RI'!AO251</f>
        <v>-19375.32</v>
      </c>
      <c r="E251" s="33">
        <f>'A) Base RI'!AP251</f>
        <v>0</v>
      </c>
      <c r="F251" s="33">
        <f>'A) Base RI'!AQ251</f>
        <v>0</v>
      </c>
      <c r="G251" s="2">
        <f t="shared" si="18"/>
        <v>482521.63</v>
      </c>
      <c r="H251" s="10">
        <f>+'A) Base RI'!E251</f>
        <v>0</v>
      </c>
      <c r="I251" s="10">
        <f>+'A) Base RI'!F251</f>
        <v>2080</v>
      </c>
      <c r="J251" s="10">
        <f>+'A) Base RI'!G251+'A) Base RI'!H251</f>
        <v>2134.4500000000003</v>
      </c>
      <c r="K251" s="10">
        <f>+'A) Base RI'!I251</f>
        <v>0</v>
      </c>
      <c r="L251" s="10">
        <f>+'A) Base RI'!J251</f>
        <v>14600.82</v>
      </c>
      <c r="M251" s="10">
        <f>+'A) Base RI'!K251</f>
        <v>1276.6500000000001</v>
      </c>
      <c r="N251" s="10">
        <f>+'A) Base RI'!Q251</f>
        <v>0</v>
      </c>
      <c r="O251" s="10">
        <f t="shared" si="19"/>
        <v>47399.3</v>
      </c>
      <c r="P251" s="10">
        <f>+'A) Base RI'!L251</f>
        <v>47399.3</v>
      </c>
      <c r="Q251" s="36">
        <f>'A) Base RI'!AR251</f>
        <v>1</v>
      </c>
      <c r="R251" s="2">
        <f t="shared" si="20"/>
        <v>550012.85000000009</v>
      </c>
      <c r="S251" s="35">
        <f>+'A) Base RI'!AM251</f>
        <v>72</v>
      </c>
      <c r="T251" s="2">
        <f t="shared" si="21"/>
        <v>499256.9</v>
      </c>
      <c r="U251" s="2">
        <f t="shared" si="22"/>
        <v>7639.0673611111124</v>
      </c>
      <c r="V251" s="10">
        <f>+'A) Base RI'!O251</f>
        <v>0</v>
      </c>
      <c r="W251" s="10">
        <f>+'A) Base RI'!P251</f>
        <v>9597.5</v>
      </c>
      <c r="X251" s="10">
        <f>+'A) Base RI'!R251</f>
        <v>3755.25</v>
      </c>
      <c r="Y251" s="2">
        <f t="shared" si="23"/>
        <v>13352.75</v>
      </c>
      <c r="Z251" s="10">
        <f>+'A) Base RI'!N251</f>
        <v>0</v>
      </c>
      <c r="AA251" s="10">
        <f>+'A) Base RI'!S251+'A) Base RI'!T251</f>
        <v>0</v>
      </c>
      <c r="AB251" s="10">
        <f>+'A) Base RI'!U251</f>
        <v>2050</v>
      </c>
      <c r="AC251" s="10">
        <f>+'A) Base RI'!V251</f>
        <v>0</v>
      </c>
      <c r="AD251" s="10">
        <f>+'A) Base RI'!W251</f>
        <v>0</v>
      </c>
      <c r="AE251" s="10">
        <f>+'A) Base RI'!Y251</f>
        <v>6000</v>
      </c>
      <c r="AF251" s="10">
        <f>+'A) Base RI'!Z251</f>
        <v>0</v>
      </c>
      <c r="AG251" s="10">
        <f>+'A) Base RI'!AA251</f>
        <v>60655.25</v>
      </c>
      <c r="AH251" s="10">
        <f>+'A) Base RI'!AB251</f>
        <v>0</v>
      </c>
      <c r="AI251" s="10">
        <f>+'A) Base RI'!AC251</f>
        <v>23169.25</v>
      </c>
      <c r="AJ251" s="10">
        <f>+'A) Base RI'!AD251</f>
        <v>0</v>
      </c>
      <c r="AK251" s="10">
        <f>+'A) Base RI'!AE251</f>
        <v>7664.1</v>
      </c>
      <c r="AL251" s="10">
        <f>+'A) Base RI'!AF251</f>
        <v>0</v>
      </c>
      <c r="AM251" s="10">
        <f>+'A) Base RI'!AG251</f>
        <v>0</v>
      </c>
      <c r="AN251" s="10">
        <f>+'A) Base RI'!AH251</f>
        <v>7772.25</v>
      </c>
      <c r="AO251" s="10">
        <f>+'A) Base RI'!AI251</f>
        <v>0</v>
      </c>
      <c r="AP251" s="10">
        <f>+'A) Base RI'!AJ251</f>
        <v>0</v>
      </c>
      <c r="AQ251" s="10">
        <f>+'A) Base RI'!AK251</f>
        <v>85.8</v>
      </c>
      <c r="AR251" s="10">
        <f>'A) Base RI'!AN251</f>
        <v>352</v>
      </c>
    </row>
    <row r="252" spans="1:44" x14ac:dyDescent="0.25">
      <c r="A252" s="8">
        <f>'A) Base RI'!A252</f>
        <v>5822</v>
      </c>
      <c r="B252" s="34" t="str">
        <f>'A) Base RI'!B252</f>
        <v>Payerne</v>
      </c>
      <c r="C252" s="10">
        <f>'A) Base RI'!C252+'A) Base RI'!D252</f>
        <v>14673425.880000001</v>
      </c>
      <c r="D252" s="10">
        <f>'A) Base RI'!AO252</f>
        <v>-632928.4</v>
      </c>
      <c r="E252" s="33">
        <f>'A) Base RI'!AP252</f>
        <v>0</v>
      </c>
      <c r="F252" s="33">
        <f>'A) Base RI'!AQ252</f>
        <v>-185.05</v>
      </c>
      <c r="G252" s="2">
        <f t="shared" si="18"/>
        <v>14040312.43</v>
      </c>
      <c r="H252" s="10">
        <f>+'A) Base RI'!E252</f>
        <v>0</v>
      </c>
      <c r="I252" s="10">
        <f>+'A) Base RI'!F252</f>
        <v>0</v>
      </c>
      <c r="J252" s="10">
        <f>+'A) Base RI'!G252+'A) Base RI'!H252</f>
        <v>2119442.5499999998</v>
      </c>
      <c r="K252" s="10">
        <f>+'A) Base RI'!I252</f>
        <v>0</v>
      </c>
      <c r="L252" s="10">
        <f>+'A) Base RI'!J252</f>
        <v>693109.76000000001</v>
      </c>
      <c r="M252" s="10">
        <f>+'A) Base RI'!K252</f>
        <v>166885.15</v>
      </c>
      <c r="N252" s="10">
        <f>+'A) Base RI'!Q252</f>
        <v>181782.73</v>
      </c>
      <c r="O252" s="10">
        <f t="shared" si="19"/>
        <v>1278294</v>
      </c>
      <c r="P252" s="10">
        <f>+'A) Base RI'!L252</f>
        <v>1278294</v>
      </c>
      <c r="Q252" s="36">
        <f>'A) Base RI'!AR252</f>
        <v>1</v>
      </c>
      <c r="R252" s="2">
        <f t="shared" si="20"/>
        <v>18479826.620000001</v>
      </c>
      <c r="S252" s="35">
        <f>+'A) Base RI'!AM252</f>
        <v>75</v>
      </c>
      <c r="T252" s="2">
        <f t="shared" si="21"/>
        <v>17034647.470000003</v>
      </c>
      <c r="U252" s="2">
        <f t="shared" si="22"/>
        <v>246397.68826666669</v>
      </c>
      <c r="V252" s="10">
        <f>+'A) Base RI'!O252</f>
        <v>324837.7</v>
      </c>
      <c r="W252" s="10">
        <f>+'A) Base RI'!P252</f>
        <v>652835.30000000005</v>
      </c>
      <c r="X252" s="10">
        <f>+'A) Base RI'!R252</f>
        <v>398719.65</v>
      </c>
      <c r="Y252" s="2">
        <f t="shared" si="23"/>
        <v>1376392.65</v>
      </c>
      <c r="Z252" s="10">
        <f>+'A) Base RI'!N252</f>
        <v>79488.55</v>
      </c>
      <c r="AA252" s="10">
        <f>+'A) Base RI'!S252+'A) Base RI'!T252</f>
        <v>122443.95</v>
      </c>
      <c r="AB252" s="10">
        <f>+'A) Base RI'!U252</f>
        <v>22100</v>
      </c>
      <c r="AC252" s="10">
        <f>+'A) Base RI'!V252</f>
        <v>58733.7</v>
      </c>
      <c r="AD252" s="10">
        <f>+'A) Base RI'!W252</f>
        <v>0</v>
      </c>
      <c r="AE252" s="10">
        <f>+'A) Base RI'!Y252</f>
        <v>163262.39999999999</v>
      </c>
      <c r="AF252" s="10">
        <f>+'A) Base RI'!Z252</f>
        <v>0</v>
      </c>
      <c r="AG252" s="10">
        <f>+'A) Base RI'!AA252</f>
        <v>2298904</v>
      </c>
      <c r="AH252" s="10">
        <f>+'A) Base RI'!AB252</f>
        <v>0</v>
      </c>
      <c r="AI252" s="10">
        <f>+'A) Base RI'!AC252</f>
        <v>1158792.3999999999</v>
      </c>
      <c r="AJ252" s="10">
        <f>+'A) Base RI'!AD252</f>
        <v>85863.5</v>
      </c>
      <c r="AK252" s="10">
        <f>+'A) Base RI'!AE252</f>
        <v>0</v>
      </c>
      <c r="AL252" s="10">
        <f>+'A) Base RI'!AF252</f>
        <v>0</v>
      </c>
      <c r="AM252" s="10">
        <f>+'A) Base RI'!AG252</f>
        <v>960</v>
      </c>
      <c r="AN252" s="10">
        <f>+'A) Base RI'!AH252</f>
        <v>0</v>
      </c>
      <c r="AO252" s="10">
        <f>+'A) Base RI'!AI252</f>
        <v>0</v>
      </c>
      <c r="AP252" s="10">
        <f>+'A) Base RI'!AJ252</f>
        <v>0</v>
      </c>
      <c r="AQ252" s="10">
        <f>+'A) Base RI'!AK252</f>
        <v>0</v>
      </c>
      <c r="AR252" s="10">
        <f>'A) Base RI'!AN252</f>
        <v>9716</v>
      </c>
    </row>
    <row r="253" spans="1:44" x14ac:dyDescent="0.25">
      <c r="A253" s="8">
        <f>'A) Base RI'!A253</f>
        <v>5827</v>
      </c>
      <c r="B253" s="34" t="str">
        <f>'A) Base RI'!B253</f>
        <v>Trey</v>
      </c>
      <c r="C253" s="10">
        <f>'A) Base RI'!C253+'A) Base RI'!D253</f>
        <v>496048.76</v>
      </c>
      <c r="D253" s="10">
        <f>'A) Base RI'!AO253</f>
        <v>-6716.17</v>
      </c>
      <c r="E253" s="33">
        <f>'A) Base RI'!AP253</f>
        <v>0</v>
      </c>
      <c r="F253" s="33">
        <f>'A) Base RI'!AQ253</f>
        <v>0</v>
      </c>
      <c r="G253" s="2">
        <f t="shared" si="18"/>
        <v>489332.59</v>
      </c>
      <c r="H253" s="10">
        <f>+'A) Base RI'!E253</f>
        <v>0</v>
      </c>
      <c r="I253" s="10">
        <f>+'A) Base RI'!F253</f>
        <v>1470</v>
      </c>
      <c r="J253" s="10">
        <f>+'A) Base RI'!G253+'A) Base RI'!H253</f>
        <v>13365.75</v>
      </c>
      <c r="K253" s="10">
        <f>+'A) Base RI'!I253</f>
        <v>0</v>
      </c>
      <c r="L253" s="10">
        <f>+'A) Base RI'!J253</f>
        <v>-141.22999999999999</v>
      </c>
      <c r="M253" s="10">
        <f>+'A) Base RI'!K253</f>
        <v>469.35</v>
      </c>
      <c r="N253" s="10">
        <f>+'A) Base RI'!Q253</f>
        <v>1985.27</v>
      </c>
      <c r="O253" s="10">
        <f t="shared" si="19"/>
        <v>33699.65</v>
      </c>
      <c r="P253" s="10">
        <f>+'A) Base RI'!L253</f>
        <v>33699.65</v>
      </c>
      <c r="Q253" s="36">
        <f>'A) Base RI'!AR253</f>
        <v>1</v>
      </c>
      <c r="R253" s="2">
        <f t="shared" si="20"/>
        <v>540181.38</v>
      </c>
      <c r="S253" s="35">
        <f>+'A) Base RI'!AM253</f>
        <v>80</v>
      </c>
      <c r="T253" s="2">
        <f t="shared" si="21"/>
        <v>504542.38000000006</v>
      </c>
      <c r="U253" s="2">
        <f t="shared" si="22"/>
        <v>6752.2672499999999</v>
      </c>
      <c r="V253" s="10">
        <f>+'A) Base RI'!O253</f>
        <v>0</v>
      </c>
      <c r="W253" s="10">
        <f>+'A) Base RI'!P253</f>
        <v>10809.4</v>
      </c>
      <c r="X253" s="10">
        <f>+'A) Base RI'!R253</f>
        <v>7486.1</v>
      </c>
      <c r="Y253" s="2">
        <f t="shared" si="23"/>
        <v>18295.5</v>
      </c>
      <c r="Z253" s="10">
        <f>+'A) Base RI'!N253</f>
        <v>20433.599999999999</v>
      </c>
      <c r="AA253" s="10">
        <f>+'A) Base RI'!S253+'A) Base RI'!T253</f>
        <v>0</v>
      </c>
      <c r="AB253" s="10">
        <f>+'A) Base RI'!U253</f>
        <v>1775</v>
      </c>
      <c r="AC253" s="10">
        <f>+'A) Base RI'!V253</f>
        <v>0</v>
      </c>
      <c r="AD253" s="10">
        <f>+'A) Base RI'!W253</f>
        <v>0</v>
      </c>
      <c r="AE253" s="10">
        <f>+'A) Base RI'!Y253</f>
        <v>0</v>
      </c>
      <c r="AF253" s="10">
        <f>+'A) Base RI'!Z253</f>
        <v>0</v>
      </c>
      <c r="AG253" s="10">
        <f>+'A) Base RI'!AA253</f>
        <v>43015.199999999997</v>
      </c>
      <c r="AH253" s="10">
        <f>+'A) Base RI'!AB253</f>
        <v>0</v>
      </c>
      <c r="AI253" s="10">
        <f>+'A) Base RI'!AC253</f>
        <v>13360</v>
      </c>
      <c r="AJ253" s="10">
        <f>+'A) Base RI'!AD253</f>
        <v>0</v>
      </c>
      <c r="AK253" s="10">
        <f>+'A) Base RI'!AE253</f>
        <v>0</v>
      </c>
      <c r="AL253" s="10">
        <f>+'A) Base RI'!AF253</f>
        <v>0</v>
      </c>
      <c r="AM253" s="10">
        <f>+'A) Base RI'!AG253</f>
        <v>0</v>
      </c>
      <c r="AN253" s="10">
        <f>+'A) Base RI'!AH253</f>
        <v>0</v>
      </c>
      <c r="AO253" s="10">
        <f>+'A) Base RI'!AI253</f>
        <v>0</v>
      </c>
      <c r="AP253" s="10">
        <f>+'A) Base RI'!AJ253</f>
        <v>0</v>
      </c>
      <c r="AQ253" s="10">
        <f>+'A) Base RI'!AK253</f>
        <v>0</v>
      </c>
      <c r="AR253" s="10">
        <f>'A) Base RI'!AN253</f>
        <v>268</v>
      </c>
    </row>
    <row r="254" spans="1:44" x14ac:dyDescent="0.25">
      <c r="A254" s="8">
        <f>'A) Base RI'!A254</f>
        <v>5828</v>
      </c>
      <c r="B254" s="34" t="str">
        <f>'A) Base RI'!B254</f>
        <v>Treytorrens (Payerne)</v>
      </c>
      <c r="C254" s="10">
        <f>'A) Base RI'!C254+'A) Base RI'!D254</f>
        <v>184831.12</v>
      </c>
      <c r="D254" s="10">
        <f>'A) Base RI'!AO254</f>
        <v>-8514.61</v>
      </c>
      <c r="E254" s="33">
        <f>'A) Base RI'!AP254</f>
        <v>0</v>
      </c>
      <c r="F254" s="33">
        <f>'A) Base RI'!AQ254</f>
        <v>0</v>
      </c>
      <c r="G254" s="2">
        <f t="shared" si="18"/>
        <v>176316.51</v>
      </c>
      <c r="H254" s="10">
        <f>+'A) Base RI'!E254</f>
        <v>0</v>
      </c>
      <c r="I254" s="10">
        <f>+'A) Base RI'!F254</f>
        <v>0</v>
      </c>
      <c r="J254" s="10">
        <f>+'A) Base RI'!G254+'A) Base RI'!H254</f>
        <v>557.25</v>
      </c>
      <c r="K254" s="10">
        <f>+'A) Base RI'!I254</f>
        <v>0</v>
      </c>
      <c r="L254" s="10">
        <f>+'A) Base RI'!J254</f>
        <v>184.94</v>
      </c>
      <c r="M254" s="10">
        <f>+'A) Base RI'!K254</f>
        <v>0</v>
      </c>
      <c r="N254" s="10">
        <f>+'A) Base RI'!Q254</f>
        <v>0</v>
      </c>
      <c r="O254" s="10">
        <f t="shared" si="19"/>
        <v>14520.866666666667</v>
      </c>
      <c r="P254" s="10">
        <f>+'A) Base RI'!L254</f>
        <v>21781.3</v>
      </c>
      <c r="Q254" s="36">
        <f>'A) Base RI'!AR254</f>
        <v>1.5</v>
      </c>
      <c r="R254" s="2">
        <f t="shared" si="20"/>
        <v>191579.56666666668</v>
      </c>
      <c r="S254" s="35">
        <f>+'A) Base RI'!AM254</f>
        <v>84</v>
      </c>
      <c r="T254" s="2">
        <f t="shared" si="21"/>
        <v>177058.7</v>
      </c>
      <c r="U254" s="2">
        <f t="shared" si="22"/>
        <v>2280.7091269841271</v>
      </c>
      <c r="V254" s="10">
        <f>+'A) Base RI'!O254</f>
        <v>3117.5</v>
      </c>
      <c r="W254" s="10">
        <f>+'A) Base RI'!P254</f>
        <v>13181.75</v>
      </c>
      <c r="X254" s="10">
        <f>+'A) Base RI'!R254</f>
        <v>19729.900000000001</v>
      </c>
      <c r="Y254" s="2">
        <f t="shared" si="23"/>
        <v>36029.15</v>
      </c>
      <c r="Z254" s="10">
        <f>+'A) Base RI'!N254</f>
        <v>0</v>
      </c>
      <c r="AA254" s="10">
        <f>+'A) Base RI'!S254+'A) Base RI'!T254</f>
        <v>0</v>
      </c>
      <c r="AB254" s="10">
        <f>+'A) Base RI'!U254</f>
        <v>540</v>
      </c>
      <c r="AC254" s="10">
        <f>+'A) Base RI'!V254</f>
        <v>0</v>
      </c>
      <c r="AD254" s="10">
        <f>+'A) Base RI'!W254</f>
        <v>0</v>
      </c>
      <c r="AE254" s="10">
        <f>+'A) Base RI'!Y254</f>
        <v>4000</v>
      </c>
      <c r="AF254" s="10">
        <f>+'A) Base RI'!Z254</f>
        <v>0</v>
      </c>
      <c r="AG254" s="10">
        <f>+'A) Base RI'!AA254</f>
        <v>19960.75</v>
      </c>
      <c r="AH254" s="10">
        <f>+'A) Base RI'!AB254</f>
        <v>0</v>
      </c>
      <c r="AI254" s="10">
        <f>+'A) Base RI'!AC254</f>
        <v>9881.9500000000007</v>
      </c>
      <c r="AJ254" s="10">
        <f>+'A) Base RI'!AD254</f>
        <v>6930</v>
      </c>
      <c r="AK254" s="10">
        <f>+'A) Base RI'!AE254</f>
        <v>0</v>
      </c>
      <c r="AL254" s="10">
        <f>+'A) Base RI'!AF254</f>
        <v>0</v>
      </c>
      <c r="AM254" s="10">
        <f>+'A) Base RI'!AG254</f>
        <v>0</v>
      </c>
      <c r="AN254" s="10">
        <f>+'A) Base RI'!AH254</f>
        <v>2834.6</v>
      </c>
      <c r="AO254" s="10">
        <f>+'A) Base RI'!AI254</f>
        <v>0</v>
      </c>
      <c r="AP254" s="10">
        <f>+'A) Base RI'!AJ254</f>
        <v>0</v>
      </c>
      <c r="AQ254" s="10">
        <f>+'A) Base RI'!AK254</f>
        <v>0</v>
      </c>
      <c r="AR254" s="10">
        <f>'A) Base RI'!AN254</f>
        <v>122</v>
      </c>
    </row>
    <row r="255" spans="1:44" x14ac:dyDescent="0.25">
      <c r="A255" s="8">
        <f>'A) Base RI'!A255</f>
        <v>5830</v>
      </c>
      <c r="B255" s="34" t="str">
        <f>'A) Base RI'!B255</f>
        <v>Villarzel</v>
      </c>
      <c r="C255" s="10">
        <f>'A) Base RI'!C255+'A) Base RI'!D255</f>
        <v>746748.88</v>
      </c>
      <c r="D255" s="10">
        <f>'A) Base RI'!AO255</f>
        <v>-3301.08</v>
      </c>
      <c r="E255" s="33">
        <f>'A) Base RI'!AP255</f>
        <v>0</v>
      </c>
      <c r="F255" s="33">
        <f>'A) Base RI'!AQ255</f>
        <v>-0.89</v>
      </c>
      <c r="G255" s="2">
        <f t="shared" si="18"/>
        <v>743446.91</v>
      </c>
      <c r="H255" s="10">
        <f>+'A) Base RI'!E255</f>
        <v>0</v>
      </c>
      <c r="I255" s="10">
        <f>+'A) Base RI'!F255</f>
        <v>0</v>
      </c>
      <c r="J255" s="10">
        <f>+'A) Base RI'!G255+'A) Base RI'!H255</f>
        <v>14262.150000000001</v>
      </c>
      <c r="K255" s="10">
        <f>+'A) Base RI'!I255</f>
        <v>0</v>
      </c>
      <c r="L255" s="10">
        <f>+'A) Base RI'!J255</f>
        <v>18139.03</v>
      </c>
      <c r="M255" s="10">
        <f>+'A) Base RI'!K255</f>
        <v>1384.7</v>
      </c>
      <c r="N255" s="10">
        <f>+'A) Base RI'!Q255</f>
        <v>50.17</v>
      </c>
      <c r="O255" s="10">
        <f t="shared" si="19"/>
        <v>54020.85</v>
      </c>
      <c r="P255" s="10">
        <f>+'A) Base RI'!L255</f>
        <v>54020.85</v>
      </c>
      <c r="Q255" s="36">
        <f>'A) Base RI'!AR255</f>
        <v>1</v>
      </c>
      <c r="R255" s="2">
        <f t="shared" si="20"/>
        <v>831303.81</v>
      </c>
      <c r="S255" s="35">
        <f>+'A) Base RI'!AM255</f>
        <v>79</v>
      </c>
      <c r="T255" s="2">
        <f t="shared" si="21"/>
        <v>775898.26000000013</v>
      </c>
      <c r="U255" s="2">
        <f t="shared" si="22"/>
        <v>10522.833037974684</v>
      </c>
      <c r="V255" s="10">
        <f>+'A) Base RI'!O255</f>
        <v>0</v>
      </c>
      <c r="W255" s="10">
        <f>+'A) Base RI'!P255</f>
        <v>44385</v>
      </c>
      <c r="X255" s="10">
        <f>+'A) Base RI'!R255</f>
        <v>18401</v>
      </c>
      <c r="Y255" s="2">
        <f t="shared" si="23"/>
        <v>62786</v>
      </c>
      <c r="Z255" s="10">
        <f>+'A) Base RI'!N255</f>
        <v>0</v>
      </c>
      <c r="AA255" s="10">
        <f>+'A) Base RI'!S255+'A) Base RI'!T255</f>
        <v>0</v>
      </c>
      <c r="AB255" s="10">
        <f>+'A) Base RI'!U255</f>
        <v>2940</v>
      </c>
      <c r="AC255" s="10">
        <f>+'A) Base RI'!V255</f>
        <v>0</v>
      </c>
      <c r="AD255" s="10">
        <f>+'A) Base RI'!W255</f>
        <v>0</v>
      </c>
      <c r="AE255" s="10">
        <f>+'A) Base RI'!Y255</f>
        <v>14000</v>
      </c>
      <c r="AF255" s="10">
        <f>+'A) Base RI'!Z255</f>
        <v>0</v>
      </c>
      <c r="AG255" s="10">
        <f>+'A) Base RI'!AA255</f>
        <v>59381.4</v>
      </c>
      <c r="AH255" s="10">
        <f>+'A) Base RI'!AB255</f>
        <v>0</v>
      </c>
      <c r="AI255" s="10">
        <f>+'A) Base RI'!AC255</f>
        <v>33368.15</v>
      </c>
      <c r="AJ255" s="10">
        <f>+'A) Base RI'!AD255</f>
        <v>4000</v>
      </c>
      <c r="AK255" s="10">
        <f>+'A) Base RI'!AE255</f>
        <v>0</v>
      </c>
      <c r="AL255" s="10">
        <f>+'A) Base RI'!AF255</f>
        <v>0</v>
      </c>
      <c r="AM255" s="10">
        <f>+'A) Base RI'!AG255</f>
        <v>0</v>
      </c>
      <c r="AN255" s="10">
        <f>+'A) Base RI'!AH255</f>
        <v>0</v>
      </c>
      <c r="AO255" s="10">
        <f>+'A) Base RI'!AI255</f>
        <v>0</v>
      </c>
      <c r="AP255" s="10">
        <f>+'A) Base RI'!AJ255</f>
        <v>0</v>
      </c>
      <c r="AQ255" s="10">
        <f>+'A) Base RI'!AK255</f>
        <v>0</v>
      </c>
      <c r="AR255" s="10">
        <f>'A) Base RI'!AN255</f>
        <v>417</v>
      </c>
    </row>
    <row r="256" spans="1:44" x14ac:dyDescent="0.25">
      <c r="A256" s="8">
        <f>'A) Base RI'!A256</f>
        <v>5831</v>
      </c>
      <c r="B256" s="34" t="str">
        <f>'A) Base RI'!B256</f>
        <v>Valbroye</v>
      </c>
      <c r="C256" s="10">
        <f>'A) Base RI'!C256+'A) Base RI'!D256</f>
        <v>5102976.46</v>
      </c>
      <c r="D256" s="10">
        <f>'A) Base RI'!AO256</f>
        <v>-78152.509999999995</v>
      </c>
      <c r="E256" s="33">
        <f>'A) Base RI'!AP256</f>
        <v>0</v>
      </c>
      <c r="F256" s="33">
        <f>'A) Base RI'!AQ256</f>
        <v>-129.99</v>
      </c>
      <c r="G256" s="2">
        <f t="shared" si="18"/>
        <v>5024693.96</v>
      </c>
      <c r="H256" s="10">
        <f>+'A) Base RI'!E256</f>
        <v>0</v>
      </c>
      <c r="I256" s="10">
        <f>+'A) Base RI'!F256</f>
        <v>0</v>
      </c>
      <c r="J256" s="10">
        <f>+'A) Base RI'!G256+'A) Base RI'!H256</f>
        <v>466963.15</v>
      </c>
      <c r="K256" s="10">
        <f>+'A) Base RI'!I256</f>
        <v>0</v>
      </c>
      <c r="L256" s="10">
        <f>+'A) Base RI'!J256</f>
        <v>133776.45000000001</v>
      </c>
      <c r="M256" s="10">
        <f>+'A) Base RI'!K256</f>
        <v>3274.7</v>
      </c>
      <c r="N256" s="10">
        <f>+'A) Base RI'!Q256</f>
        <v>21451.98</v>
      </c>
      <c r="O256" s="10">
        <f t="shared" si="19"/>
        <v>395815.75000000006</v>
      </c>
      <c r="P256" s="10">
        <f>+'A) Base RI'!L256</f>
        <v>237489.45</v>
      </c>
      <c r="Q256" s="36">
        <f>'A) Base RI'!AR256</f>
        <v>0.6</v>
      </c>
      <c r="R256" s="2">
        <f t="shared" si="20"/>
        <v>6045975.9900000012</v>
      </c>
      <c r="S256" s="35">
        <f>+'A) Base RI'!AM256</f>
        <v>73</v>
      </c>
      <c r="T256" s="2">
        <f t="shared" si="21"/>
        <v>5646885.540000001</v>
      </c>
      <c r="U256" s="2">
        <f t="shared" si="22"/>
        <v>82821.588904109609</v>
      </c>
      <c r="V256" s="10">
        <f>+'A) Base RI'!O256</f>
        <v>239598.05</v>
      </c>
      <c r="W256" s="10">
        <f>+'A) Base RI'!P256</f>
        <v>269533.90000000002</v>
      </c>
      <c r="X256" s="10">
        <f>+'A) Base RI'!R256</f>
        <v>140805.75</v>
      </c>
      <c r="Y256" s="2">
        <f t="shared" si="23"/>
        <v>649937.69999999995</v>
      </c>
      <c r="Z256" s="10">
        <f>+'A) Base RI'!N256</f>
        <v>28878.2</v>
      </c>
      <c r="AA256" s="10">
        <f>+'A) Base RI'!S256+'A) Base RI'!T256</f>
        <v>0</v>
      </c>
      <c r="AB256" s="10">
        <f>+'A) Base RI'!U256</f>
        <v>15550</v>
      </c>
      <c r="AC256" s="10">
        <f>+'A) Base RI'!V256</f>
        <v>0</v>
      </c>
      <c r="AD256" s="10">
        <f>+'A) Base RI'!W256</f>
        <v>0</v>
      </c>
      <c r="AE256" s="10">
        <f>+'A) Base RI'!Y256</f>
        <v>687870</v>
      </c>
      <c r="AF256" s="10">
        <f>+'A) Base RI'!Z256</f>
        <v>0</v>
      </c>
      <c r="AG256" s="10">
        <f>+'A) Base RI'!AA256</f>
        <v>317838.09999999998</v>
      </c>
      <c r="AH256" s="10">
        <f>+'A) Base RI'!AB256</f>
        <v>0</v>
      </c>
      <c r="AI256" s="10">
        <f>+'A) Base RI'!AC256</f>
        <v>264377.62</v>
      </c>
      <c r="AJ256" s="10">
        <f>+'A) Base RI'!AD256</f>
        <v>191710.05</v>
      </c>
      <c r="AK256" s="10">
        <f>+'A) Base RI'!AE256</f>
        <v>0</v>
      </c>
      <c r="AL256" s="10">
        <f>+'A) Base RI'!AF256</f>
        <v>0</v>
      </c>
      <c r="AM256" s="10">
        <f>+'A) Base RI'!AG256</f>
        <v>0</v>
      </c>
      <c r="AN256" s="10">
        <f>+'A) Base RI'!AH256</f>
        <v>153421.20000000001</v>
      </c>
      <c r="AO256" s="10">
        <f>+'A) Base RI'!AI256</f>
        <v>0</v>
      </c>
      <c r="AP256" s="10">
        <f>+'A) Base RI'!AJ256</f>
        <v>0</v>
      </c>
      <c r="AQ256" s="10">
        <f>+'A) Base RI'!AK256</f>
        <v>0</v>
      </c>
      <c r="AR256" s="10">
        <f>'A) Base RI'!AN256</f>
        <v>3035</v>
      </c>
    </row>
    <row r="257" spans="1:44" x14ac:dyDescent="0.25">
      <c r="A257" s="8">
        <f>'A) Base RI'!A257</f>
        <v>5841</v>
      </c>
      <c r="B257" s="34" t="str">
        <f>'A) Base RI'!B257</f>
        <v>Château-d'Oex</v>
      </c>
      <c r="C257" s="10">
        <f>'A) Base RI'!C257+'A) Base RI'!D257</f>
        <v>7289041.8899999997</v>
      </c>
      <c r="D257" s="10">
        <f>'A) Base RI'!AO257</f>
        <v>-121594.72</v>
      </c>
      <c r="E257" s="33">
        <f>'A) Base RI'!AP257</f>
        <v>0</v>
      </c>
      <c r="F257" s="33">
        <f>'A) Base RI'!AQ257</f>
        <v>-2399.7600000000002</v>
      </c>
      <c r="G257" s="2">
        <f t="shared" si="18"/>
        <v>7165047.4100000001</v>
      </c>
      <c r="H257" s="10">
        <f>+'A) Base RI'!E257</f>
        <v>0</v>
      </c>
      <c r="I257" s="10">
        <f>+'A) Base RI'!F257</f>
        <v>0</v>
      </c>
      <c r="J257" s="10">
        <f>+'A) Base RI'!G257+'A) Base RI'!H257</f>
        <v>335797.6</v>
      </c>
      <c r="K257" s="10">
        <f>+'A) Base RI'!I257</f>
        <v>527038.55000000005</v>
      </c>
      <c r="L257" s="10">
        <f>+'A) Base RI'!J257</f>
        <v>341795.83</v>
      </c>
      <c r="M257" s="10">
        <f>+'A) Base RI'!K257</f>
        <v>29642.55</v>
      </c>
      <c r="N257" s="10">
        <f>+'A) Base RI'!Q257</f>
        <v>13534.32</v>
      </c>
      <c r="O257" s="10">
        <f t="shared" si="19"/>
        <v>934580.5</v>
      </c>
      <c r="P257" s="10">
        <f>+'A) Base RI'!L257</f>
        <v>1401870.75</v>
      </c>
      <c r="Q257" s="36">
        <f>'A) Base RI'!AR257</f>
        <v>1.5</v>
      </c>
      <c r="R257" s="2">
        <f t="shared" si="20"/>
        <v>9347436.7599999998</v>
      </c>
      <c r="S257" s="35">
        <f>+'A) Base RI'!AM257</f>
        <v>83</v>
      </c>
      <c r="T257" s="2">
        <f t="shared" si="21"/>
        <v>8383213.71</v>
      </c>
      <c r="U257" s="2">
        <f t="shared" si="22"/>
        <v>112619.72</v>
      </c>
      <c r="V257" s="10">
        <f>+'A) Base RI'!O257</f>
        <v>389778.3</v>
      </c>
      <c r="W257" s="10">
        <f>+'A) Base RI'!P257</f>
        <v>529843.15</v>
      </c>
      <c r="X257" s="10">
        <f>+'A) Base RI'!R257</f>
        <v>212308.15</v>
      </c>
      <c r="Y257" s="2">
        <f t="shared" si="23"/>
        <v>1131929.5999999999</v>
      </c>
      <c r="Z257" s="10">
        <f>+'A) Base RI'!N257</f>
        <v>6087.3</v>
      </c>
      <c r="AA257" s="10">
        <f>+'A) Base RI'!S257+'A) Base RI'!T257</f>
        <v>31803.45</v>
      </c>
      <c r="AB257" s="10">
        <f>+'A) Base RI'!U257</f>
        <v>24870</v>
      </c>
      <c r="AC257" s="10">
        <f>+'A) Base RI'!V257</f>
        <v>570</v>
      </c>
      <c r="AD257" s="10">
        <f>+'A) Base RI'!W257</f>
        <v>0</v>
      </c>
      <c r="AE257" s="10">
        <f>+'A) Base RI'!Y257</f>
        <v>116018.52</v>
      </c>
      <c r="AF257" s="10">
        <f>+'A) Base RI'!Z257</f>
        <v>0</v>
      </c>
      <c r="AG257" s="10">
        <f>+'A) Base RI'!AA257</f>
        <v>1083872.42</v>
      </c>
      <c r="AH257" s="10">
        <f>+'A) Base RI'!AB257</f>
        <v>0</v>
      </c>
      <c r="AI257" s="10">
        <f>+'A) Base RI'!AC257</f>
        <v>593232.79</v>
      </c>
      <c r="AJ257" s="10">
        <f>+'A) Base RI'!AD257</f>
        <v>0</v>
      </c>
      <c r="AK257" s="10">
        <f>+'A) Base RI'!AE257</f>
        <v>0</v>
      </c>
      <c r="AL257" s="10">
        <f>+'A) Base RI'!AF257</f>
        <v>0</v>
      </c>
      <c r="AM257" s="10">
        <f>+'A) Base RI'!AG257</f>
        <v>590576.29</v>
      </c>
      <c r="AN257" s="10">
        <f>+'A) Base RI'!AH257</f>
        <v>155661.9</v>
      </c>
      <c r="AO257" s="10">
        <f>+'A) Base RI'!AI257</f>
        <v>0</v>
      </c>
      <c r="AP257" s="10">
        <f>+'A) Base RI'!AJ257</f>
        <v>0</v>
      </c>
      <c r="AQ257" s="10">
        <f>+'A) Base RI'!AK257</f>
        <v>0</v>
      </c>
      <c r="AR257" s="10">
        <f>'A) Base RI'!AN257</f>
        <v>3433</v>
      </c>
    </row>
    <row r="258" spans="1:44" x14ac:dyDescent="0.25">
      <c r="A258" s="8">
        <f>'A) Base RI'!A258</f>
        <v>5842</v>
      </c>
      <c r="B258" s="34" t="str">
        <f>'A) Base RI'!B258</f>
        <v>Rossinière</v>
      </c>
      <c r="C258" s="10">
        <f>'A) Base RI'!C258+'A) Base RI'!D258</f>
        <v>873789.67</v>
      </c>
      <c r="D258" s="10">
        <f>'A) Base RI'!AO258</f>
        <v>-5268.32</v>
      </c>
      <c r="E258" s="33">
        <f>'A) Base RI'!AP258</f>
        <v>0</v>
      </c>
      <c r="F258" s="33">
        <f>'A) Base RI'!AQ258</f>
        <v>-97.71</v>
      </c>
      <c r="G258" s="2">
        <f t="shared" si="18"/>
        <v>868423.64000000013</v>
      </c>
      <c r="H258" s="10">
        <f>+'A) Base RI'!E258</f>
        <v>0</v>
      </c>
      <c r="I258" s="10">
        <f>+'A) Base RI'!F258</f>
        <v>0</v>
      </c>
      <c r="J258" s="10">
        <f>+'A) Base RI'!G258+'A) Base RI'!H258</f>
        <v>15367.8</v>
      </c>
      <c r="K258" s="10">
        <f>+'A) Base RI'!I258</f>
        <v>24596.85</v>
      </c>
      <c r="L258" s="10">
        <f>+'A) Base RI'!J258</f>
        <v>17398.23</v>
      </c>
      <c r="M258" s="10">
        <f>+'A) Base RI'!K258</f>
        <v>369.65</v>
      </c>
      <c r="N258" s="10">
        <f>+'A) Base RI'!Q258</f>
        <v>3076.88</v>
      </c>
      <c r="O258" s="10">
        <f t="shared" si="19"/>
        <v>85872.433333333334</v>
      </c>
      <c r="P258" s="10">
        <f>+'A) Base RI'!L258</f>
        <v>128808.65</v>
      </c>
      <c r="Q258" s="36">
        <f>'A) Base RI'!AR258</f>
        <v>1.5</v>
      </c>
      <c r="R258" s="2">
        <f t="shared" si="20"/>
        <v>1015105.4833333335</v>
      </c>
      <c r="S258" s="35">
        <f>+'A) Base RI'!AM258</f>
        <v>81</v>
      </c>
      <c r="T258" s="2">
        <f t="shared" si="21"/>
        <v>928863.40000000014</v>
      </c>
      <c r="U258" s="2">
        <f t="shared" si="22"/>
        <v>12532.166460905351</v>
      </c>
      <c r="V258" s="10">
        <f>+'A) Base RI'!O258</f>
        <v>51868.5</v>
      </c>
      <c r="W258" s="10">
        <f>+'A) Base RI'!P258</f>
        <v>21807.5</v>
      </c>
      <c r="X258" s="10">
        <f>+'A) Base RI'!R258</f>
        <v>12361.7</v>
      </c>
      <c r="Y258" s="2">
        <f t="shared" si="23"/>
        <v>86037.7</v>
      </c>
      <c r="Z258" s="10">
        <f>+'A) Base RI'!N258</f>
        <v>0</v>
      </c>
      <c r="AA258" s="10">
        <f>+'A) Base RI'!S258+'A) Base RI'!T258</f>
        <v>0</v>
      </c>
      <c r="AB258" s="10">
        <f>+'A) Base RI'!U258</f>
        <v>4000</v>
      </c>
      <c r="AC258" s="10">
        <f>+'A) Base RI'!V258</f>
        <v>0</v>
      </c>
      <c r="AD258" s="10">
        <f>+'A) Base RI'!W258</f>
        <v>0</v>
      </c>
      <c r="AE258" s="10">
        <f>+'A) Base RI'!Y258</f>
        <v>4762.3500000000004</v>
      </c>
      <c r="AF258" s="10">
        <f>+'A) Base RI'!Z258</f>
        <v>0</v>
      </c>
      <c r="AG258" s="10">
        <f>+'A) Base RI'!AA258</f>
        <v>78300</v>
      </c>
      <c r="AH258" s="10">
        <f>+'A) Base RI'!AB258</f>
        <v>0</v>
      </c>
      <c r="AI258" s="10">
        <f>+'A) Base RI'!AC258</f>
        <v>39234.35</v>
      </c>
      <c r="AJ258" s="10">
        <f>+'A) Base RI'!AD258</f>
        <v>4762.3500000000004</v>
      </c>
      <c r="AK258" s="10">
        <f>+'A) Base RI'!AE258</f>
        <v>0</v>
      </c>
      <c r="AL258" s="10">
        <f>+'A) Base RI'!AF258</f>
        <v>0</v>
      </c>
      <c r="AM258" s="10">
        <f>+'A) Base RI'!AG258</f>
        <v>0</v>
      </c>
      <c r="AN258" s="10">
        <f>+'A) Base RI'!AH258</f>
        <v>0</v>
      </c>
      <c r="AO258" s="10">
        <f>+'A) Base RI'!AI258</f>
        <v>0</v>
      </c>
      <c r="AP258" s="10">
        <f>+'A) Base RI'!AJ258</f>
        <v>0</v>
      </c>
      <c r="AQ258" s="10">
        <f>+'A) Base RI'!AK258</f>
        <v>0</v>
      </c>
      <c r="AR258" s="10">
        <f>'A) Base RI'!AN258</f>
        <v>545</v>
      </c>
    </row>
    <row r="259" spans="1:44" x14ac:dyDescent="0.25">
      <c r="A259" s="8">
        <f>'A) Base RI'!A259</f>
        <v>5843</v>
      </c>
      <c r="B259" s="34" t="str">
        <f>'A) Base RI'!B259</f>
        <v>Rougemont</v>
      </c>
      <c r="C259" s="10">
        <f>'A) Base RI'!C259+'A) Base RI'!D259</f>
        <v>4191269.5700000003</v>
      </c>
      <c r="D259" s="10">
        <f>'A) Base RI'!AO259</f>
        <v>-53275.41</v>
      </c>
      <c r="E259" s="33">
        <f>'A) Base RI'!AP259</f>
        <v>0</v>
      </c>
      <c r="F259" s="33">
        <f>'A) Base RI'!AQ259</f>
        <v>-5363.1</v>
      </c>
      <c r="G259" s="2">
        <f t="shared" si="18"/>
        <v>4132631.06</v>
      </c>
      <c r="H259" s="10">
        <f>+'A) Base RI'!E259</f>
        <v>0</v>
      </c>
      <c r="I259" s="10">
        <f>+'A) Base RI'!F259</f>
        <v>0</v>
      </c>
      <c r="J259" s="10">
        <f>+'A) Base RI'!G259+'A) Base RI'!H259</f>
        <v>192339.1</v>
      </c>
      <c r="K259" s="10">
        <f>+'A) Base RI'!I259</f>
        <v>1313074.51</v>
      </c>
      <c r="L259" s="10">
        <f>+'A) Base RI'!J259</f>
        <v>83618.48</v>
      </c>
      <c r="M259" s="10">
        <f>+'A) Base RI'!K259</f>
        <v>39669</v>
      </c>
      <c r="N259" s="10">
        <f>+'A) Base RI'!Q259</f>
        <v>1.23</v>
      </c>
      <c r="O259" s="10">
        <f t="shared" si="19"/>
        <v>743167.70000000007</v>
      </c>
      <c r="P259" s="10">
        <f>+'A) Base RI'!L259</f>
        <v>1114751.55</v>
      </c>
      <c r="Q259" s="36">
        <f>'A) Base RI'!AR259</f>
        <v>1.5</v>
      </c>
      <c r="R259" s="2">
        <f t="shared" si="20"/>
        <v>6504501.080000001</v>
      </c>
      <c r="S259" s="35">
        <f>+'A) Base RI'!AM259</f>
        <v>74</v>
      </c>
      <c r="T259" s="2">
        <f t="shared" si="21"/>
        <v>5721664.3800000008</v>
      </c>
      <c r="U259" s="2">
        <f t="shared" si="22"/>
        <v>87898.663243243253</v>
      </c>
      <c r="V259" s="10">
        <f>+'A) Base RI'!O259</f>
        <v>271009.8</v>
      </c>
      <c r="W259" s="10">
        <f>+'A) Base RI'!P259</f>
        <v>285187.20000000001</v>
      </c>
      <c r="X259" s="10">
        <f>+'A) Base RI'!R259</f>
        <v>400319.65</v>
      </c>
      <c r="Y259" s="2">
        <f t="shared" si="23"/>
        <v>956516.65</v>
      </c>
      <c r="Z259" s="10">
        <f>+'A) Base RI'!N259</f>
        <v>0</v>
      </c>
      <c r="AA259" s="10">
        <f>+'A) Base RI'!S259+'A) Base RI'!T259</f>
        <v>2108.75</v>
      </c>
      <c r="AB259" s="10">
        <f>+'A) Base RI'!U259</f>
        <v>5430</v>
      </c>
      <c r="AC259" s="10">
        <f>+'A) Base RI'!V259</f>
        <v>0</v>
      </c>
      <c r="AD259" s="10">
        <f>+'A) Base RI'!W259</f>
        <v>0</v>
      </c>
      <c r="AE259" s="10">
        <f>+'A) Base RI'!Y259</f>
        <v>21600</v>
      </c>
      <c r="AF259" s="10">
        <f>+'A) Base RI'!Z259</f>
        <v>0</v>
      </c>
      <c r="AG259" s="10">
        <f>+'A) Base RI'!AA259</f>
        <v>223978.18</v>
      </c>
      <c r="AH259" s="10">
        <f>+'A) Base RI'!AB259</f>
        <v>0</v>
      </c>
      <c r="AI259" s="10">
        <f>+'A) Base RI'!AC259</f>
        <v>238317.54</v>
      </c>
      <c r="AJ259" s="10">
        <f>+'A) Base RI'!AD259</f>
        <v>48600</v>
      </c>
      <c r="AK259" s="10">
        <f>+'A) Base RI'!AE259</f>
        <v>0</v>
      </c>
      <c r="AL259" s="10">
        <f>+'A) Base RI'!AF259</f>
        <v>0</v>
      </c>
      <c r="AM259" s="10">
        <f>+'A) Base RI'!AG259</f>
        <v>780866.31</v>
      </c>
      <c r="AN259" s="10">
        <f>+'A) Base RI'!AH259</f>
        <v>79240.899999999994</v>
      </c>
      <c r="AO259" s="10">
        <f>+'A) Base RI'!AI259</f>
        <v>0</v>
      </c>
      <c r="AP259" s="10">
        <f>+'A) Base RI'!AJ259</f>
        <v>0</v>
      </c>
      <c r="AQ259" s="10">
        <f>+'A) Base RI'!AK259</f>
        <v>0</v>
      </c>
      <c r="AR259" s="10">
        <f>'A) Base RI'!AN259</f>
        <v>882</v>
      </c>
    </row>
    <row r="260" spans="1:44" x14ac:dyDescent="0.25">
      <c r="A260" s="8">
        <f>'A) Base RI'!A260</f>
        <v>5851</v>
      </c>
      <c r="B260" s="34" t="str">
        <f>'A) Base RI'!B260</f>
        <v>Allaman</v>
      </c>
      <c r="C260" s="10">
        <f>'A) Base RI'!C260+'A) Base RI'!D260</f>
        <v>1154464.04</v>
      </c>
      <c r="D260" s="10">
        <f>'A) Base RI'!AO260</f>
        <v>-20033.97</v>
      </c>
      <c r="E260" s="33">
        <f>'A) Base RI'!AP260</f>
        <v>0</v>
      </c>
      <c r="F260" s="33">
        <f>'A) Base RI'!AQ260</f>
        <v>-192.23</v>
      </c>
      <c r="G260" s="2">
        <f t="shared" si="18"/>
        <v>1134237.8400000001</v>
      </c>
      <c r="H260" s="10">
        <f>+'A) Base RI'!E260</f>
        <v>0</v>
      </c>
      <c r="I260" s="10">
        <f>+'A) Base RI'!F260</f>
        <v>0</v>
      </c>
      <c r="J260" s="10">
        <f>+'A) Base RI'!G260+'A) Base RI'!H260</f>
        <v>191069.09999999998</v>
      </c>
      <c r="K260" s="10">
        <f>+'A) Base RI'!I260</f>
        <v>146101.65</v>
      </c>
      <c r="L260" s="10">
        <f>+'A) Base RI'!J260</f>
        <v>60745.440000000002</v>
      </c>
      <c r="M260" s="10">
        <f>+'A) Base RI'!K260</f>
        <v>28577.3</v>
      </c>
      <c r="N260" s="10">
        <f>+'A) Base RI'!Q260</f>
        <v>0</v>
      </c>
      <c r="O260" s="10">
        <f t="shared" si="19"/>
        <v>214262.49999999997</v>
      </c>
      <c r="P260" s="10">
        <f>+'A) Base RI'!L260</f>
        <v>235688.75</v>
      </c>
      <c r="Q260" s="36">
        <f>'A) Base RI'!AR260</f>
        <v>1.1000000000000001</v>
      </c>
      <c r="R260" s="2">
        <f t="shared" si="20"/>
        <v>1774993.8299999998</v>
      </c>
      <c r="S260" s="35">
        <f>+'A) Base RI'!AM260</f>
        <v>62</v>
      </c>
      <c r="T260" s="2">
        <f t="shared" si="21"/>
        <v>1532154.0299999998</v>
      </c>
      <c r="U260" s="2">
        <f t="shared" si="22"/>
        <v>28628.932741935481</v>
      </c>
      <c r="V260" s="10">
        <f>+'A) Base RI'!O260</f>
        <v>21620.1</v>
      </c>
      <c r="W260" s="10">
        <f>+'A) Base RI'!P260</f>
        <v>22440</v>
      </c>
      <c r="X260" s="10">
        <f>+'A) Base RI'!R260</f>
        <v>24488.799999999999</v>
      </c>
      <c r="Y260" s="2">
        <f t="shared" si="23"/>
        <v>68548.899999999994</v>
      </c>
      <c r="Z260" s="10">
        <f>+'A) Base RI'!N260</f>
        <v>27948.65</v>
      </c>
      <c r="AA260" s="10">
        <f>+'A) Base RI'!S260+'A) Base RI'!T260</f>
        <v>44535.6</v>
      </c>
      <c r="AB260" s="10">
        <f>+'A) Base RI'!U260</f>
        <v>1925</v>
      </c>
      <c r="AC260" s="10">
        <f>+'A) Base RI'!V260</f>
        <v>0</v>
      </c>
      <c r="AD260" s="10">
        <f>+'A) Base RI'!W260</f>
        <v>0</v>
      </c>
      <c r="AE260" s="10">
        <f>+'A) Base RI'!Y260</f>
        <v>0</v>
      </c>
      <c r="AF260" s="10">
        <f>+'A) Base RI'!Z260</f>
        <v>0</v>
      </c>
      <c r="AG260" s="10">
        <f>+'A) Base RI'!AA260</f>
        <v>197358.15</v>
      </c>
      <c r="AH260" s="10">
        <f>+'A) Base RI'!AB260</f>
        <v>0</v>
      </c>
      <c r="AI260" s="10">
        <f>+'A) Base RI'!AC260</f>
        <v>29591.75</v>
      </c>
      <c r="AJ260" s="10">
        <f>+'A) Base RI'!AD260</f>
        <v>0</v>
      </c>
      <c r="AK260" s="10">
        <f>+'A) Base RI'!AE260</f>
        <v>0</v>
      </c>
      <c r="AL260" s="10">
        <f>+'A) Base RI'!AF260</f>
        <v>0</v>
      </c>
      <c r="AM260" s="10">
        <f>+'A) Base RI'!AG260</f>
        <v>0</v>
      </c>
      <c r="AN260" s="10">
        <f>+'A) Base RI'!AH260</f>
        <v>57939.3</v>
      </c>
      <c r="AO260" s="10">
        <f>+'A) Base RI'!AI260</f>
        <v>0</v>
      </c>
      <c r="AP260" s="10">
        <f>+'A) Base RI'!AJ260</f>
        <v>0</v>
      </c>
      <c r="AQ260" s="10">
        <f>+'A) Base RI'!AK260</f>
        <v>0</v>
      </c>
      <c r="AR260" s="10">
        <f>'A) Base RI'!AN260</f>
        <v>442</v>
      </c>
    </row>
    <row r="261" spans="1:44" x14ac:dyDescent="0.25">
      <c r="A261" s="8">
        <f>'A) Base RI'!A261</f>
        <v>5852</v>
      </c>
      <c r="B261" s="34" t="str">
        <f>'A) Base RI'!B261</f>
        <v>Bursinel</v>
      </c>
      <c r="C261" s="10">
        <f>'A) Base RI'!C261+'A) Base RI'!D261</f>
        <v>1888757.1</v>
      </c>
      <c r="D261" s="10">
        <f>'A) Base RI'!AO261</f>
        <v>-6310.4</v>
      </c>
      <c r="E261" s="33">
        <f>'A) Base RI'!AP261</f>
        <v>0</v>
      </c>
      <c r="F261" s="33">
        <f>'A) Base RI'!AQ261</f>
        <v>-1971.28</v>
      </c>
      <c r="G261" s="2">
        <f t="shared" si="18"/>
        <v>1880475.4200000002</v>
      </c>
      <c r="H261" s="10">
        <f>+'A) Base RI'!E261</f>
        <v>0</v>
      </c>
      <c r="I261" s="10">
        <f>+'A) Base RI'!F261</f>
        <v>0</v>
      </c>
      <c r="J261" s="10">
        <f>+'A) Base RI'!G261+'A) Base RI'!H261</f>
        <v>13509.75</v>
      </c>
      <c r="K261" s="10">
        <f>+'A) Base RI'!I261</f>
        <v>337827.75</v>
      </c>
      <c r="L261" s="10">
        <f>+'A) Base RI'!J261</f>
        <v>130024.34</v>
      </c>
      <c r="M261" s="10">
        <f>+'A) Base RI'!K261</f>
        <v>6707.65</v>
      </c>
      <c r="N261" s="10">
        <f>+'A) Base RI'!Q261</f>
        <v>1073.69</v>
      </c>
      <c r="O261" s="10">
        <f t="shared" si="19"/>
        <v>170328.9</v>
      </c>
      <c r="P261" s="10">
        <f>+'A) Base RI'!L261</f>
        <v>170328.9</v>
      </c>
      <c r="Q261" s="36">
        <f>'A) Base RI'!AR261</f>
        <v>1</v>
      </c>
      <c r="R261" s="2">
        <f t="shared" si="20"/>
        <v>2539947.4999999995</v>
      </c>
      <c r="S261" s="35">
        <f>+'A) Base RI'!AM261</f>
        <v>65.5</v>
      </c>
      <c r="T261" s="2">
        <f t="shared" si="21"/>
        <v>2362910.9499999997</v>
      </c>
      <c r="U261" s="2">
        <f t="shared" si="22"/>
        <v>38777.824427480911</v>
      </c>
      <c r="V261" s="10">
        <f>+'A) Base RI'!O261</f>
        <v>2681875</v>
      </c>
      <c r="W261" s="10">
        <f>+'A) Base RI'!P261</f>
        <v>207295.25</v>
      </c>
      <c r="X261" s="10">
        <f>+'A) Base RI'!R261</f>
        <v>107361.75</v>
      </c>
      <c r="Y261" s="2">
        <f t="shared" si="23"/>
        <v>2996532</v>
      </c>
      <c r="Z261" s="10">
        <f>+'A) Base RI'!N261</f>
        <v>8338.25</v>
      </c>
      <c r="AA261" s="10">
        <f>+'A) Base RI'!S261+'A) Base RI'!T261</f>
        <v>0</v>
      </c>
      <c r="AB261" s="10">
        <f>+'A) Base RI'!U261</f>
        <v>3655</v>
      </c>
      <c r="AC261" s="10">
        <f>+'A) Base RI'!V261</f>
        <v>0</v>
      </c>
      <c r="AD261" s="10">
        <f>+'A) Base RI'!W261</f>
        <v>0</v>
      </c>
      <c r="AE261" s="10">
        <f>+'A) Base RI'!Y261</f>
        <v>15312.6</v>
      </c>
      <c r="AF261" s="10">
        <f>+'A) Base RI'!Z261</f>
        <v>0</v>
      </c>
      <c r="AG261" s="10">
        <f>+'A) Base RI'!AA261</f>
        <v>41505</v>
      </c>
      <c r="AH261" s="10">
        <f>+'A) Base RI'!AB261</f>
        <v>0</v>
      </c>
      <c r="AI261" s="10">
        <f>+'A) Base RI'!AC261</f>
        <v>22532.5</v>
      </c>
      <c r="AJ261" s="10">
        <f>+'A) Base RI'!AD261</f>
        <v>0</v>
      </c>
      <c r="AK261" s="10">
        <f>+'A) Base RI'!AE261</f>
        <v>0</v>
      </c>
      <c r="AL261" s="10">
        <f>+'A) Base RI'!AF261</f>
        <v>0</v>
      </c>
      <c r="AM261" s="10">
        <f>+'A) Base RI'!AG261</f>
        <v>1285.9000000000001</v>
      </c>
      <c r="AN261" s="10">
        <f>+'A) Base RI'!AH261</f>
        <v>0</v>
      </c>
      <c r="AO261" s="10">
        <f>+'A) Base RI'!AI261</f>
        <v>0</v>
      </c>
      <c r="AP261" s="10">
        <f>+'A) Base RI'!AJ261</f>
        <v>0</v>
      </c>
      <c r="AQ261" s="10">
        <f>+'A) Base RI'!AK261</f>
        <v>0</v>
      </c>
      <c r="AR261" s="10">
        <f>'A) Base RI'!AN261</f>
        <v>488</v>
      </c>
    </row>
    <row r="262" spans="1:44" x14ac:dyDescent="0.25">
      <c r="A262" s="8">
        <f>'A) Base RI'!A262</f>
        <v>5853</v>
      </c>
      <c r="B262" s="34" t="str">
        <f>'A) Base RI'!B262</f>
        <v>Bursins</v>
      </c>
      <c r="C262" s="10">
        <f>'A) Base RI'!C262+'A) Base RI'!D262</f>
        <v>2021372.66</v>
      </c>
      <c r="D262" s="10">
        <f>'A) Base RI'!AO262</f>
        <v>-58273.05</v>
      </c>
      <c r="E262" s="33">
        <f>'A) Base RI'!AP262</f>
        <v>0</v>
      </c>
      <c r="F262" s="33">
        <f>'A) Base RI'!AQ262</f>
        <v>-479.8</v>
      </c>
      <c r="G262" s="2">
        <f t="shared" si="18"/>
        <v>1962619.8099999998</v>
      </c>
      <c r="H262" s="10">
        <f>+'A) Base RI'!E262</f>
        <v>0</v>
      </c>
      <c r="I262" s="10">
        <f>+'A) Base RI'!F262</f>
        <v>0</v>
      </c>
      <c r="J262" s="10">
        <f>+'A) Base RI'!G262+'A) Base RI'!H262</f>
        <v>59094.35</v>
      </c>
      <c r="K262" s="10">
        <f>+'A) Base RI'!I262</f>
        <v>256574.3</v>
      </c>
      <c r="L262" s="10">
        <f>+'A) Base RI'!J262</f>
        <v>83353.259999999995</v>
      </c>
      <c r="M262" s="10">
        <f>+'A) Base RI'!K262</f>
        <v>8287.65</v>
      </c>
      <c r="N262" s="10">
        <f>+'A) Base RI'!Q262</f>
        <v>4065.52</v>
      </c>
      <c r="O262" s="10">
        <f t="shared" si="19"/>
        <v>191238.1</v>
      </c>
      <c r="P262" s="10">
        <f>+'A) Base RI'!L262</f>
        <v>191238.1</v>
      </c>
      <c r="Q262" s="36">
        <f>'A) Base RI'!AR262</f>
        <v>1</v>
      </c>
      <c r="R262" s="2">
        <f t="shared" si="20"/>
        <v>2565232.9899999998</v>
      </c>
      <c r="S262" s="35">
        <f>+'A) Base RI'!AM262</f>
        <v>71</v>
      </c>
      <c r="T262" s="2">
        <f t="shared" si="21"/>
        <v>2365707.2399999998</v>
      </c>
      <c r="U262" s="2">
        <f t="shared" si="22"/>
        <v>36130.042112676056</v>
      </c>
      <c r="V262" s="10">
        <f>+'A) Base RI'!O262</f>
        <v>123783.5</v>
      </c>
      <c r="W262" s="10">
        <f>+'A) Base RI'!P262</f>
        <v>79721.899999999994</v>
      </c>
      <c r="X262" s="10">
        <f>+'A) Base RI'!R262</f>
        <v>85713.1</v>
      </c>
      <c r="Y262" s="2">
        <f t="shared" si="23"/>
        <v>289218.5</v>
      </c>
      <c r="Z262" s="10">
        <f>+'A) Base RI'!N262</f>
        <v>24763.7</v>
      </c>
      <c r="AA262" s="10">
        <f>+'A) Base RI'!S262+'A) Base RI'!T262</f>
        <v>0</v>
      </c>
      <c r="AB262" s="10">
        <f>+'A) Base RI'!U262</f>
        <v>5250</v>
      </c>
      <c r="AC262" s="10">
        <f>+'A) Base RI'!V262</f>
        <v>0</v>
      </c>
      <c r="AD262" s="10">
        <f>+'A) Base RI'!W262</f>
        <v>0</v>
      </c>
      <c r="AE262" s="10">
        <f>+'A) Base RI'!Y262</f>
        <v>0</v>
      </c>
      <c r="AF262" s="10">
        <f>+'A) Base RI'!Z262</f>
        <v>0</v>
      </c>
      <c r="AG262" s="10">
        <f>+'A) Base RI'!AA262</f>
        <v>178962.5</v>
      </c>
      <c r="AH262" s="10">
        <f>+'A) Base RI'!AB262</f>
        <v>0</v>
      </c>
      <c r="AI262" s="10">
        <f>+'A) Base RI'!AC262</f>
        <v>45550.55</v>
      </c>
      <c r="AJ262" s="10">
        <f>+'A) Base RI'!AD262</f>
        <v>0</v>
      </c>
      <c r="AK262" s="10">
        <f>+'A) Base RI'!AE262</f>
        <v>0</v>
      </c>
      <c r="AL262" s="10">
        <f>+'A) Base RI'!AF262</f>
        <v>0</v>
      </c>
      <c r="AM262" s="10">
        <f>+'A) Base RI'!AG262</f>
        <v>9473</v>
      </c>
      <c r="AN262" s="10">
        <f>+'A) Base RI'!AH262</f>
        <v>0</v>
      </c>
      <c r="AO262" s="10">
        <f>+'A) Base RI'!AI262</f>
        <v>0</v>
      </c>
      <c r="AP262" s="10">
        <f>+'A) Base RI'!AJ262</f>
        <v>0</v>
      </c>
      <c r="AQ262" s="10">
        <f>+'A) Base RI'!AK262</f>
        <v>0</v>
      </c>
      <c r="AR262" s="10">
        <f>'A) Base RI'!AN262</f>
        <v>745</v>
      </c>
    </row>
    <row r="263" spans="1:44" x14ac:dyDescent="0.25">
      <c r="A263" s="8">
        <f>'A) Base RI'!A263</f>
        <v>5854</v>
      </c>
      <c r="B263" s="34" t="str">
        <f>'A) Base RI'!B263</f>
        <v>Burtigny</v>
      </c>
      <c r="C263" s="10">
        <f>'A) Base RI'!C263+'A) Base RI'!D263</f>
        <v>685118.67</v>
      </c>
      <c r="D263" s="10">
        <f>'A) Base RI'!AO263</f>
        <v>-781.83</v>
      </c>
      <c r="E263" s="33">
        <f>'A) Base RI'!AP263</f>
        <v>0</v>
      </c>
      <c r="F263" s="33">
        <f>'A) Base RI'!AQ263</f>
        <v>-133.74</v>
      </c>
      <c r="G263" s="2">
        <f t="shared" si="18"/>
        <v>684203.10000000009</v>
      </c>
      <c r="H263" s="10">
        <f>+'A) Base RI'!E263</f>
        <v>0</v>
      </c>
      <c r="I263" s="10">
        <f>+'A) Base RI'!F263</f>
        <v>0</v>
      </c>
      <c r="J263" s="10">
        <f>+'A) Base RI'!G263+'A) Base RI'!H263</f>
        <v>57833.25</v>
      </c>
      <c r="K263" s="10">
        <f>+'A) Base RI'!I263</f>
        <v>0</v>
      </c>
      <c r="L263" s="10">
        <f>+'A) Base RI'!J263</f>
        <v>15625.34</v>
      </c>
      <c r="M263" s="10">
        <f>+'A) Base RI'!K263</f>
        <v>1051.2</v>
      </c>
      <c r="N263" s="10">
        <f>+'A) Base RI'!Q263</f>
        <v>0</v>
      </c>
      <c r="O263" s="10">
        <f t="shared" si="19"/>
        <v>55754.633333333331</v>
      </c>
      <c r="P263" s="10">
        <f>+'A) Base RI'!L263</f>
        <v>83631.95</v>
      </c>
      <c r="Q263" s="36">
        <f>'A) Base RI'!AR263</f>
        <v>1.5</v>
      </c>
      <c r="R263" s="2">
        <f t="shared" si="20"/>
        <v>814467.52333333332</v>
      </c>
      <c r="S263" s="35">
        <f>+'A) Base RI'!AM263</f>
        <v>80</v>
      </c>
      <c r="T263" s="2">
        <f t="shared" si="21"/>
        <v>757661.69000000006</v>
      </c>
      <c r="U263" s="2">
        <f t="shared" si="22"/>
        <v>10180.844041666667</v>
      </c>
      <c r="V263" s="10">
        <f>+'A) Base RI'!O263</f>
        <v>0</v>
      </c>
      <c r="W263" s="10">
        <f>+'A) Base RI'!P263</f>
        <v>70739.75</v>
      </c>
      <c r="X263" s="10">
        <f>+'A) Base RI'!R263</f>
        <v>57416</v>
      </c>
      <c r="Y263" s="2">
        <f t="shared" si="23"/>
        <v>128155.75</v>
      </c>
      <c r="Z263" s="10">
        <f>+'A) Base RI'!N263</f>
        <v>17103</v>
      </c>
      <c r="AA263" s="10">
        <f>+'A) Base RI'!S263+'A) Base RI'!T263</f>
        <v>0</v>
      </c>
      <c r="AB263" s="10">
        <f>+'A) Base RI'!U263</f>
        <v>1025</v>
      </c>
      <c r="AC263" s="10">
        <f>+'A) Base RI'!V263</f>
        <v>0</v>
      </c>
      <c r="AD263" s="10">
        <f>+'A) Base RI'!W263</f>
        <v>0</v>
      </c>
      <c r="AE263" s="10">
        <f>+'A) Base RI'!Y263</f>
        <v>1000</v>
      </c>
      <c r="AF263" s="10">
        <f>+'A) Base RI'!Z263</f>
        <v>0</v>
      </c>
      <c r="AG263" s="10">
        <f>+'A) Base RI'!AA263</f>
        <v>91201.25</v>
      </c>
      <c r="AH263" s="10">
        <f>+'A) Base RI'!AB263</f>
        <v>0</v>
      </c>
      <c r="AI263" s="10">
        <f>+'A) Base RI'!AC263</f>
        <v>28910</v>
      </c>
      <c r="AJ263" s="10">
        <f>+'A) Base RI'!AD263</f>
        <v>0</v>
      </c>
      <c r="AK263" s="10">
        <f>+'A) Base RI'!AE263</f>
        <v>0</v>
      </c>
      <c r="AL263" s="10">
        <f>+'A) Base RI'!AF263</f>
        <v>0</v>
      </c>
      <c r="AM263" s="10">
        <f>+'A) Base RI'!AG263</f>
        <v>399.7</v>
      </c>
      <c r="AN263" s="10">
        <f>+'A) Base RI'!AH263</f>
        <v>8749.7999999999993</v>
      </c>
      <c r="AO263" s="10">
        <f>+'A) Base RI'!AI263</f>
        <v>0</v>
      </c>
      <c r="AP263" s="10">
        <f>+'A) Base RI'!AJ263</f>
        <v>0</v>
      </c>
      <c r="AQ263" s="10">
        <f>+'A) Base RI'!AK263</f>
        <v>0</v>
      </c>
      <c r="AR263" s="10">
        <f>'A) Base RI'!AN263</f>
        <v>361</v>
      </c>
    </row>
    <row r="264" spans="1:44" x14ac:dyDescent="0.25">
      <c r="A264" s="8">
        <f>'A) Base RI'!A264</f>
        <v>5855</v>
      </c>
      <c r="B264" s="34" t="str">
        <f>'A) Base RI'!B264</f>
        <v>Dully</v>
      </c>
      <c r="C264" s="10">
        <f>'A) Base RI'!C264+'A) Base RI'!D264</f>
        <v>2803837.73</v>
      </c>
      <c r="D264" s="10">
        <f>'A) Base RI'!AO264</f>
        <v>-4816.03</v>
      </c>
      <c r="E264" s="33">
        <f>'A) Base RI'!AP264</f>
        <v>0</v>
      </c>
      <c r="F264" s="33">
        <f>'A) Base RI'!AQ264</f>
        <v>-2621.16</v>
      </c>
      <c r="G264" s="2">
        <f t="shared" ref="G264:G315" si="28">SUM(C264:F264)</f>
        <v>2796400.54</v>
      </c>
      <c r="H264" s="10">
        <f>+'A) Base RI'!E264</f>
        <v>0</v>
      </c>
      <c r="I264" s="10">
        <f>+'A) Base RI'!F264</f>
        <v>0</v>
      </c>
      <c r="J264" s="10">
        <f>+'A) Base RI'!G264+'A) Base RI'!H264</f>
        <v>50451.35</v>
      </c>
      <c r="K264" s="10">
        <f>+'A) Base RI'!I264</f>
        <v>540610.02</v>
      </c>
      <c r="L264" s="10">
        <f>+'A) Base RI'!J264</f>
        <v>107810.65</v>
      </c>
      <c r="M264" s="10">
        <f>+'A) Base RI'!K264</f>
        <v>8960.25</v>
      </c>
      <c r="N264" s="10">
        <f>+'A) Base RI'!Q264</f>
        <v>0</v>
      </c>
      <c r="O264" s="10">
        <f t="shared" ref="O264:O315" si="29">(P264/Q264)*1</f>
        <v>338671.1</v>
      </c>
      <c r="P264" s="10">
        <f>+'A) Base RI'!L264</f>
        <v>169335.55</v>
      </c>
      <c r="Q264" s="36">
        <f>'A) Base RI'!AR264</f>
        <v>0.5</v>
      </c>
      <c r="R264" s="2">
        <f t="shared" ref="R264:R315" si="30">SUM(G264:O264)</f>
        <v>3842903.91</v>
      </c>
      <c r="S264" s="35">
        <f>+'A) Base RI'!AM264</f>
        <v>49</v>
      </c>
      <c r="T264" s="2">
        <f t="shared" ref="T264:T315" si="31">(G264+H264+J264+K264+L264+N264)</f>
        <v>3495272.56</v>
      </c>
      <c r="U264" s="2">
        <f t="shared" ref="U264:U315" si="32">R264/S264</f>
        <v>78426.610408163266</v>
      </c>
      <c r="V264" s="10">
        <f>+'A) Base RI'!O264</f>
        <v>0</v>
      </c>
      <c r="W264" s="10">
        <f>+'A) Base RI'!P264</f>
        <v>96380.85</v>
      </c>
      <c r="X264" s="10">
        <f>+'A) Base RI'!R264</f>
        <v>87104.85</v>
      </c>
      <c r="Y264" s="2">
        <f t="shared" ref="Y264:Y315" si="33">SUM(V264:X264)</f>
        <v>183485.7</v>
      </c>
      <c r="Z264" s="10">
        <f>+'A) Base RI'!N264</f>
        <v>1345.35</v>
      </c>
      <c r="AA264" s="10">
        <f>+'A) Base RI'!S264+'A) Base RI'!T264</f>
        <v>0</v>
      </c>
      <c r="AB264" s="10">
        <f>+'A) Base RI'!U264</f>
        <v>2020</v>
      </c>
      <c r="AC264" s="10">
        <f>+'A) Base RI'!V264</f>
        <v>0</v>
      </c>
      <c r="AD264" s="10">
        <f>+'A) Base RI'!W264</f>
        <v>0</v>
      </c>
      <c r="AE264" s="10">
        <f>+'A) Base RI'!Y264</f>
        <v>20050.8</v>
      </c>
      <c r="AF264" s="10">
        <f>+'A) Base RI'!Z264</f>
        <v>0</v>
      </c>
      <c r="AG264" s="10">
        <f>+'A) Base RI'!AA264</f>
        <v>128168.55</v>
      </c>
      <c r="AH264" s="10">
        <f>+'A) Base RI'!AB264</f>
        <v>0</v>
      </c>
      <c r="AI264" s="10">
        <f>+'A) Base RI'!AC264</f>
        <v>30525</v>
      </c>
      <c r="AJ264" s="10">
        <f>+'A) Base RI'!AD264</f>
        <v>0</v>
      </c>
      <c r="AK264" s="10">
        <f>+'A) Base RI'!AE264</f>
        <v>0</v>
      </c>
      <c r="AL264" s="10">
        <f>+'A) Base RI'!AF264</f>
        <v>0</v>
      </c>
      <c r="AM264" s="10">
        <f>+'A) Base RI'!AG264</f>
        <v>2222.6</v>
      </c>
      <c r="AN264" s="10">
        <f>+'A) Base RI'!AH264</f>
        <v>0</v>
      </c>
      <c r="AO264" s="10">
        <f>+'A) Base RI'!AI264</f>
        <v>0</v>
      </c>
      <c r="AP264" s="10">
        <f>+'A) Base RI'!AJ264</f>
        <v>0</v>
      </c>
      <c r="AQ264" s="10">
        <f>+'A) Base RI'!AK264</f>
        <v>0</v>
      </c>
      <c r="AR264" s="10">
        <f>'A) Base RI'!AN264</f>
        <v>640</v>
      </c>
    </row>
    <row r="265" spans="1:44" x14ac:dyDescent="0.25">
      <c r="A265" s="8">
        <f>'A) Base RI'!A265</f>
        <v>5856</v>
      </c>
      <c r="B265" s="34" t="str">
        <f>'A) Base RI'!B265</f>
        <v>Essertines-sur-Rolle</v>
      </c>
      <c r="C265" s="10">
        <f>'A) Base RI'!C265+'A) Base RI'!D265</f>
        <v>1912575.1500000001</v>
      </c>
      <c r="D265" s="10">
        <f>'A) Base RI'!AO265</f>
        <v>-4845.28</v>
      </c>
      <c r="E265" s="33">
        <f>'A) Base RI'!AP265</f>
        <v>0</v>
      </c>
      <c r="F265" s="33">
        <f>'A) Base RI'!AQ265</f>
        <v>-336.96</v>
      </c>
      <c r="G265" s="2">
        <f t="shared" si="28"/>
        <v>1907392.9100000001</v>
      </c>
      <c r="H265" s="10">
        <f>+'A) Base RI'!E265</f>
        <v>0</v>
      </c>
      <c r="I265" s="10">
        <f>+'A) Base RI'!F265</f>
        <v>0</v>
      </c>
      <c r="J265" s="10">
        <f>+'A) Base RI'!G265+'A) Base RI'!H265</f>
        <v>4861.5</v>
      </c>
      <c r="K265" s="10">
        <f>+'A) Base RI'!I265</f>
        <v>190327.85</v>
      </c>
      <c r="L265" s="10">
        <f>+'A) Base RI'!J265</f>
        <v>57015.24</v>
      </c>
      <c r="M265" s="10">
        <f>+'A) Base RI'!K265</f>
        <v>2727.6</v>
      </c>
      <c r="N265" s="10">
        <f>+'A) Base RI'!Q265</f>
        <v>3224.22</v>
      </c>
      <c r="O265" s="10">
        <f t="shared" si="29"/>
        <v>170628.61538461538</v>
      </c>
      <c r="P265" s="10">
        <f>+'A) Base RI'!L265</f>
        <v>221817.2</v>
      </c>
      <c r="Q265" s="36">
        <f>'A) Base RI'!AR265</f>
        <v>1.3</v>
      </c>
      <c r="R265" s="2">
        <f t="shared" si="30"/>
        <v>2336177.9353846163</v>
      </c>
      <c r="S265" s="35">
        <f>+'A) Base RI'!AM265</f>
        <v>68</v>
      </c>
      <c r="T265" s="2">
        <f t="shared" si="31"/>
        <v>2162821.7200000007</v>
      </c>
      <c r="U265" s="2">
        <f t="shared" si="32"/>
        <v>34355.55787330318</v>
      </c>
      <c r="V265" s="10">
        <f>+'A) Base RI'!O265</f>
        <v>235101.65</v>
      </c>
      <c r="W265" s="10">
        <f>+'A) Base RI'!P265</f>
        <v>43760.25</v>
      </c>
      <c r="X265" s="10">
        <f>+'A) Base RI'!R265</f>
        <v>39422.949999999997</v>
      </c>
      <c r="Y265" s="2">
        <f t="shared" si="33"/>
        <v>318284.85000000003</v>
      </c>
      <c r="Z265" s="10">
        <f>+'A) Base RI'!N265</f>
        <v>3050.8</v>
      </c>
      <c r="AA265" s="10">
        <f>+'A) Base RI'!S265+'A) Base RI'!T265</f>
        <v>0</v>
      </c>
      <c r="AB265" s="10">
        <f>+'A) Base RI'!U265</f>
        <v>2808.35</v>
      </c>
      <c r="AC265" s="10">
        <f>+'A) Base RI'!V265</f>
        <v>0</v>
      </c>
      <c r="AD265" s="10">
        <f>+'A) Base RI'!W265</f>
        <v>0</v>
      </c>
      <c r="AE265" s="10">
        <f>+'A) Base RI'!Y265</f>
        <v>6370.35</v>
      </c>
      <c r="AF265" s="10">
        <f>+'A) Base RI'!Z265</f>
        <v>0</v>
      </c>
      <c r="AG265" s="10">
        <f>+'A) Base RI'!AA265</f>
        <v>140296.15</v>
      </c>
      <c r="AH265" s="10">
        <f>+'A) Base RI'!AB265</f>
        <v>0</v>
      </c>
      <c r="AI265" s="10">
        <f>+'A) Base RI'!AC265</f>
        <v>59141.85</v>
      </c>
      <c r="AJ265" s="10">
        <f>+'A) Base RI'!AD265</f>
        <v>11121.95</v>
      </c>
      <c r="AK265" s="10">
        <f>+'A) Base RI'!AE265</f>
        <v>0</v>
      </c>
      <c r="AL265" s="10">
        <f>+'A) Base RI'!AF265</f>
        <v>0</v>
      </c>
      <c r="AM265" s="10">
        <f>+'A) Base RI'!AG265</f>
        <v>0</v>
      </c>
      <c r="AN265" s="10">
        <f>+'A) Base RI'!AH265</f>
        <v>0</v>
      </c>
      <c r="AO265" s="10">
        <f>+'A) Base RI'!AI265</f>
        <v>0</v>
      </c>
      <c r="AP265" s="10">
        <f>+'A) Base RI'!AJ265</f>
        <v>0</v>
      </c>
      <c r="AQ265" s="10">
        <f>+'A) Base RI'!AK265</f>
        <v>0</v>
      </c>
      <c r="AR265" s="10">
        <f>'A) Base RI'!AN265</f>
        <v>696</v>
      </c>
    </row>
    <row r="266" spans="1:44" x14ac:dyDescent="0.25">
      <c r="A266" s="8">
        <f>'A) Base RI'!A266</f>
        <v>5857</v>
      </c>
      <c r="B266" s="34" t="str">
        <f>'A) Base RI'!B266</f>
        <v>Gilly</v>
      </c>
      <c r="C266" s="10">
        <f>'A) Base RI'!C266+'A) Base RI'!D266</f>
        <v>4535210.41</v>
      </c>
      <c r="D266" s="10">
        <f>'A) Base RI'!AO266</f>
        <v>-32962.92</v>
      </c>
      <c r="E266" s="33">
        <f>'A) Base RI'!AP266</f>
        <v>0</v>
      </c>
      <c r="F266" s="33">
        <f>'A) Base RI'!AQ266</f>
        <v>-411.98</v>
      </c>
      <c r="G266" s="2">
        <f t="shared" si="28"/>
        <v>4501835.51</v>
      </c>
      <c r="H266" s="10">
        <f>+'A) Base RI'!E266</f>
        <v>0</v>
      </c>
      <c r="I266" s="10">
        <f>+'A) Base RI'!F266</f>
        <v>0</v>
      </c>
      <c r="J266" s="10">
        <f>+'A) Base RI'!G266+'A) Base RI'!H266</f>
        <v>67431.25</v>
      </c>
      <c r="K266" s="10">
        <f>+'A) Base RI'!I266</f>
        <v>0</v>
      </c>
      <c r="L266" s="10">
        <f>+'A) Base RI'!J266</f>
        <v>142583.84</v>
      </c>
      <c r="M266" s="10">
        <f>+'A) Base RI'!K266</f>
        <v>10352.75</v>
      </c>
      <c r="N266" s="10">
        <f>+'A) Base RI'!Q266</f>
        <v>3446.66</v>
      </c>
      <c r="O266" s="10">
        <f t="shared" si="29"/>
        <v>349305.3</v>
      </c>
      <c r="P266" s="10">
        <f>+'A) Base RI'!L266</f>
        <v>349305.3</v>
      </c>
      <c r="Q266" s="36">
        <f>'A) Base RI'!AR266</f>
        <v>1</v>
      </c>
      <c r="R266" s="2">
        <f t="shared" si="30"/>
        <v>5074955.3099999996</v>
      </c>
      <c r="S266" s="35">
        <f>+'A) Base RI'!AM266</f>
        <v>66</v>
      </c>
      <c r="T266" s="2">
        <f t="shared" si="31"/>
        <v>4715297.26</v>
      </c>
      <c r="U266" s="2">
        <f t="shared" si="32"/>
        <v>76893.262272727268</v>
      </c>
      <c r="V266" s="10">
        <f>+'A) Base RI'!O266</f>
        <v>74218.7</v>
      </c>
      <c r="W266" s="10">
        <f>+'A) Base RI'!P266</f>
        <v>238221.95</v>
      </c>
      <c r="X266" s="10">
        <f>+'A) Base RI'!R266</f>
        <v>170605.4</v>
      </c>
      <c r="Y266" s="2">
        <f t="shared" si="33"/>
        <v>483046.05000000005</v>
      </c>
      <c r="Z266" s="10">
        <f>+'A) Base RI'!N266</f>
        <v>88455.1</v>
      </c>
      <c r="AA266" s="10">
        <f>+'A) Base RI'!S266+'A) Base RI'!T266</f>
        <v>0</v>
      </c>
      <c r="AB266" s="10">
        <f>+'A) Base RI'!U266</f>
        <v>2640</v>
      </c>
      <c r="AC266" s="10">
        <f>+'A) Base RI'!V266</f>
        <v>0</v>
      </c>
      <c r="AD266" s="10">
        <f>+'A) Base RI'!W266</f>
        <v>0</v>
      </c>
      <c r="AE266" s="10">
        <f>+'A) Base RI'!Y266</f>
        <v>235020</v>
      </c>
      <c r="AF266" s="10">
        <f>+'A) Base RI'!Z266</f>
        <v>0</v>
      </c>
      <c r="AG266" s="10">
        <f>+'A) Base RI'!AA266</f>
        <v>101149.3</v>
      </c>
      <c r="AH266" s="10">
        <f>+'A) Base RI'!AB266</f>
        <v>0</v>
      </c>
      <c r="AI266" s="10">
        <f>+'A) Base RI'!AC266</f>
        <v>89619.35</v>
      </c>
      <c r="AJ266" s="10">
        <f>+'A) Base RI'!AD266</f>
        <v>0</v>
      </c>
      <c r="AK266" s="10">
        <f>+'A) Base RI'!AE266</f>
        <v>0</v>
      </c>
      <c r="AL266" s="10">
        <f>+'A) Base RI'!AF266</f>
        <v>0</v>
      </c>
      <c r="AM266" s="10">
        <f>+'A) Base RI'!AG266</f>
        <v>2026.45</v>
      </c>
      <c r="AN266" s="10">
        <f>+'A) Base RI'!AH266</f>
        <v>34852.85</v>
      </c>
      <c r="AO266" s="10">
        <f>+'A) Base RI'!AI266</f>
        <v>0</v>
      </c>
      <c r="AP266" s="10">
        <f>+'A) Base RI'!AJ266</f>
        <v>0</v>
      </c>
      <c r="AQ266" s="10">
        <f>+'A) Base RI'!AK266</f>
        <v>0</v>
      </c>
      <c r="AR266" s="10">
        <f>'A) Base RI'!AN266</f>
        <v>1294</v>
      </c>
    </row>
    <row r="267" spans="1:44" x14ac:dyDescent="0.25">
      <c r="A267" s="8">
        <f>'A) Base RI'!A267</f>
        <v>5858</v>
      </c>
      <c r="B267" s="34" t="str">
        <f>'A) Base RI'!B267</f>
        <v>Luins</v>
      </c>
      <c r="C267" s="10">
        <f>'A) Base RI'!C267+'A) Base RI'!D267</f>
        <v>1651503.43</v>
      </c>
      <c r="D267" s="10">
        <f>'A) Base RI'!AO267</f>
        <v>-15473.35</v>
      </c>
      <c r="E267" s="33">
        <f>'A) Base RI'!AP267</f>
        <v>0</v>
      </c>
      <c r="F267" s="33">
        <f>'A) Base RI'!AQ267</f>
        <v>-487.24</v>
      </c>
      <c r="G267" s="2">
        <f t="shared" si="28"/>
        <v>1635542.8399999999</v>
      </c>
      <c r="H267" s="10">
        <f>+'A) Base RI'!E267</f>
        <v>0</v>
      </c>
      <c r="I267" s="10">
        <f>+'A) Base RI'!F267</f>
        <v>0</v>
      </c>
      <c r="J267" s="10">
        <f>+'A) Base RI'!G267+'A) Base RI'!H267</f>
        <v>9365.85</v>
      </c>
      <c r="K267" s="10">
        <f>+'A) Base RI'!I267</f>
        <v>171069.7</v>
      </c>
      <c r="L267" s="10">
        <f>+'A) Base RI'!J267</f>
        <v>53935.73</v>
      </c>
      <c r="M267" s="10">
        <f>+'A) Base RI'!K267</f>
        <v>1039.5</v>
      </c>
      <c r="N267" s="10">
        <f>+'A) Base RI'!Q267</f>
        <v>39322.300000000003</v>
      </c>
      <c r="O267" s="10">
        <f t="shared" si="29"/>
        <v>143770.66666666666</v>
      </c>
      <c r="P267" s="10">
        <f>+'A) Base RI'!L267</f>
        <v>215656</v>
      </c>
      <c r="Q267" s="36">
        <f>'A) Base RI'!AR267</f>
        <v>1.5</v>
      </c>
      <c r="R267" s="2">
        <f t="shared" si="30"/>
        <v>2054046.5866666667</v>
      </c>
      <c r="S267" s="35">
        <f>+'A) Base RI'!AM267</f>
        <v>60</v>
      </c>
      <c r="T267" s="2">
        <f t="shared" si="31"/>
        <v>1909236.42</v>
      </c>
      <c r="U267" s="2">
        <f t="shared" si="32"/>
        <v>34234.109777777776</v>
      </c>
      <c r="V267" s="10">
        <f>+'A) Base RI'!O267</f>
        <v>3226.4</v>
      </c>
      <c r="W267" s="10">
        <f>+'A) Base RI'!P267</f>
        <v>59278.95</v>
      </c>
      <c r="X267" s="10">
        <f>+'A) Base RI'!R267</f>
        <v>42849.2</v>
      </c>
      <c r="Y267" s="2">
        <f t="shared" si="33"/>
        <v>105354.54999999999</v>
      </c>
      <c r="Z267" s="10">
        <f>+'A) Base RI'!N267</f>
        <v>9337.1</v>
      </c>
      <c r="AA267" s="10">
        <f>+'A) Base RI'!S267+'A) Base RI'!T267</f>
        <v>500</v>
      </c>
      <c r="AB267" s="10">
        <f>+'A) Base RI'!U267</f>
        <v>1950</v>
      </c>
      <c r="AC267" s="10">
        <f>+'A) Base RI'!V267</f>
        <v>0</v>
      </c>
      <c r="AD267" s="10">
        <f>+'A) Base RI'!W267</f>
        <v>0</v>
      </c>
      <c r="AE267" s="10">
        <f>+'A) Base RI'!Y267</f>
        <v>9600</v>
      </c>
      <c r="AF267" s="10">
        <f>+'A) Base RI'!Z267</f>
        <v>0</v>
      </c>
      <c r="AG267" s="10">
        <f>+'A) Base RI'!AA267</f>
        <v>24494.5</v>
      </c>
      <c r="AH267" s="10">
        <f>+'A) Base RI'!AB267</f>
        <v>0</v>
      </c>
      <c r="AI267" s="10">
        <f>+'A) Base RI'!AC267</f>
        <v>35379.4</v>
      </c>
      <c r="AJ267" s="10">
        <f>+'A) Base RI'!AD267</f>
        <v>0</v>
      </c>
      <c r="AK267" s="10">
        <f>+'A) Base RI'!AE267</f>
        <v>0</v>
      </c>
      <c r="AL267" s="10">
        <f>+'A) Base RI'!AF267</f>
        <v>0</v>
      </c>
      <c r="AM267" s="10">
        <f>+'A) Base RI'!AG267</f>
        <v>128.69999999999999</v>
      </c>
      <c r="AN267" s="10">
        <f>+'A) Base RI'!AH267</f>
        <v>19268.849999999999</v>
      </c>
      <c r="AO267" s="10">
        <f>+'A) Base RI'!AI267</f>
        <v>0</v>
      </c>
      <c r="AP267" s="10">
        <f>+'A) Base RI'!AJ267</f>
        <v>0</v>
      </c>
      <c r="AQ267" s="10">
        <f>+'A) Base RI'!AK267</f>
        <v>0</v>
      </c>
      <c r="AR267" s="10">
        <f>'A) Base RI'!AN267</f>
        <v>608</v>
      </c>
    </row>
    <row r="268" spans="1:44" x14ac:dyDescent="0.25">
      <c r="A268" s="8">
        <f>'A) Base RI'!A268</f>
        <v>5859</v>
      </c>
      <c r="B268" s="34" t="str">
        <f>'A) Base RI'!B268</f>
        <v>Mont-sur-Rolle</v>
      </c>
      <c r="C268" s="10">
        <f>'A) Base RI'!C268+'A) Base RI'!D268</f>
        <v>7532176.4199999999</v>
      </c>
      <c r="D268" s="10">
        <f>'A) Base RI'!AO268</f>
        <v>-96651.16</v>
      </c>
      <c r="E268" s="33">
        <f>'A) Base RI'!AP268</f>
        <v>0</v>
      </c>
      <c r="F268" s="33">
        <f>'A) Base RI'!AQ268</f>
        <v>-5190.49</v>
      </c>
      <c r="G268" s="2">
        <f t="shared" si="28"/>
        <v>7430334.7699999996</v>
      </c>
      <c r="H268" s="10">
        <f>+'A) Base RI'!E268</f>
        <v>0</v>
      </c>
      <c r="I268" s="10">
        <f>+'A) Base RI'!F268</f>
        <v>0</v>
      </c>
      <c r="J268" s="10">
        <f>+'A) Base RI'!G268+'A) Base RI'!H268</f>
        <v>112445.45</v>
      </c>
      <c r="K268" s="10">
        <f>+'A) Base RI'!I268</f>
        <v>359170.5</v>
      </c>
      <c r="L268" s="10">
        <f>+'A) Base RI'!J268</f>
        <v>207146.41</v>
      </c>
      <c r="M268" s="10">
        <f>+'A) Base RI'!K268</f>
        <v>17333.150000000001</v>
      </c>
      <c r="N268" s="10">
        <f>+'A) Base RI'!Q268</f>
        <v>14124.27</v>
      </c>
      <c r="O268" s="10">
        <f t="shared" si="29"/>
        <v>620357.05000000005</v>
      </c>
      <c r="P268" s="10">
        <f>+'A) Base RI'!L268</f>
        <v>620357.05000000005</v>
      </c>
      <c r="Q268" s="36">
        <f>'A) Base RI'!AR268</f>
        <v>1</v>
      </c>
      <c r="R268" s="2">
        <f t="shared" si="30"/>
        <v>8760911.5999999996</v>
      </c>
      <c r="S268" s="35">
        <f>+'A) Base RI'!AM268</f>
        <v>64</v>
      </c>
      <c r="T268" s="2">
        <f t="shared" si="31"/>
        <v>8123221.3999999994</v>
      </c>
      <c r="U268" s="2">
        <f t="shared" si="32"/>
        <v>136889.24374999999</v>
      </c>
      <c r="V268" s="10">
        <f>+'A) Base RI'!O268</f>
        <v>27006.9</v>
      </c>
      <c r="W268" s="10">
        <f>+'A) Base RI'!P268</f>
        <v>564504.80000000005</v>
      </c>
      <c r="X268" s="10">
        <f>+'A) Base RI'!R268</f>
        <v>552728.85</v>
      </c>
      <c r="Y268" s="2">
        <f t="shared" si="33"/>
        <v>1144240.55</v>
      </c>
      <c r="Z268" s="10">
        <f>+'A) Base RI'!N268</f>
        <v>96183.6</v>
      </c>
      <c r="AA268" s="10">
        <f>+'A) Base RI'!S268+'A) Base RI'!T268</f>
        <v>97.25</v>
      </c>
      <c r="AB268" s="10">
        <f>+'A) Base RI'!U268</f>
        <v>13450</v>
      </c>
      <c r="AC268" s="10">
        <f>+'A) Base RI'!V268</f>
        <v>0</v>
      </c>
      <c r="AD268" s="10">
        <f>+'A) Base RI'!W268</f>
        <v>0</v>
      </c>
      <c r="AE268" s="10">
        <f>+'A) Base RI'!Y268</f>
        <v>98017.65</v>
      </c>
      <c r="AF268" s="10">
        <f>+'A) Base RI'!Z268</f>
        <v>0</v>
      </c>
      <c r="AG268" s="10">
        <f>+'A) Base RI'!AA268</f>
        <v>364802.05</v>
      </c>
      <c r="AH268" s="10">
        <f>+'A) Base RI'!AB268</f>
        <v>0</v>
      </c>
      <c r="AI268" s="10">
        <f>+'A) Base RI'!AC268</f>
        <v>171234.7</v>
      </c>
      <c r="AJ268" s="10">
        <f>+'A) Base RI'!AD268</f>
        <v>0</v>
      </c>
      <c r="AK268" s="10">
        <f>+'A) Base RI'!AE268</f>
        <v>0</v>
      </c>
      <c r="AL268" s="10">
        <f>+'A) Base RI'!AF268</f>
        <v>0</v>
      </c>
      <c r="AM268" s="10">
        <f>+'A) Base RI'!AG268</f>
        <v>0</v>
      </c>
      <c r="AN268" s="10">
        <f>+'A) Base RI'!AH268</f>
        <v>0</v>
      </c>
      <c r="AO268" s="10">
        <f>+'A) Base RI'!AI268</f>
        <v>0</v>
      </c>
      <c r="AP268" s="10">
        <f>+'A) Base RI'!AJ268</f>
        <v>0</v>
      </c>
      <c r="AQ268" s="10">
        <f>+'A) Base RI'!AK268</f>
        <v>0</v>
      </c>
      <c r="AR268" s="10">
        <f>'A) Base RI'!AN268</f>
        <v>2701</v>
      </c>
    </row>
    <row r="269" spans="1:44" x14ac:dyDescent="0.25">
      <c r="A269" s="8">
        <f>'A) Base RI'!A269</f>
        <v>5860</v>
      </c>
      <c r="B269" s="34" t="str">
        <f>'A) Base RI'!B269</f>
        <v>Perroy</v>
      </c>
      <c r="C269" s="10">
        <f>'A) Base RI'!C269+'A) Base RI'!D269</f>
        <v>4378277.4800000004</v>
      </c>
      <c r="D269" s="10">
        <f>'A) Base RI'!AO269</f>
        <v>-62586.02</v>
      </c>
      <c r="E269" s="33">
        <f>'A) Base RI'!AP269</f>
        <v>0</v>
      </c>
      <c r="F269" s="33">
        <f>'A) Base RI'!AQ269</f>
        <v>-3997.52</v>
      </c>
      <c r="G269" s="2">
        <f t="shared" si="28"/>
        <v>4311693.9400000013</v>
      </c>
      <c r="H269" s="10">
        <f>+'A) Base RI'!E269</f>
        <v>0</v>
      </c>
      <c r="I269" s="10">
        <f>+'A) Base RI'!F269</f>
        <v>0</v>
      </c>
      <c r="J269" s="10">
        <f>+'A) Base RI'!G269+'A) Base RI'!H269</f>
        <v>55053.200000000004</v>
      </c>
      <c r="K269" s="10">
        <f>+'A) Base RI'!I269</f>
        <v>294245.23</v>
      </c>
      <c r="L269" s="10">
        <f>+'A) Base RI'!J269</f>
        <v>91442.32</v>
      </c>
      <c r="M269" s="10">
        <f>+'A) Base RI'!K269</f>
        <v>26801.05</v>
      </c>
      <c r="N269" s="10">
        <f>+'A) Base RI'!Q269</f>
        <v>19264.79</v>
      </c>
      <c r="O269" s="10">
        <f t="shared" si="29"/>
        <v>473145.19230769231</v>
      </c>
      <c r="P269" s="10">
        <f>+'A) Base RI'!L269</f>
        <v>615088.75</v>
      </c>
      <c r="Q269" s="36">
        <f>'A) Base RI'!AR269</f>
        <v>1.3</v>
      </c>
      <c r="R269" s="2">
        <f t="shared" si="30"/>
        <v>5271645.7223076932</v>
      </c>
      <c r="S269" s="35">
        <f>+'A) Base RI'!AM269</f>
        <v>60</v>
      </c>
      <c r="T269" s="2">
        <f t="shared" si="31"/>
        <v>4771699.4800000014</v>
      </c>
      <c r="U269" s="2">
        <f t="shared" si="32"/>
        <v>87860.762038461558</v>
      </c>
      <c r="V269" s="10">
        <f>+'A) Base RI'!O269</f>
        <v>19677.7</v>
      </c>
      <c r="W269" s="10">
        <f>+'A) Base RI'!P269</f>
        <v>306789.59999999998</v>
      </c>
      <c r="X269" s="10">
        <f>+'A) Base RI'!R269</f>
        <v>267455.75</v>
      </c>
      <c r="Y269" s="2">
        <f t="shared" si="33"/>
        <v>593923.05000000005</v>
      </c>
      <c r="Z269" s="10">
        <f>+'A) Base RI'!N269</f>
        <v>19488.349999999999</v>
      </c>
      <c r="AA269" s="10">
        <f>+'A) Base RI'!S269+'A) Base RI'!T269</f>
        <v>0</v>
      </c>
      <c r="AB269" s="10">
        <f>+'A) Base RI'!U269</f>
        <v>8560</v>
      </c>
      <c r="AC269" s="10">
        <f>+'A) Base RI'!V269</f>
        <v>0</v>
      </c>
      <c r="AD269" s="10">
        <f>+'A) Base RI'!W269</f>
        <v>0</v>
      </c>
      <c r="AE269" s="10">
        <f>+'A) Base RI'!Y269</f>
        <v>28716.6</v>
      </c>
      <c r="AF269" s="10">
        <f>+'A) Base RI'!Z269</f>
        <v>0</v>
      </c>
      <c r="AG269" s="10">
        <f>+'A) Base RI'!AA269</f>
        <v>265649.09999999998</v>
      </c>
      <c r="AH269" s="10">
        <f>+'A) Base RI'!AB269</f>
        <v>0</v>
      </c>
      <c r="AI269" s="10">
        <f>+'A) Base RI'!AC269</f>
        <v>113841.52</v>
      </c>
      <c r="AJ269" s="10">
        <f>+'A) Base RI'!AD269</f>
        <v>0</v>
      </c>
      <c r="AK269" s="10">
        <f>+'A) Base RI'!AE269</f>
        <v>0</v>
      </c>
      <c r="AL269" s="10">
        <f>+'A) Base RI'!AF269</f>
        <v>0</v>
      </c>
      <c r="AM269" s="10">
        <f>+'A) Base RI'!AG269</f>
        <v>0</v>
      </c>
      <c r="AN269" s="10">
        <f>+'A) Base RI'!AH269</f>
        <v>0</v>
      </c>
      <c r="AO269" s="10">
        <f>+'A) Base RI'!AI269</f>
        <v>0</v>
      </c>
      <c r="AP269" s="10">
        <f>+'A) Base RI'!AJ269</f>
        <v>0</v>
      </c>
      <c r="AQ269" s="10">
        <f>+'A) Base RI'!AK269</f>
        <v>0</v>
      </c>
      <c r="AR269" s="10">
        <f>'A) Base RI'!AN269</f>
        <v>1514</v>
      </c>
    </row>
    <row r="270" spans="1:44" x14ac:dyDescent="0.25">
      <c r="A270" s="8">
        <f>'A) Base RI'!A270</f>
        <v>5861</v>
      </c>
      <c r="B270" s="34" t="str">
        <f>'A) Base RI'!B270</f>
        <v>Rolle</v>
      </c>
      <c r="C270" s="10">
        <f>'A) Base RI'!C270+'A) Base RI'!D270</f>
        <v>15152461.99</v>
      </c>
      <c r="D270" s="10">
        <f>'A) Base RI'!AO270</f>
        <v>-131439.24</v>
      </c>
      <c r="E270" s="33">
        <f>'A) Base RI'!AP270</f>
        <v>0</v>
      </c>
      <c r="F270" s="33">
        <f>'A) Base RI'!AQ270</f>
        <v>-7202.48</v>
      </c>
      <c r="G270" s="2">
        <f t="shared" si="28"/>
        <v>15013820.27</v>
      </c>
      <c r="H270" s="10">
        <f>+'A) Base RI'!E270</f>
        <v>0</v>
      </c>
      <c r="I270" s="10">
        <f>+'A) Base RI'!F270</f>
        <v>0</v>
      </c>
      <c r="J270" s="10">
        <f>+'A) Base RI'!G270+'A) Base RI'!H270</f>
        <v>27457905.75</v>
      </c>
      <c r="K270" s="10">
        <f>+'A) Base RI'!I270</f>
        <v>1099470.69</v>
      </c>
      <c r="L270" s="10">
        <f>+'A) Base RI'!J270</f>
        <v>3463952.82</v>
      </c>
      <c r="M270" s="10">
        <f>+'A) Base RI'!K270</f>
        <v>269525.3</v>
      </c>
      <c r="N270" s="10">
        <f>+'A) Base RI'!Q270</f>
        <v>29176.57</v>
      </c>
      <c r="O270" s="10">
        <f t="shared" si="29"/>
        <v>1700525.45</v>
      </c>
      <c r="P270" s="10">
        <f>+'A) Base RI'!L270</f>
        <v>1700525.45</v>
      </c>
      <c r="Q270" s="36">
        <f>'A) Base RI'!AR270</f>
        <v>1</v>
      </c>
      <c r="R270" s="2">
        <f t="shared" si="30"/>
        <v>49034376.849999994</v>
      </c>
      <c r="S270" s="35">
        <f>+'A) Base RI'!AM270</f>
        <v>59.5</v>
      </c>
      <c r="T270" s="2">
        <f t="shared" si="31"/>
        <v>47064326.099999994</v>
      </c>
      <c r="U270" s="2">
        <f t="shared" si="32"/>
        <v>824107.17394957971</v>
      </c>
      <c r="V270" s="10">
        <f>+'A) Base RI'!O270</f>
        <v>198879.2</v>
      </c>
      <c r="W270" s="10">
        <f>+'A) Base RI'!P270</f>
        <v>570098.19999999995</v>
      </c>
      <c r="X270" s="10">
        <f>+'A) Base RI'!R270</f>
        <v>507120.8</v>
      </c>
      <c r="Y270" s="2">
        <f t="shared" si="33"/>
        <v>1276098.2</v>
      </c>
      <c r="Z270" s="10">
        <f>+'A) Base RI'!N270</f>
        <v>673413.7</v>
      </c>
      <c r="AA270" s="10">
        <f>+'A) Base RI'!S270+'A) Base RI'!T270</f>
        <v>0</v>
      </c>
      <c r="AB270" s="10">
        <f>+'A) Base RI'!U270</f>
        <v>20518.75</v>
      </c>
      <c r="AC270" s="10">
        <f>+'A) Base RI'!V270</f>
        <v>0</v>
      </c>
      <c r="AD270" s="10">
        <f>+'A) Base RI'!W270</f>
        <v>0</v>
      </c>
      <c r="AE270" s="10">
        <f>+'A) Base RI'!Y270</f>
        <v>289866</v>
      </c>
      <c r="AF270" s="10">
        <f>+'A) Base RI'!Z270</f>
        <v>417096</v>
      </c>
      <c r="AG270" s="10">
        <f>+'A) Base RI'!AA270</f>
        <v>1027422</v>
      </c>
      <c r="AH270" s="10">
        <f>+'A) Base RI'!AB270</f>
        <v>0</v>
      </c>
      <c r="AI270" s="10">
        <f>+'A) Base RI'!AC270</f>
        <v>462764.2</v>
      </c>
      <c r="AJ270" s="10">
        <f>+'A) Base RI'!AD270</f>
        <v>0</v>
      </c>
      <c r="AK270" s="10">
        <f>+'A) Base RI'!AE270</f>
        <v>0</v>
      </c>
      <c r="AL270" s="10">
        <f>+'A) Base RI'!AF270</f>
        <v>0</v>
      </c>
      <c r="AM270" s="10">
        <f>+'A) Base RI'!AG270</f>
        <v>92593.1</v>
      </c>
      <c r="AN270" s="10">
        <f>+'A) Base RI'!AH270</f>
        <v>207603.45</v>
      </c>
      <c r="AO270" s="10">
        <f>+'A) Base RI'!AI270</f>
        <v>0</v>
      </c>
      <c r="AP270" s="10">
        <f>+'A) Base RI'!AJ270</f>
        <v>0</v>
      </c>
      <c r="AQ270" s="10">
        <f>+'A) Base RI'!AK270</f>
        <v>0</v>
      </c>
      <c r="AR270" s="10">
        <f>'A) Base RI'!AN270</f>
        <v>6225</v>
      </c>
    </row>
    <row r="271" spans="1:44" x14ac:dyDescent="0.25">
      <c r="A271" s="8">
        <f>'A) Base RI'!A271</f>
        <v>5862</v>
      </c>
      <c r="B271" s="34" t="str">
        <f>'A) Base RI'!B271</f>
        <v>Tartegnin</v>
      </c>
      <c r="C271" s="10">
        <f>'A) Base RI'!C271+'A) Base RI'!D271</f>
        <v>804315.55999999994</v>
      </c>
      <c r="D271" s="10">
        <f>'A) Base RI'!AO271</f>
        <v>-12838.81</v>
      </c>
      <c r="E271" s="33">
        <f>'A) Base RI'!AP271</f>
        <v>0</v>
      </c>
      <c r="F271" s="33">
        <f>'A) Base RI'!AQ271</f>
        <v>-9.18</v>
      </c>
      <c r="G271" s="2">
        <f t="shared" si="28"/>
        <v>791467.56999999983</v>
      </c>
      <c r="H271" s="10">
        <f>+'A) Base RI'!E271</f>
        <v>0</v>
      </c>
      <c r="I271" s="10">
        <f>+'A) Base RI'!F271</f>
        <v>0</v>
      </c>
      <c r="J271" s="10">
        <f>+'A) Base RI'!G271+'A) Base RI'!H271</f>
        <v>10352.550000000001</v>
      </c>
      <c r="K271" s="10">
        <f>+'A) Base RI'!I271</f>
        <v>0</v>
      </c>
      <c r="L271" s="10">
        <f>+'A) Base RI'!J271</f>
        <v>13344.4</v>
      </c>
      <c r="M271" s="10">
        <f>+'A) Base RI'!K271</f>
        <v>0</v>
      </c>
      <c r="N271" s="10">
        <f>+'A) Base RI'!Q271</f>
        <v>0</v>
      </c>
      <c r="O271" s="10">
        <f t="shared" si="29"/>
        <v>45860.833333333336</v>
      </c>
      <c r="P271" s="10">
        <f>+'A) Base RI'!L271</f>
        <v>41274.75</v>
      </c>
      <c r="Q271" s="36">
        <f>'A) Base RI'!AR271</f>
        <v>0.9</v>
      </c>
      <c r="R271" s="2">
        <f t="shared" si="30"/>
        <v>861025.35333333327</v>
      </c>
      <c r="S271" s="35">
        <f>+'A) Base RI'!AM271</f>
        <v>81</v>
      </c>
      <c r="T271" s="2">
        <f t="shared" si="31"/>
        <v>815164.5199999999</v>
      </c>
      <c r="U271" s="2">
        <f t="shared" si="32"/>
        <v>10629.942633744855</v>
      </c>
      <c r="V271" s="10">
        <f>+'A) Base RI'!O271</f>
        <v>143354.9</v>
      </c>
      <c r="W271" s="10">
        <f>+'A) Base RI'!P271</f>
        <v>0</v>
      </c>
      <c r="X271" s="10">
        <f>+'A) Base RI'!R271</f>
        <v>0</v>
      </c>
      <c r="Y271" s="2">
        <f t="shared" si="33"/>
        <v>143354.9</v>
      </c>
      <c r="Z271" s="10">
        <f>+'A) Base RI'!N271</f>
        <v>4117.75</v>
      </c>
      <c r="AA271" s="10">
        <f>+'A) Base RI'!S271+'A) Base RI'!T271</f>
        <v>0</v>
      </c>
      <c r="AB271" s="10">
        <f>+'A) Base RI'!U271</f>
        <v>1125</v>
      </c>
      <c r="AC271" s="10">
        <f>+'A) Base RI'!V271</f>
        <v>0</v>
      </c>
      <c r="AD271" s="10">
        <f>+'A) Base RI'!W271</f>
        <v>0</v>
      </c>
      <c r="AE271" s="10">
        <f>+'A) Base RI'!Y271</f>
        <v>8656.25</v>
      </c>
      <c r="AF271" s="10">
        <f>+'A) Base RI'!Z271</f>
        <v>0</v>
      </c>
      <c r="AG271" s="10">
        <f>+'A) Base RI'!AA271</f>
        <v>46720.55</v>
      </c>
      <c r="AH271" s="10">
        <f>+'A) Base RI'!AB271</f>
        <v>0</v>
      </c>
      <c r="AI271" s="10">
        <f>+'A) Base RI'!AC271</f>
        <v>16105</v>
      </c>
      <c r="AJ271" s="10">
        <f>+'A) Base RI'!AD271</f>
        <v>19043.75</v>
      </c>
      <c r="AK271" s="10">
        <f>+'A) Base RI'!AE271</f>
        <v>0</v>
      </c>
      <c r="AL271" s="10">
        <f>+'A) Base RI'!AF271</f>
        <v>0</v>
      </c>
      <c r="AM271" s="10">
        <f>+'A) Base RI'!AG271</f>
        <v>0</v>
      </c>
      <c r="AN271" s="10">
        <f>+'A) Base RI'!AH271</f>
        <v>0</v>
      </c>
      <c r="AO271" s="10">
        <f>+'A) Base RI'!AI271</f>
        <v>0</v>
      </c>
      <c r="AP271" s="10">
        <f>+'A) Base RI'!AJ271</f>
        <v>0</v>
      </c>
      <c r="AQ271" s="10">
        <f>+'A) Base RI'!AK271</f>
        <v>0</v>
      </c>
      <c r="AR271" s="10">
        <f>'A) Base RI'!AN271</f>
        <v>235</v>
      </c>
    </row>
    <row r="272" spans="1:44" x14ac:dyDescent="0.25">
      <c r="A272" s="8">
        <f>'A) Base RI'!A272</f>
        <v>5863</v>
      </c>
      <c r="B272" s="34" t="str">
        <f>'A) Base RI'!B272</f>
        <v>Vinzel</v>
      </c>
      <c r="C272" s="10">
        <f>'A) Base RI'!C272+'A) Base RI'!D272</f>
        <v>1417788.54</v>
      </c>
      <c r="D272" s="10">
        <f>'A) Base RI'!AO272</f>
        <v>-14262.93</v>
      </c>
      <c r="E272" s="33">
        <f>'A) Base RI'!AP272</f>
        <v>0</v>
      </c>
      <c r="F272" s="33">
        <f>'A) Base RI'!AQ272</f>
        <v>-1188.23</v>
      </c>
      <c r="G272" s="2">
        <f t="shared" si="28"/>
        <v>1402337.3800000001</v>
      </c>
      <c r="H272" s="10">
        <f>+'A) Base RI'!E272</f>
        <v>0</v>
      </c>
      <c r="I272" s="10">
        <f>+'A) Base RI'!F272</f>
        <v>0</v>
      </c>
      <c r="J272" s="10">
        <f>+'A) Base RI'!G272+'A) Base RI'!H272</f>
        <v>20483.400000000001</v>
      </c>
      <c r="K272" s="10">
        <f>+'A) Base RI'!I272</f>
        <v>0</v>
      </c>
      <c r="L272" s="10">
        <f>+'A) Base RI'!J272</f>
        <v>29620.6</v>
      </c>
      <c r="M272" s="10">
        <f>+'A) Base RI'!K272</f>
        <v>2004.9</v>
      </c>
      <c r="N272" s="10">
        <f>+'A) Base RI'!Q272</f>
        <v>0</v>
      </c>
      <c r="O272" s="10">
        <f t="shared" si="29"/>
        <v>77805.600000000006</v>
      </c>
      <c r="P272" s="10">
        <f>+'A) Base RI'!L272</f>
        <v>77805.600000000006</v>
      </c>
      <c r="Q272" s="36">
        <f>'A) Base RI'!AR272</f>
        <v>1</v>
      </c>
      <c r="R272" s="2">
        <f t="shared" si="30"/>
        <v>1532251.8800000001</v>
      </c>
      <c r="S272" s="35">
        <f>+'A) Base RI'!AM272</f>
        <v>67</v>
      </c>
      <c r="T272" s="2">
        <f t="shared" si="31"/>
        <v>1452441.3800000001</v>
      </c>
      <c r="U272" s="2">
        <f t="shared" si="32"/>
        <v>22869.43104477612</v>
      </c>
      <c r="V272" s="10">
        <f>+'A) Base RI'!O272</f>
        <v>0</v>
      </c>
      <c r="W272" s="10">
        <f>+'A) Base RI'!P272</f>
        <v>1375.2</v>
      </c>
      <c r="X272" s="10">
        <f>+'A) Base RI'!R272</f>
        <v>0</v>
      </c>
      <c r="Y272" s="2">
        <f t="shared" si="33"/>
        <v>1375.2</v>
      </c>
      <c r="Z272" s="10">
        <f>+'A) Base RI'!N272</f>
        <v>24160.55</v>
      </c>
      <c r="AA272" s="10">
        <f>+'A) Base RI'!S272+'A) Base RI'!T272</f>
        <v>325</v>
      </c>
      <c r="AB272" s="10">
        <f>+'A) Base RI'!U272</f>
        <v>1550</v>
      </c>
      <c r="AC272" s="10">
        <f>+'A) Base RI'!V272</f>
        <v>0</v>
      </c>
      <c r="AD272" s="10">
        <f>+'A) Base RI'!W272</f>
        <v>0</v>
      </c>
      <c r="AE272" s="10">
        <f>+'A) Base RI'!Y272</f>
        <v>0</v>
      </c>
      <c r="AF272" s="10">
        <f>+'A) Base RI'!Z272</f>
        <v>0</v>
      </c>
      <c r="AG272" s="10">
        <f>+'A) Base RI'!AA272</f>
        <v>14144</v>
      </c>
      <c r="AH272" s="10">
        <f>+'A) Base RI'!AB272</f>
        <v>0</v>
      </c>
      <c r="AI272" s="10">
        <f>+'A) Base RI'!AC272</f>
        <v>20678.2</v>
      </c>
      <c r="AJ272" s="10">
        <f>+'A) Base RI'!AD272</f>
        <v>0</v>
      </c>
      <c r="AK272" s="10">
        <f>+'A) Base RI'!AE272</f>
        <v>0</v>
      </c>
      <c r="AL272" s="10">
        <f>+'A) Base RI'!AF272</f>
        <v>0</v>
      </c>
      <c r="AM272" s="10">
        <f>+'A) Base RI'!AG272</f>
        <v>2146.9</v>
      </c>
      <c r="AN272" s="10">
        <f>+'A) Base RI'!AH272</f>
        <v>6051.65</v>
      </c>
      <c r="AO272" s="10">
        <f>+'A) Base RI'!AI272</f>
        <v>0</v>
      </c>
      <c r="AP272" s="10">
        <f>+'A) Base RI'!AJ272</f>
        <v>0</v>
      </c>
      <c r="AQ272" s="10">
        <f>+'A) Base RI'!AK272</f>
        <v>0</v>
      </c>
      <c r="AR272" s="10">
        <f>'A) Base RI'!AN272</f>
        <v>371</v>
      </c>
    </row>
    <row r="273" spans="1:44" x14ac:dyDescent="0.25">
      <c r="A273" s="8">
        <f>'A) Base RI'!A273</f>
        <v>5871</v>
      </c>
      <c r="B273" s="34" t="str">
        <f>'A) Base RI'!B273</f>
        <v>L'Abbaye</v>
      </c>
      <c r="C273" s="10">
        <f>'A) Base RI'!C273+'A) Base RI'!D273</f>
        <v>3126417.52</v>
      </c>
      <c r="D273" s="10">
        <f>'A) Base RI'!AO273</f>
        <v>-71554.31</v>
      </c>
      <c r="E273" s="33">
        <f>'A) Base RI'!AP273</f>
        <v>0</v>
      </c>
      <c r="F273" s="33">
        <f>'A) Base RI'!AQ273</f>
        <v>-208</v>
      </c>
      <c r="G273" s="2">
        <f t="shared" si="28"/>
        <v>3054655.21</v>
      </c>
      <c r="H273" s="10">
        <f>+'A) Base RI'!E273</f>
        <v>0</v>
      </c>
      <c r="I273" s="10">
        <f>+'A) Base RI'!F273</f>
        <v>0</v>
      </c>
      <c r="J273" s="10">
        <f>+'A) Base RI'!G273+'A) Base RI'!H273</f>
        <v>277640.5</v>
      </c>
      <c r="K273" s="10">
        <f>+'A) Base RI'!I273</f>
        <v>0</v>
      </c>
      <c r="L273" s="10">
        <f>+'A) Base RI'!J273</f>
        <v>74316.539999999994</v>
      </c>
      <c r="M273" s="10">
        <f>+'A) Base RI'!K273</f>
        <v>2702.5</v>
      </c>
      <c r="N273" s="10">
        <f>+'A) Base RI'!Q273</f>
        <v>43762.28</v>
      </c>
      <c r="O273" s="10">
        <f t="shared" si="29"/>
        <v>241459.6</v>
      </c>
      <c r="P273" s="10">
        <f>+'A) Base RI'!L273</f>
        <v>241459.6</v>
      </c>
      <c r="Q273" s="36">
        <f>'A) Base RI'!AR273</f>
        <v>1</v>
      </c>
      <c r="R273" s="2">
        <f t="shared" si="30"/>
        <v>3694536.63</v>
      </c>
      <c r="S273" s="35">
        <f>+'A) Base RI'!AM273</f>
        <v>77.3</v>
      </c>
      <c r="T273" s="2">
        <f t="shared" si="31"/>
        <v>3450374.53</v>
      </c>
      <c r="U273" s="2">
        <f t="shared" si="32"/>
        <v>47794.781759379046</v>
      </c>
      <c r="V273" s="10">
        <f>+'A) Base RI'!O273</f>
        <v>11699</v>
      </c>
      <c r="W273" s="10">
        <f>+'A) Base RI'!P273</f>
        <v>94222.45</v>
      </c>
      <c r="X273" s="10">
        <f>+'A) Base RI'!R273</f>
        <v>136544.1</v>
      </c>
      <c r="Y273" s="2">
        <f t="shared" si="33"/>
        <v>242465.55</v>
      </c>
      <c r="Z273" s="10">
        <f>+'A) Base RI'!N273</f>
        <v>728755.45</v>
      </c>
      <c r="AA273" s="10">
        <f>+'A) Base RI'!S273+'A) Base RI'!T273</f>
        <v>0</v>
      </c>
      <c r="AB273" s="10">
        <f>+'A) Base RI'!U273</f>
        <v>11900</v>
      </c>
      <c r="AC273" s="10">
        <f>+'A) Base RI'!V273</f>
        <v>0</v>
      </c>
      <c r="AD273" s="10">
        <f>+'A) Base RI'!W273</f>
        <v>0</v>
      </c>
      <c r="AE273" s="10">
        <f>+'A) Base RI'!Y273</f>
        <v>23517.45</v>
      </c>
      <c r="AF273" s="10">
        <f>+'A) Base RI'!Z273</f>
        <v>3537.8</v>
      </c>
      <c r="AG273" s="10">
        <f>+'A) Base RI'!AA273</f>
        <v>301113.2</v>
      </c>
      <c r="AH273" s="10">
        <f>+'A) Base RI'!AB273</f>
        <v>0</v>
      </c>
      <c r="AI273" s="10">
        <f>+'A) Base RI'!AC273</f>
        <v>144408.75</v>
      </c>
      <c r="AJ273" s="10">
        <f>+'A) Base RI'!AD273</f>
        <v>0</v>
      </c>
      <c r="AK273" s="10">
        <f>+'A) Base RI'!AE273</f>
        <v>0</v>
      </c>
      <c r="AL273" s="10">
        <f>+'A) Base RI'!AF273</f>
        <v>0</v>
      </c>
      <c r="AM273" s="10">
        <f>+'A) Base RI'!AG273</f>
        <v>58930.05</v>
      </c>
      <c r="AN273" s="10">
        <f>+'A) Base RI'!AH273</f>
        <v>0</v>
      </c>
      <c r="AO273" s="10">
        <f>+'A) Base RI'!AI273</f>
        <v>0</v>
      </c>
      <c r="AP273" s="10">
        <f>+'A) Base RI'!AJ273</f>
        <v>0</v>
      </c>
      <c r="AQ273" s="10">
        <f>+'A) Base RI'!AK273</f>
        <v>0</v>
      </c>
      <c r="AR273" s="10">
        <f>'A) Base RI'!AN273</f>
        <v>1492</v>
      </c>
    </row>
    <row r="274" spans="1:44" x14ac:dyDescent="0.25">
      <c r="A274" s="8">
        <f>'A) Base RI'!A274</f>
        <v>5872</v>
      </c>
      <c r="B274" s="34" t="str">
        <f>'A) Base RI'!B274</f>
        <v>Le Chenit</v>
      </c>
      <c r="C274" s="10">
        <f>'A) Base RI'!C274+'A) Base RI'!D274</f>
        <v>7916466.1100000003</v>
      </c>
      <c r="D274" s="10">
        <f>'A) Base RI'!AO274</f>
        <v>-92981.24</v>
      </c>
      <c r="E274" s="33">
        <f>'A) Base RI'!AP274</f>
        <v>0</v>
      </c>
      <c r="F274" s="33">
        <f>'A) Base RI'!AQ274</f>
        <v>-1082.8399999999999</v>
      </c>
      <c r="G274" s="2">
        <f t="shared" si="28"/>
        <v>7822402.0300000003</v>
      </c>
      <c r="H274" s="10">
        <f>+'A) Base RI'!E274</f>
        <v>0</v>
      </c>
      <c r="I274" s="10">
        <f>+'A) Base RI'!F274</f>
        <v>0</v>
      </c>
      <c r="J274" s="10">
        <f>+'A) Base RI'!G274+'A) Base RI'!H274</f>
        <v>6499366.4500000002</v>
      </c>
      <c r="K274" s="10">
        <f>+'A) Base RI'!I274</f>
        <v>0</v>
      </c>
      <c r="L274" s="10">
        <f>+'A) Base RI'!J274</f>
        <v>405845.68</v>
      </c>
      <c r="M274" s="10">
        <f>+'A) Base RI'!K274</f>
        <v>46592.35</v>
      </c>
      <c r="N274" s="10">
        <f>+'A) Base RI'!Q274</f>
        <v>9244.66</v>
      </c>
      <c r="O274" s="10">
        <f t="shared" si="29"/>
        <v>698301.07142857148</v>
      </c>
      <c r="P274" s="10">
        <f>+'A) Base RI'!L274</f>
        <v>488810.75</v>
      </c>
      <c r="Q274" s="36">
        <f>'A) Base RI'!AR274</f>
        <v>0.7</v>
      </c>
      <c r="R274" s="2">
        <f t="shared" si="30"/>
        <v>15481752.241428571</v>
      </c>
      <c r="S274" s="35">
        <f>+'A) Base RI'!AM274</f>
        <v>69.56</v>
      </c>
      <c r="T274" s="2">
        <f t="shared" si="31"/>
        <v>14736858.82</v>
      </c>
      <c r="U274" s="2">
        <f t="shared" si="32"/>
        <v>222566.8809866097</v>
      </c>
      <c r="V274" s="10">
        <f>+'A) Base RI'!O274</f>
        <v>233987.3</v>
      </c>
      <c r="W274" s="10">
        <f>+'A) Base RI'!P274</f>
        <v>318319.25</v>
      </c>
      <c r="X274" s="10">
        <f>+'A) Base RI'!R274</f>
        <v>139690.15</v>
      </c>
      <c r="Y274" s="2">
        <f t="shared" si="33"/>
        <v>691996.70000000007</v>
      </c>
      <c r="Z274" s="10">
        <f>+'A) Base RI'!N274</f>
        <v>4996793.5999999996</v>
      </c>
      <c r="AA274" s="10">
        <f>+'A) Base RI'!S274+'A) Base RI'!T274</f>
        <v>2950</v>
      </c>
      <c r="AB274" s="10">
        <f>+'A) Base RI'!U274</f>
        <v>31450</v>
      </c>
      <c r="AC274" s="10">
        <f>+'A) Base RI'!V274</f>
        <v>0</v>
      </c>
      <c r="AD274" s="10">
        <f>+'A) Base RI'!W274</f>
        <v>0</v>
      </c>
      <c r="AE274" s="10">
        <f>+'A) Base RI'!Y274</f>
        <v>13470</v>
      </c>
      <c r="AF274" s="10">
        <f>+'A) Base RI'!Z274</f>
        <v>6735</v>
      </c>
      <c r="AG274" s="10">
        <f>+'A) Base RI'!AA274</f>
        <v>952235.25</v>
      </c>
      <c r="AH274" s="10">
        <f>+'A) Base RI'!AB274</f>
        <v>0</v>
      </c>
      <c r="AI274" s="10">
        <f>+'A) Base RI'!AC274</f>
        <v>425365.55</v>
      </c>
      <c r="AJ274" s="10">
        <f>+'A) Base RI'!AD274</f>
        <v>9150</v>
      </c>
      <c r="AK274" s="10">
        <f>+'A) Base RI'!AE274</f>
        <v>4580</v>
      </c>
      <c r="AL274" s="10">
        <f>+'A) Base RI'!AF274</f>
        <v>0</v>
      </c>
      <c r="AM274" s="10">
        <f>+'A) Base RI'!AG274</f>
        <v>110045.65</v>
      </c>
      <c r="AN274" s="10">
        <f>+'A) Base RI'!AH274</f>
        <v>0</v>
      </c>
      <c r="AO274" s="10">
        <f>+'A) Base RI'!AI274</f>
        <v>0</v>
      </c>
      <c r="AP274" s="10">
        <f>+'A) Base RI'!AJ274</f>
        <v>0</v>
      </c>
      <c r="AQ274" s="10">
        <f>+'A) Base RI'!AK274</f>
        <v>0</v>
      </c>
      <c r="AR274" s="10">
        <f>'A) Base RI'!AN274</f>
        <v>4612</v>
      </c>
    </row>
    <row r="275" spans="1:44" x14ac:dyDescent="0.25">
      <c r="A275" s="8">
        <f>'A) Base RI'!A275</f>
        <v>5873</v>
      </c>
      <c r="B275" s="34" t="str">
        <f>'A) Base RI'!B275</f>
        <v>Le Lieu</v>
      </c>
      <c r="C275" s="10">
        <f>'A) Base RI'!C275+'A) Base RI'!D275</f>
        <v>1700491.35</v>
      </c>
      <c r="D275" s="10">
        <f>'A) Base RI'!AO275</f>
        <v>-16404.84</v>
      </c>
      <c r="E275" s="33">
        <f>'A) Base RI'!AP275</f>
        <v>0</v>
      </c>
      <c r="F275" s="33">
        <f>'A) Base RI'!AQ275</f>
        <v>-96.5</v>
      </c>
      <c r="G275" s="2">
        <f t="shared" si="28"/>
        <v>1683990.01</v>
      </c>
      <c r="H275" s="10">
        <f>+'A) Base RI'!E275</f>
        <v>0</v>
      </c>
      <c r="I275" s="10">
        <f>+'A) Base RI'!F275</f>
        <v>0</v>
      </c>
      <c r="J275" s="10">
        <f>+'A) Base RI'!G275+'A) Base RI'!H275</f>
        <v>263607.7</v>
      </c>
      <c r="K275" s="10">
        <f>+'A) Base RI'!I275</f>
        <v>0</v>
      </c>
      <c r="L275" s="10">
        <f>+'A) Base RI'!J275</f>
        <v>65289.86</v>
      </c>
      <c r="M275" s="10">
        <f>+'A) Base RI'!K275</f>
        <v>0</v>
      </c>
      <c r="N275" s="10">
        <f>+'A) Base RI'!Q275</f>
        <v>23317.53</v>
      </c>
      <c r="O275" s="10">
        <f t="shared" si="29"/>
        <v>138564.16666666669</v>
      </c>
      <c r="P275" s="10">
        <f>+'A) Base RI'!L275</f>
        <v>83138.5</v>
      </c>
      <c r="Q275" s="36">
        <f>'A) Base RI'!AR275</f>
        <v>0.6</v>
      </c>
      <c r="R275" s="2">
        <f t="shared" si="30"/>
        <v>2174769.2666666666</v>
      </c>
      <c r="S275" s="35">
        <f>+'A) Base RI'!AM275</f>
        <v>65</v>
      </c>
      <c r="T275" s="2">
        <f t="shared" si="31"/>
        <v>2036205.1</v>
      </c>
      <c r="U275" s="2">
        <f t="shared" si="32"/>
        <v>33457.98871794872</v>
      </c>
      <c r="V275" s="10">
        <f>+'A) Base RI'!O275</f>
        <v>0</v>
      </c>
      <c r="W275" s="10">
        <f>+'A) Base RI'!P275</f>
        <v>18660.95</v>
      </c>
      <c r="X275" s="10">
        <f>+'A) Base RI'!R275</f>
        <v>35140.9</v>
      </c>
      <c r="Y275" s="2">
        <f t="shared" si="33"/>
        <v>53801.850000000006</v>
      </c>
      <c r="Z275" s="10">
        <f>+'A) Base RI'!N275</f>
        <v>848439.35</v>
      </c>
      <c r="AA275" s="10">
        <f>+'A) Base RI'!S275+'A) Base RI'!T275</f>
        <v>475</v>
      </c>
      <c r="AB275" s="10">
        <f>+'A) Base RI'!U275</f>
        <v>7000</v>
      </c>
      <c r="AC275" s="10">
        <f>+'A) Base RI'!V275</f>
        <v>0</v>
      </c>
      <c r="AD275" s="10">
        <f>+'A) Base RI'!W275</f>
        <v>0</v>
      </c>
      <c r="AE275" s="10">
        <f>+'A) Base RI'!Y275</f>
        <v>7065</v>
      </c>
      <c r="AF275" s="10">
        <f>+'A) Base RI'!Z275</f>
        <v>0</v>
      </c>
      <c r="AG275" s="10">
        <f>+'A) Base RI'!AA275</f>
        <v>232960.3</v>
      </c>
      <c r="AH275" s="10">
        <f>+'A) Base RI'!AB275</f>
        <v>0</v>
      </c>
      <c r="AI275" s="10">
        <f>+'A) Base RI'!AC275</f>
        <v>87570.8</v>
      </c>
      <c r="AJ275" s="10">
        <f>+'A) Base RI'!AD275</f>
        <v>79040</v>
      </c>
      <c r="AK275" s="10">
        <f>+'A) Base RI'!AE275</f>
        <v>0</v>
      </c>
      <c r="AL275" s="10">
        <f>+'A) Base RI'!AF275</f>
        <v>0</v>
      </c>
      <c r="AM275" s="10">
        <f>+'A) Base RI'!AG275</f>
        <v>22559.95</v>
      </c>
      <c r="AN275" s="10">
        <f>+'A) Base RI'!AH275</f>
        <v>0</v>
      </c>
      <c r="AO275" s="10">
        <f>+'A) Base RI'!AI275</f>
        <v>0</v>
      </c>
      <c r="AP275" s="10">
        <f>+'A) Base RI'!AJ275</f>
        <v>0</v>
      </c>
      <c r="AQ275" s="10">
        <f>+'A) Base RI'!AK275</f>
        <v>0</v>
      </c>
      <c r="AR275" s="10">
        <f>'A) Base RI'!AN275</f>
        <v>869</v>
      </c>
    </row>
    <row r="276" spans="1:44" x14ac:dyDescent="0.25">
      <c r="A276" s="8">
        <f>'A) Base RI'!A276</f>
        <v>5881</v>
      </c>
      <c r="B276" s="34" t="str">
        <f>'A) Base RI'!B276</f>
        <v>Blonay</v>
      </c>
      <c r="C276" s="10">
        <f>'A) Base RI'!C276+'A) Base RI'!D276</f>
        <v>20580808.259999998</v>
      </c>
      <c r="D276" s="10">
        <f>'A) Base RI'!AO276</f>
        <v>-155287.64000000001</v>
      </c>
      <c r="E276" s="33">
        <f>'A) Base RI'!AP276</f>
        <v>0</v>
      </c>
      <c r="F276" s="33">
        <f>'A) Base RI'!AQ276</f>
        <v>-109052.67</v>
      </c>
      <c r="G276" s="2">
        <f t="shared" si="28"/>
        <v>20316467.949999996</v>
      </c>
      <c r="H276" s="10">
        <f>+'A) Base RI'!E276</f>
        <v>0</v>
      </c>
      <c r="I276" s="10">
        <f>+'A) Base RI'!F276</f>
        <v>0</v>
      </c>
      <c r="J276" s="10">
        <f>+'A) Base RI'!G276+'A) Base RI'!H276</f>
        <v>422006.45</v>
      </c>
      <c r="K276" s="10">
        <f>+'A) Base RI'!I276</f>
        <v>1024100.06</v>
      </c>
      <c r="L276" s="10">
        <f>+'A) Base RI'!J276</f>
        <v>331530.07</v>
      </c>
      <c r="M276" s="10">
        <f>+'A) Base RI'!K276</f>
        <v>36678.1</v>
      </c>
      <c r="N276" s="10">
        <f>+'A) Base RI'!Q276</f>
        <v>42838.68</v>
      </c>
      <c r="O276" s="10">
        <f t="shared" si="29"/>
        <v>1604822.15</v>
      </c>
      <c r="P276" s="10">
        <f>+'A) Base RI'!L276</f>
        <v>1604822.15</v>
      </c>
      <c r="Q276" s="36">
        <f>'A) Base RI'!AR276</f>
        <v>1</v>
      </c>
      <c r="R276" s="2">
        <f t="shared" si="30"/>
        <v>23778443.459999993</v>
      </c>
      <c r="S276" s="35">
        <f>+'A) Base RI'!AM276</f>
        <v>70</v>
      </c>
      <c r="T276" s="2">
        <f t="shared" si="31"/>
        <v>22136943.209999993</v>
      </c>
      <c r="U276" s="2">
        <f t="shared" si="32"/>
        <v>339692.04942857131</v>
      </c>
      <c r="V276" s="10">
        <f>+'A) Base RI'!O276</f>
        <v>102726.39999999999</v>
      </c>
      <c r="W276" s="10">
        <f>+'A) Base RI'!P276</f>
        <v>693090.65</v>
      </c>
      <c r="X276" s="10">
        <f>+'A) Base RI'!R276</f>
        <v>448979.8</v>
      </c>
      <c r="Y276" s="2">
        <f t="shared" si="33"/>
        <v>1244796.8500000001</v>
      </c>
      <c r="Z276" s="10">
        <f>+'A) Base RI'!N276</f>
        <v>83809.45</v>
      </c>
      <c r="AA276" s="10">
        <f>+'A) Base RI'!S276+'A) Base RI'!T276</f>
        <v>0</v>
      </c>
      <c r="AB276" s="10">
        <f>+'A) Base RI'!U276</f>
        <v>49250</v>
      </c>
      <c r="AC276" s="10">
        <f>+'A) Base RI'!V276</f>
        <v>0</v>
      </c>
      <c r="AD276" s="10">
        <f>+'A) Base RI'!W276</f>
        <v>0</v>
      </c>
      <c r="AE276" s="10">
        <f>+'A) Base RI'!Y276</f>
        <v>141728</v>
      </c>
      <c r="AF276" s="10">
        <f>+'A) Base RI'!Z276</f>
        <v>0</v>
      </c>
      <c r="AG276" s="10">
        <f>+'A) Base RI'!AA276</f>
        <v>464906.9</v>
      </c>
      <c r="AH276" s="10">
        <f>+'A) Base RI'!AB276</f>
        <v>0</v>
      </c>
      <c r="AI276" s="10">
        <f>+'A) Base RI'!AC276</f>
        <v>755748.3</v>
      </c>
      <c r="AJ276" s="10">
        <f>+'A) Base RI'!AD276</f>
        <v>195955.95</v>
      </c>
      <c r="AK276" s="10">
        <f>+'A) Base RI'!AE276</f>
        <v>0</v>
      </c>
      <c r="AL276" s="10">
        <f>+'A) Base RI'!AF276</f>
        <v>0</v>
      </c>
      <c r="AM276" s="10">
        <f>+'A) Base RI'!AG276</f>
        <v>0</v>
      </c>
      <c r="AN276" s="10">
        <f>+'A) Base RI'!AH276</f>
        <v>0</v>
      </c>
      <c r="AO276" s="10">
        <f>+'A) Base RI'!AI276</f>
        <v>0</v>
      </c>
      <c r="AP276" s="10">
        <f>+'A) Base RI'!AJ276</f>
        <v>0</v>
      </c>
      <c r="AQ276" s="10">
        <f>+'A) Base RI'!AK276</f>
        <v>0</v>
      </c>
      <c r="AR276" s="10">
        <f>'A) Base RI'!AN276</f>
        <v>6183</v>
      </c>
    </row>
    <row r="277" spans="1:44" x14ac:dyDescent="0.25">
      <c r="A277" s="8">
        <f>'A) Base RI'!A277</f>
        <v>5882</v>
      </c>
      <c r="B277" s="34" t="str">
        <f>'A) Base RI'!B277</f>
        <v>Chardonne</v>
      </c>
      <c r="C277" s="10">
        <f>'A) Base RI'!C277+'A) Base RI'!D277</f>
        <v>9123796.6300000008</v>
      </c>
      <c r="D277" s="10">
        <f>'A) Base RI'!AO277</f>
        <v>-84606.54</v>
      </c>
      <c r="E277" s="33">
        <f>'A) Base RI'!AP277</f>
        <v>0</v>
      </c>
      <c r="F277" s="33">
        <f>'A) Base RI'!AQ277</f>
        <v>-1575.09</v>
      </c>
      <c r="G277" s="2">
        <f t="shared" si="28"/>
        <v>9037615.0000000019</v>
      </c>
      <c r="H277" s="10">
        <f>+'A) Base RI'!E277</f>
        <v>0</v>
      </c>
      <c r="I277" s="10">
        <f>+'A) Base RI'!F277</f>
        <v>0</v>
      </c>
      <c r="J277" s="10">
        <f>+'A) Base RI'!G277+'A) Base RI'!H277</f>
        <v>166824.79999999999</v>
      </c>
      <c r="K277" s="10">
        <f>+'A) Base RI'!I277</f>
        <v>362767.42</v>
      </c>
      <c r="L277" s="10">
        <f>+'A) Base RI'!J277</f>
        <v>227461.72</v>
      </c>
      <c r="M277" s="10">
        <f>+'A) Base RI'!K277</f>
        <v>38284.25</v>
      </c>
      <c r="N277" s="10">
        <f>+'A) Base RI'!Q277</f>
        <v>9686.6299999999992</v>
      </c>
      <c r="O277" s="10">
        <f t="shared" si="29"/>
        <v>859661.16</v>
      </c>
      <c r="P277" s="10">
        <f>+'A) Base RI'!L277</f>
        <v>859661.16</v>
      </c>
      <c r="Q277" s="36">
        <f>'A) Base RI'!AR277</f>
        <v>1</v>
      </c>
      <c r="R277" s="2">
        <f t="shared" si="30"/>
        <v>10702300.980000004</v>
      </c>
      <c r="S277" s="35">
        <f>+'A) Base RI'!AM277</f>
        <v>68</v>
      </c>
      <c r="T277" s="2">
        <f t="shared" si="31"/>
        <v>9804355.570000004</v>
      </c>
      <c r="U277" s="2">
        <f t="shared" si="32"/>
        <v>157386.77911764712</v>
      </c>
      <c r="V277" s="10">
        <f>+'A) Base RI'!O277</f>
        <v>1190895.6000000001</v>
      </c>
      <c r="W277" s="10">
        <f>+'A) Base RI'!P277</f>
        <v>593668.25</v>
      </c>
      <c r="X277" s="10">
        <f>+'A) Base RI'!R277</f>
        <v>771366.25</v>
      </c>
      <c r="Y277" s="2">
        <f t="shared" si="33"/>
        <v>2555930.1</v>
      </c>
      <c r="Z277" s="10">
        <f>+'A) Base RI'!N277</f>
        <v>15528.4</v>
      </c>
      <c r="AA277" s="10">
        <f>+'A) Base RI'!S277+'A) Base RI'!T277</f>
        <v>0</v>
      </c>
      <c r="AB277" s="10">
        <f>+'A) Base RI'!U277</f>
        <v>13760</v>
      </c>
      <c r="AC277" s="10">
        <f>+'A) Base RI'!V277</f>
        <v>0</v>
      </c>
      <c r="AD277" s="10">
        <f>+'A) Base RI'!W277</f>
        <v>0</v>
      </c>
      <c r="AE277" s="10">
        <f>+'A) Base RI'!Y277</f>
        <v>226986.57</v>
      </c>
      <c r="AF277" s="10">
        <f>+'A) Base RI'!Z277</f>
        <v>0</v>
      </c>
      <c r="AG277" s="10">
        <f>+'A) Base RI'!AA277</f>
        <v>329464.94</v>
      </c>
      <c r="AH277" s="10">
        <f>+'A) Base RI'!AB277</f>
        <v>0</v>
      </c>
      <c r="AI277" s="10">
        <f>+'A) Base RI'!AC277</f>
        <v>284054.19</v>
      </c>
      <c r="AJ277" s="10">
        <f>+'A) Base RI'!AD277</f>
        <v>0</v>
      </c>
      <c r="AK277" s="10">
        <f>+'A) Base RI'!AE277</f>
        <v>0</v>
      </c>
      <c r="AL277" s="10">
        <f>+'A) Base RI'!AF277</f>
        <v>0</v>
      </c>
      <c r="AM277" s="10">
        <f>+'A) Base RI'!AG277</f>
        <v>0</v>
      </c>
      <c r="AN277" s="10">
        <f>+'A) Base RI'!AH277</f>
        <v>0</v>
      </c>
      <c r="AO277" s="10">
        <f>+'A) Base RI'!AI277</f>
        <v>0</v>
      </c>
      <c r="AP277" s="10">
        <f>+'A) Base RI'!AJ277</f>
        <v>0</v>
      </c>
      <c r="AQ277" s="10">
        <f>+'A) Base RI'!AK277</f>
        <v>0</v>
      </c>
      <c r="AR277" s="10">
        <f>'A) Base RI'!AN277</f>
        <v>2921</v>
      </c>
    </row>
    <row r="278" spans="1:44" x14ac:dyDescent="0.25">
      <c r="A278" s="8">
        <f>'A) Base RI'!A278</f>
        <v>5883</v>
      </c>
      <c r="B278" s="34" t="str">
        <f>'A) Base RI'!B278</f>
        <v>Corseaux</v>
      </c>
      <c r="C278" s="10">
        <f>'A) Base RI'!C278+'A) Base RI'!D278</f>
        <v>8926035.9900000002</v>
      </c>
      <c r="D278" s="10">
        <f>'A) Base RI'!AO278</f>
        <v>-64700.57</v>
      </c>
      <c r="E278" s="33">
        <f>'A) Base RI'!AP278</f>
        <v>0</v>
      </c>
      <c r="F278" s="33">
        <f>'A) Base RI'!AQ278</f>
        <v>-1687.17</v>
      </c>
      <c r="G278" s="2">
        <f t="shared" si="28"/>
        <v>8859648.25</v>
      </c>
      <c r="H278" s="10">
        <f>+'A) Base RI'!E278</f>
        <v>0</v>
      </c>
      <c r="I278" s="10">
        <f>+'A) Base RI'!F278</f>
        <v>0</v>
      </c>
      <c r="J278" s="10">
        <f>+'A) Base RI'!G278+'A) Base RI'!H278</f>
        <v>197645.35</v>
      </c>
      <c r="K278" s="10">
        <f>+'A) Base RI'!I278</f>
        <v>548295.93999999994</v>
      </c>
      <c r="L278" s="10">
        <f>+'A) Base RI'!J278</f>
        <v>169713.3</v>
      </c>
      <c r="M278" s="10">
        <f>+'A) Base RI'!K278</f>
        <v>7131.5</v>
      </c>
      <c r="N278" s="10">
        <f>+'A) Base RI'!Q278</f>
        <v>4659.0200000000004</v>
      </c>
      <c r="O278" s="10">
        <f t="shared" si="29"/>
        <v>635793.85</v>
      </c>
      <c r="P278" s="10">
        <f>+'A) Base RI'!L278</f>
        <v>635793.85</v>
      </c>
      <c r="Q278" s="36">
        <f>'A) Base RI'!AR278</f>
        <v>1</v>
      </c>
      <c r="R278" s="2">
        <f t="shared" si="30"/>
        <v>10422887.209999999</v>
      </c>
      <c r="S278" s="35">
        <f>+'A) Base RI'!AM278</f>
        <v>69</v>
      </c>
      <c r="T278" s="2">
        <f t="shared" si="31"/>
        <v>9779961.8599999994</v>
      </c>
      <c r="U278" s="2">
        <f t="shared" si="32"/>
        <v>151056.33637681158</v>
      </c>
      <c r="V278" s="10">
        <f>+'A) Base RI'!O278</f>
        <v>362315.7</v>
      </c>
      <c r="W278" s="10">
        <f>+'A) Base RI'!P278</f>
        <v>265661</v>
      </c>
      <c r="X278" s="10">
        <f>+'A) Base RI'!R278</f>
        <v>235156.7</v>
      </c>
      <c r="Y278" s="2">
        <f t="shared" si="33"/>
        <v>863133.39999999991</v>
      </c>
      <c r="Z278" s="10">
        <f>+'A) Base RI'!N278</f>
        <v>0</v>
      </c>
      <c r="AA278" s="10">
        <f>+'A) Base RI'!S278+'A) Base RI'!T278</f>
        <v>0</v>
      </c>
      <c r="AB278" s="10">
        <f>+'A) Base RI'!U278</f>
        <v>4300</v>
      </c>
      <c r="AC278" s="10">
        <f>+'A) Base RI'!V278</f>
        <v>0</v>
      </c>
      <c r="AD278" s="10">
        <f>+'A) Base RI'!W278</f>
        <v>0</v>
      </c>
      <c r="AE278" s="10">
        <f>+'A) Base RI'!Y278</f>
        <v>0</v>
      </c>
      <c r="AF278" s="10">
        <f>+'A) Base RI'!Z278</f>
        <v>0</v>
      </c>
      <c r="AG278" s="10">
        <f>+'A) Base RI'!AA278</f>
        <v>0</v>
      </c>
      <c r="AH278" s="10">
        <f>+'A) Base RI'!AB278</f>
        <v>0</v>
      </c>
      <c r="AI278" s="10">
        <f>+'A) Base RI'!AC278</f>
        <v>330751.67</v>
      </c>
      <c r="AJ278" s="10">
        <f>+'A) Base RI'!AD278</f>
        <v>149409.45000000001</v>
      </c>
      <c r="AK278" s="10">
        <f>+'A) Base RI'!AE278</f>
        <v>0</v>
      </c>
      <c r="AL278" s="10">
        <f>+'A) Base RI'!AF278</f>
        <v>0</v>
      </c>
      <c r="AM278" s="10">
        <f>+'A) Base RI'!AG278</f>
        <v>0</v>
      </c>
      <c r="AN278" s="10">
        <f>+'A) Base RI'!AH278</f>
        <v>0</v>
      </c>
      <c r="AO278" s="10">
        <f>+'A) Base RI'!AI278</f>
        <v>0</v>
      </c>
      <c r="AP278" s="10">
        <f>+'A) Base RI'!AJ278</f>
        <v>0</v>
      </c>
      <c r="AQ278" s="10">
        <f>+'A) Base RI'!AK278</f>
        <v>0</v>
      </c>
      <c r="AR278" s="10">
        <f>'A) Base RI'!AN278</f>
        <v>2289</v>
      </c>
    </row>
    <row r="279" spans="1:44" x14ac:dyDescent="0.25">
      <c r="A279" s="8">
        <f>'A) Base RI'!A279</f>
        <v>5884</v>
      </c>
      <c r="B279" s="34" t="str">
        <f>'A) Base RI'!B279</f>
        <v>Corsier-sur-Vevey</v>
      </c>
      <c r="C279" s="10">
        <f>'A) Base RI'!C279+'A) Base RI'!D279</f>
        <v>5914252.1899999995</v>
      </c>
      <c r="D279" s="10">
        <f>'A) Base RI'!AO279</f>
        <v>-164447.10999999999</v>
      </c>
      <c r="E279" s="33">
        <f>'A) Base RI'!AP279</f>
        <v>0</v>
      </c>
      <c r="F279" s="33">
        <f>'A) Base RI'!AQ279</f>
        <v>-665.19</v>
      </c>
      <c r="G279" s="2">
        <f t="shared" si="28"/>
        <v>5749139.8899999987</v>
      </c>
      <c r="H279" s="10">
        <f>+'A) Base RI'!E279</f>
        <v>0</v>
      </c>
      <c r="I279" s="10">
        <f>+'A) Base RI'!F279</f>
        <v>0</v>
      </c>
      <c r="J279" s="10">
        <f>+'A) Base RI'!G279+'A) Base RI'!H279</f>
        <v>1792421.87</v>
      </c>
      <c r="K279" s="10">
        <f>+'A) Base RI'!I279</f>
        <v>22781.4</v>
      </c>
      <c r="L279" s="10">
        <f>+'A) Base RI'!J279</f>
        <v>265255.77</v>
      </c>
      <c r="M279" s="10">
        <f>+'A) Base RI'!K279</f>
        <v>50985.2</v>
      </c>
      <c r="N279" s="10">
        <f>+'A) Base RI'!Q279</f>
        <v>47766.79</v>
      </c>
      <c r="O279" s="10">
        <f t="shared" si="29"/>
        <v>779549.08333333337</v>
      </c>
      <c r="P279" s="10">
        <f>+'A) Base RI'!L279</f>
        <v>935458.9</v>
      </c>
      <c r="Q279" s="36">
        <f>'A) Base RI'!AR279</f>
        <v>1.2</v>
      </c>
      <c r="R279" s="2">
        <f t="shared" si="30"/>
        <v>8707900.0033333339</v>
      </c>
      <c r="S279" s="35">
        <f>+'A) Base RI'!AM279</f>
        <v>66</v>
      </c>
      <c r="T279" s="2">
        <f t="shared" si="31"/>
        <v>7877365.7199999997</v>
      </c>
      <c r="U279" s="2">
        <f t="shared" si="32"/>
        <v>131937.87883838385</v>
      </c>
      <c r="V279" s="10">
        <f>+'A) Base RI'!O279</f>
        <v>98675.3</v>
      </c>
      <c r="W279" s="10">
        <f>+'A) Base RI'!P279</f>
        <v>229542.5</v>
      </c>
      <c r="X279" s="10">
        <f>+'A) Base RI'!R279</f>
        <v>234602.75</v>
      </c>
      <c r="Y279" s="2">
        <f t="shared" si="33"/>
        <v>562820.55000000005</v>
      </c>
      <c r="Z279" s="10">
        <f>+'A) Base RI'!N279</f>
        <v>469080.1</v>
      </c>
      <c r="AA279" s="10">
        <f>+'A) Base RI'!S279+'A) Base RI'!T279</f>
        <v>0</v>
      </c>
      <c r="AB279" s="10">
        <f>+'A) Base RI'!U279</f>
        <v>15950</v>
      </c>
      <c r="AC279" s="10">
        <f>+'A) Base RI'!V279</f>
        <v>0</v>
      </c>
      <c r="AD279" s="10">
        <f>+'A) Base RI'!W279</f>
        <v>0</v>
      </c>
      <c r="AE279" s="10">
        <f>+'A) Base RI'!Y279</f>
        <v>1726.64</v>
      </c>
      <c r="AF279" s="10">
        <f>+'A) Base RI'!Z279</f>
        <v>0</v>
      </c>
      <c r="AG279" s="10">
        <f>+'A) Base RI'!AA279</f>
        <v>330639.42</v>
      </c>
      <c r="AH279" s="10">
        <f>+'A) Base RI'!AB279</f>
        <v>649631.69999999995</v>
      </c>
      <c r="AI279" s="10">
        <f>+'A) Base RI'!AC279</f>
        <v>251486.61</v>
      </c>
      <c r="AJ279" s="10">
        <f>+'A) Base RI'!AD279</f>
        <v>0</v>
      </c>
      <c r="AK279" s="10">
        <f>+'A) Base RI'!AE279</f>
        <v>0</v>
      </c>
      <c r="AL279" s="10">
        <f>+'A) Base RI'!AF279</f>
        <v>0</v>
      </c>
      <c r="AM279" s="10">
        <f>+'A) Base RI'!AG279</f>
        <v>11220</v>
      </c>
      <c r="AN279" s="10">
        <f>+'A) Base RI'!AH279</f>
        <v>291367.2</v>
      </c>
      <c r="AO279" s="10">
        <f>+'A) Base RI'!AI279</f>
        <v>0</v>
      </c>
      <c r="AP279" s="10">
        <f>+'A) Base RI'!AJ279</f>
        <v>0</v>
      </c>
      <c r="AQ279" s="10">
        <f>+'A) Base RI'!AK279</f>
        <v>0</v>
      </c>
      <c r="AR279" s="10">
        <f>'A) Base RI'!AN279</f>
        <v>3396</v>
      </c>
    </row>
    <row r="280" spans="1:44" x14ac:dyDescent="0.25">
      <c r="A280" s="8">
        <f>'A) Base RI'!A280</f>
        <v>5885</v>
      </c>
      <c r="B280" s="34" t="str">
        <f>'A) Base RI'!B280</f>
        <v>Jongny</v>
      </c>
      <c r="C280" s="10">
        <f>'A) Base RI'!C280+'A) Base RI'!D280</f>
        <v>5810111.3100000005</v>
      </c>
      <c r="D280" s="10">
        <f>'A) Base RI'!AO280</f>
        <v>-32513.439999999999</v>
      </c>
      <c r="E280" s="33">
        <f>'A) Base RI'!AP280</f>
        <v>0</v>
      </c>
      <c r="F280" s="33">
        <f>'A) Base RI'!AQ280</f>
        <v>-5133.49</v>
      </c>
      <c r="G280" s="2">
        <f t="shared" si="28"/>
        <v>5772464.3799999999</v>
      </c>
      <c r="H280" s="10">
        <f>+'A) Base RI'!E280</f>
        <v>0</v>
      </c>
      <c r="I280" s="10">
        <f>+'A) Base RI'!F280</f>
        <v>0</v>
      </c>
      <c r="J280" s="10">
        <f>+'A) Base RI'!G280+'A) Base RI'!H280</f>
        <v>249559.55</v>
      </c>
      <c r="K280" s="10">
        <f>+'A) Base RI'!I280</f>
        <v>142208.18</v>
      </c>
      <c r="L280" s="10">
        <f>+'A) Base RI'!J280</f>
        <v>120812.65</v>
      </c>
      <c r="M280" s="10">
        <f>+'A) Base RI'!K280</f>
        <v>10194.9</v>
      </c>
      <c r="N280" s="10">
        <f>+'A) Base RI'!Q280</f>
        <v>13302.69</v>
      </c>
      <c r="O280" s="10">
        <f t="shared" si="29"/>
        <v>370708.04166666669</v>
      </c>
      <c r="P280" s="10">
        <f>+'A) Base RI'!L280</f>
        <v>444849.65</v>
      </c>
      <c r="Q280" s="36">
        <f>'A) Base RI'!AR280</f>
        <v>1.2</v>
      </c>
      <c r="R280" s="2">
        <f t="shared" si="30"/>
        <v>6679250.3916666675</v>
      </c>
      <c r="S280" s="35">
        <f>+'A) Base RI'!AM280</f>
        <v>71</v>
      </c>
      <c r="T280" s="2">
        <f t="shared" si="31"/>
        <v>6298347.4500000002</v>
      </c>
      <c r="U280" s="2">
        <f t="shared" si="32"/>
        <v>94073.949178403767</v>
      </c>
      <c r="V280" s="10">
        <f>+'A) Base RI'!O280</f>
        <v>165366.1</v>
      </c>
      <c r="W280" s="10">
        <f>+'A) Base RI'!P280</f>
        <v>213726.4</v>
      </c>
      <c r="X280" s="10">
        <f>+'A) Base RI'!R280</f>
        <v>278243.15000000002</v>
      </c>
      <c r="Y280" s="2">
        <f t="shared" si="33"/>
        <v>657335.65</v>
      </c>
      <c r="Z280" s="10">
        <f>+'A) Base RI'!N280</f>
        <v>7550.35</v>
      </c>
      <c r="AA280" s="10">
        <f>+'A) Base RI'!S280+'A) Base RI'!T280</f>
        <v>0</v>
      </c>
      <c r="AB280" s="10">
        <f>+'A) Base RI'!U280</f>
        <v>6850</v>
      </c>
      <c r="AC280" s="10">
        <f>+'A) Base RI'!V280</f>
        <v>0</v>
      </c>
      <c r="AD280" s="10">
        <f>+'A) Base RI'!W280</f>
        <v>0</v>
      </c>
      <c r="AE280" s="10">
        <f>+'A) Base RI'!Y280</f>
        <v>297210</v>
      </c>
      <c r="AF280" s="10">
        <f>+'A) Base RI'!Z280</f>
        <v>0</v>
      </c>
      <c r="AG280" s="10">
        <f>+'A) Base RI'!AA280</f>
        <v>26285.3</v>
      </c>
      <c r="AH280" s="10">
        <f>+'A) Base RI'!AB280</f>
        <v>0</v>
      </c>
      <c r="AI280" s="10">
        <f>+'A) Base RI'!AC280</f>
        <v>154909.82</v>
      </c>
      <c r="AJ280" s="10">
        <f>+'A) Base RI'!AD280</f>
        <v>0</v>
      </c>
      <c r="AK280" s="10">
        <f>+'A) Base RI'!AE280</f>
        <v>0</v>
      </c>
      <c r="AL280" s="10">
        <f>+'A) Base RI'!AF280</f>
        <v>0</v>
      </c>
      <c r="AM280" s="10">
        <f>+'A) Base RI'!AG280</f>
        <v>0</v>
      </c>
      <c r="AN280" s="10">
        <f>+'A) Base RI'!AH280</f>
        <v>0</v>
      </c>
      <c r="AO280" s="10">
        <f>+'A) Base RI'!AI280</f>
        <v>0</v>
      </c>
      <c r="AP280" s="10">
        <f>+'A) Base RI'!AJ280</f>
        <v>0</v>
      </c>
      <c r="AQ280" s="10">
        <f>+'A) Base RI'!AK280</f>
        <v>0</v>
      </c>
      <c r="AR280" s="10">
        <f>'A) Base RI'!AN280</f>
        <v>1549</v>
      </c>
    </row>
    <row r="281" spans="1:44" x14ac:dyDescent="0.25">
      <c r="A281" s="8">
        <f>'A) Base RI'!A281</f>
        <v>5886</v>
      </c>
      <c r="B281" s="34" t="str">
        <f>'A) Base RI'!B281</f>
        <v>Montreux</v>
      </c>
      <c r="C281" s="10">
        <f>'A) Base RI'!C281+'A) Base RI'!D281</f>
        <v>55933971.640000001</v>
      </c>
      <c r="D281" s="10">
        <f>'A) Base RI'!AO281</f>
        <v>-1625317.09</v>
      </c>
      <c r="E281" s="33">
        <f>'A) Base RI'!AP281</f>
        <v>0</v>
      </c>
      <c r="F281" s="33">
        <f>'A) Base RI'!AQ281</f>
        <v>-31877.83</v>
      </c>
      <c r="G281" s="2">
        <f t="shared" si="28"/>
        <v>54276776.719999999</v>
      </c>
      <c r="H281" s="10">
        <f>+'A) Base RI'!E281</f>
        <v>0</v>
      </c>
      <c r="I281" s="10">
        <f>+'A) Base RI'!F281</f>
        <v>0</v>
      </c>
      <c r="J281" s="10">
        <f>+'A) Base RI'!G281+'A) Base RI'!H281</f>
        <v>3833205.8000000003</v>
      </c>
      <c r="K281" s="10">
        <f>+'A) Base RI'!I281</f>
        <v>4481090.6100000003</v>
      </c>
      <c r="L281" s="10">
        <f>+'A) Base RI'!J281</f>
        <v>3087361.22</v>
      </c>
      <c r="M281" s="10">
        <f>+'A) Base RI'!K281</f>
        <v>586296.69999999995</v>
      </c>
      <c r="N281" s="10">
        <f>+'A) Base RI'!Q281</f>
        <v>388269.5</v>
      </c>
      <c r="O281" s="10">
        <f t="shared" si="29"/>
        <v>6703561.4333333336</v>
      </c>
      <c r="P281" s="10">
        <f>+'A) Base RI'!L281</f>
        <v>10055342.15</v>
      </c>
      <c r="Q281" s="36">
        <f>'A) Base RI'!AR281</f>
        <v>1.5</v>
      </c>
      <c r="R281" s="2">
        <f t="shared" si="30"/>
        <v>73356561.983333334</v>
      </c>
      <c r="S281" s="35">
        <f>+'A) Base RI'!AM281</f>
        <v>65</v>
      </c>
      <c r="T281" s="2">
        <f t="shared" si="31"/>
        <v>66066703.849999994</v>
      </c>
      <c r="U281" s="2">
        <f t="shared" si="32"/>
        <v>1128562.492051282</v>
      </c>
      <c r="V281" s="10">
        <f>+'A) Base RI'!O281</f>
        <v>8095409.7000000002</v>
      </c>
      <c r="W281" s="10">
        <f>+'A) Base RI'!P281</f>
        <v>3972357.55</v>
      </c>
      <c r="X281" s="10">
        <f>+'A) Base RI'!R281</f>
        <v>3792148.65</v>
      </c>
      <c r="Y281" s="2">
        <f t="shared" si="33"/>
        <v>15859915.9</v>
      </c>
      <c r="Z281" s="10">
        <f>+'A) Base RI'!N281</f>
        <v>677240.75</v>
      </c>
      <c r="AA281" s="10">
        <f>+'A) Base RI'!S281+'A) Base RI'!T281</f>
        <v>0</v>
      </c>
      <c r="AB281" s="10">
        <f>+'A) Base RI'!U281</f>
        <v>98350</v>
      </c>
      <c r="AC281" s="10">
        <f>+'A) Base RI'!V281</f>
        <v>0</v>
      </c>
      <c r="AD281" s="10">
        <f>+'A) Base RI'!W281</f>
        <v>0</v>
      </c>
      <c r="AE281" s="10">
        <f>+'A) Base RI'!Y281</f>
        <v>0</v>
      </c>
      <c r="AF281" s="10">
        <f>+'A) Base RI'!Z281</f>
        <v>2580062</v>
      </c>
      <c r="AG281" s="10">
        <f>+'A) Base RI'!AA281</f>
        <v>0</v>
      </c>
      <c r="AH281" s="10">
        <f>+'A) Base RI'!AB281</f>
        <v>0</v>
      </c>
      <c r="AI281" s="10">
        <f>+'A) Base RI'!AC281</f>
        <v>3746335</v>
      </c>
      <c r="AJ281" s="10">
        <f>+'A) Base RI'!AD281</f>
        <v>0</v>
      </c>
      <c r="AK281" s="10">
        <f>+'A) Base RI'!AE281</f>
        <v>0</v>
      </c>
      <c r="AL281" s="10">
        <f>+'A) Base RI'!AF281</f>
        <v>0</v>
      </c>
      <c r="AM281" s="10">
        <f>+'A) Base RI'!AG281</f>
        <v>0</v>
      </c>
      <c r="AN281" s="10">
        <f>+'A) Base RI'!AH281</f>
        <v>0</v>
      </c>
      <c r="AO281" s="10">
        <f>+'A) Base RI'!AI281</f>
        <v>0</v>
      </c>
      <c r="AP281" s="10">
        <f>+'A) Base RI'!AJ281</f>
        <v>0</v>
      </c>
      <c r="AQ281" s="10">
        <f>+'A) Base RI'!AK281</f>
        <v>0</v>
      </c>
      <c r="AR281" s="10">
        <f>'A) Base RI'!AN281</f>
        <v>26653</v>
      </c>
    </row>
    <row r="282" spans="1:44" x14ac:dyDescent="0.25">
      <c r="A282" s="8">
        <f>'A) Base RI'!A282</f>
        <v>5888</v>
      </c>
      <c r="B282" s="34" t="str">
        <f>'A) Base RI'!B282</f>
        <v>Saint-Légier-La Chiésaz</v>
      </c>
      <c r="C282" s="10">
        <f>'A) Base RI'!C282+'A) Base RI'!D282</f>
        <v>17256489.400000002</v>
      </c>
      <c r="D282" s="10">
        <f>'A) Base RI'!AO282</f>
        <v>-202357.88</v>
      </c>
      <c r="E282" s="33">
        <f>'A) Base RI'!AP282</f>
        <v>0</v>
      </c>
      <c r="F282" s="33">
        <f>'A) Base RI'!AQ282</f>
        <v>-8942.5</v>
      </c>
      <c r="G282" s="2">
        <f t="shared" si="28"/>
        <v>17045189.020000003</v>
      </c>
      <c r="H282" s="10">
        <f>+'A) Base RI'!E282</f>
        <v>0</v>
      </c>
      <c r="I282" s="10">
        <f>+'A) Base RI'!F282</f>
        <v>0</v>
      </c>
      <c r="J282" s="10">
        <f>+'A) Base RI'!G282+'A) Base RI'!H282</f>
        <v>638865.1</v>
      </c>
      <c r="K282" s="10">
        <f>+'A) Base RI'!I282</f>
        <v>90942.84</v>
      </c>
      <c r="L282" s="10">
        <f>+'A) Base RI'!J282</f>
        <v>357068.75</v>
      </c>
      <c r="M282" s="10">
        <f>+'A) Base RI'!K282</f>
        <v>-6066.65</v>
      </c>
      <c r="N282" s="10">
        <f>+'A) Base RI'!Q282</f>
        <v>139599.91</v>
      </c>
      <c r="O282" s="10">
        <f t="shared" si="29"/>
        <v>1452616.8333333333</v>
      </c>
      <c r="P282" s="10">
        <f>+'A) Base RI'!L282</f>
        <v>1743140.2</v>
      </c>
      <c r="Q282" s="36">
        <f>'A) Base RI'!AR282</f>
        <v>1.2</v>
      </c>
      <c r="R282" s="2">
        <f t="shared" si="30"/>
        <v>19718215.803333338</v>
      </c>
      <c r="S282" s="35">
        <f>+'A) Base RI'!AM282</f>
        <v>67</v>
      </c>
      <c r="T282" s="2">
        <f t="shared" si="31"/>
        <v>18271665.620000005</v>
      </c>
      <c r="U282" s="2">
        <f t="shared" si="32"/>
        <v>294301.72840796027</v>
      </c>
      <c r="V282" s="10">
        <f>+'A) Base RI'!O282</f>
        <v>387548</v>
      </c>
      <c r="W282" s="10">
        <f>+'A) Base RI'!P282</f>
        <v>1047193.35</v>
      </c>
      <c r="X282" s="10">
        <f>+'A) Base RI'!R282</f>
        <v>482408.15</v>
      </c>
      <c r="Y282" s="2">
        <f t="shared" si="33"/>
        <v>1917149.5</v>
      </c>
      <c r="Z282" s="10">
        <f>+'A) Base RI'!N282</f>
        <v>154863.9</v>
      </c>
      <c r="AA282" s="10">
        <f>+'A) Base RI'!S282+'A) Base RI'!T282</f>
        <v>0</v>
      </c>
      <c r="AB282" s="10">
        <f>+'A) Base RI'!U282</f>
        <v>36250</v>
      </c>
      <c r="AC282" s="10">
        <f>+'A) Base RI'!V282</f>
        <v>0</v>
      </c>
      <c r="AD282" s="10">
        <f>+'A) Base RI'!W282</f>
        <v>0</v>
      </c>
      <c r="AE282" s="10">
        <f>+'A) Base RI'!Y282</f>
        <v>754616</v>
      </c>
      <c r="AF282" s="10">
        <f>+'A) Base RI'!Z282</f>
        <v>0</v>
      </c>
      <c r="AG282" s="10">
        <f>+'A) Base RI'!AA282</f>
        <v>741305.3</v>
      </c>
      <c r="AH282" s="10">
        <f>+'A) Base RI'!AB282</f>
        <v>1071087.8500000001</v>
      </c>
      <c r="AI282" s="10">
        <f>+'A) Base RI'!AC282</f>
        <v>369748.78</v>
      </c>
      <c r="AJ282" s="10">
        <f>+'A) Base RI'!AD282</f>
        <v>706424.25</v>
      </c>
      <c r="AK282" s="10">
        <f>+'A) Base RI'!AE282</f>
        <v>0</v>
      </c>
      <c r="AL282" s="10">
        <f>+'A) Base RI'!AF282</f>
        <v>0</v>
      </c>
      <c r="AM282" s="10">
        <f>+'A) Base RI'!AG282</f>
        <v>129856.3</v>
      </c>
      <c r="AN282" s="10">
        <f>+'A) Base RI'!AH282</f>
        <v>0</v>
      </c>
      <c r="AO282" s="10">
        <f>+'A) Base RI'!AI282</f>
        <v>0</v>
      </c>
      <c r="AP282" s="10">
        <f>+'A) Base RI'!AJ282</f>
        <v>0</v>
      </c>
      <c r="AQ282" s="10">
        <f>+'A) Base RI'!AK282</f>
        <v>0</v>
      </c>
      <c r="AR282" s="10">
        <f>'A) Base RI'!AN282</f>
        <v>5167</v>
      </c>
    </row>
    <row r="283" spans="1:44" x14ac:dyDescent="0.25">
      <c r="A283" s="8">
        <f>'A) Base RI'!A283</f>
        <v>5889</v>
      </c>
      <c r="B283" s="34" t="str">
        <f>'A) Base RI'!B283</f>
        <v>La Tour-de-Peilz</v>
      </c>
      <c r="C283" s="10">
        <f>'A) Base RI'!C283+'A) Base RI'!D283</f>
        <v>32041337.009999998</v>
      </c>
      <c r="D283" s="10">
        <f>'A) Base RI'!AO283</f>
        <v>-394446.37</v>
      </c>
      <c r="E283" s="33">
        <f>'A) Base RI'!AP283</f>
        <v>0</v>
      </c>
      <c r="F283" s="33">
        <f>'A) Base RI'!AQ283</f>
        <v>-84398.75</v>
      </c>
      <c r="G283" s="2">
        <f t="shared" si="28"/>
        <v>31562491.889999997</v>
      </c>
      <c r="H283" s="10">
        <f>+'A) Base RI'!E283</f>
        <v>0</v>
      </c>
      <c r="I283" s="10">
        <f>+'A) Base RI'!F283</f>
        <v>0</v>
      </c>
      <c r="J283" s="10">
        <f>+'A) Base RI'!G283+'A) Base RI'!H283</f>
        <v>6326970.4000000004</v>
      </c>
      <c r="K283" s="10">
        <f>+'A) Base RI'!I283</f>
        <v>919774.08</v>
      </c>
      <c r="L283" s="10">
        <f>+'A) Base RI'!J283</f>
        <v>1352330.25</v>
      </c>
      <c r="M283" s="10">
        <f>+'A) Base RI'!K283</f>
        <v>188269.6</v>
      </c>
      <c r="N283" s="10">
        <f>+'A) Base RI'!Q283</f>
        <v>118064.7</v>
      </c>
      <c r="O283" s="10">
        <f t="shared" si="29"/>
        <v>2166725.4583333335</v>
      </c>
      <c r="P283" s="10">
        <f>+'A) Base RI'!L283</f>
        <v>2600070.5499999998</v>
      </c>
      <c r="Q283" s="36">
        <f>'A) Base RI'!AR283</f>
        <v>1.2</v>
      </c>
      <c r="R283" s="2">
        <f t="shared" si="30"/>
        <v>42634626.378333338</v>
      </c>
      <c r="S283" s="35">
        <f>+'A) Base RI'!AM283</f>
        <v>64</v>
      </c>
      <c r="T283" s="2">
        <f t="shared" si="31"/>
        <v>40279631.32</v>
      </c>
      <c r="U283" s="2">
        <f t="shared" si="32"/>
        <v>666166.0371614584</v>
      </c>
      <c r="V283" s="10">
        <f>+'A) Base RI'!O283</f>
        <v>294441.2</v>
      </c>
      <c r="W283" s="10">
        <f>+'A) Base RI'!P283</f>
        <v>2117848.35</v>
      </c>
      <c r="X283" s="10">
        <f>+'A) Base RI'!R283</f>
        <v>1102536.1000000001</v>
      </c>
      <c r="Y283" s="2">
        <f t="shared" si="33"/>
        <v>3514825.6500000004</v>
      </c>
      <c r="Z283" s="10">
        <f>+'A) Base RI'!N283</f>
        <v>130445.55</v>
      </c>
      <c r="AA283" s="10">
        <f>+'A) Base RI'!S283+'A) Base RI'!T283</f>
        <v>0</v>
      </c>
      <c r="AB283" s="10">
        <f>+'A) Base RI'!U283</f>
        <v>39250</v>
      </c>
      <c r="AC283" s="10">
        <f>+'A) Base RI'!V283</f>
        <v>0</v>
      </c>
      <c r="AD283" s="10">
        <f>+'A) Base RI'!W283</f>
        <v>513616.05</v>
      </c>
      <c r="AE283" s="10">
        <f>+'A) Base RI'!Y283</f>
        <v>22045.1</v>
      </c>
      <c r="AF283" s="10">
        <f>+'A) Base RI'!Z283</f>
        <v>0</v>
      </c>
      <c r="AG283" s="10">
        <f>+'A) Base RI'!AA283</f>
        <v>883981.3</v>
      </c>
      <c r="AH283" s="10">
        <f>+'A) Base RI'!AB283</f>
        <v>1792842.7</v>
      </c>
      <c r="AI283" s="10">
        <f>+'A) Base RI'!AC283</f>
        <v>1173482.1100000001</v>
      </c>
      <c r="AJ283" s="10">
        <f>+'A) Base RI'!AD283</f>
        <v>0</v>
      </c>
      <c r="AK283" s="10">
        <f>+'A) Base RI'!AE283</f>
        <v>0</v>
      </c>
      <c r="AL283" s="10">
        <f>+'A) Base RI'!AF283</f>
        <v>0</v>
      </c>
      <c r="AM283" s="10">
        <f>+'A) Base RI'!AG283</f>
        <v>0</v>
      </c>
      <c r="AN283" s="10">
        <f>+'A) Base RI'!AH283</f>
        <v>229846.39999999999</v>
      </c>
      <c r="AO283" s="10">
        <f>+'A) Base RI'!AI283</f>
        <v>0</v>
      </c>
      <c r="AP283" s="10">
        <f>+'A) Base RI'!AJ283</f>
        <v>0</v>
      </c>
      <c r="AQ283" s="10">
        <f>+'A) Base RI'!AK283</f>
        <v>0</v>
      </c>
      <c r="AR283" s="10">
        <f>'A) Base RI'!AN283</f>
        <v>11779</v>
      </c>
    </row>
    <row r="284" spans="1:44" x14ac:dyDescent="0.25">
      <c r="A284" s="8">
        <f>'A) Base RI'!A284</f>
        <v>5890</v>
      </c>
      <c r="B284" s="34" t="str">
        <f>'A) Base RI'!B284</f>
        <v>Vevey</v>
      </c>
      <c r="C284" s="10">
        <f>'A) Base RI'!C284+'A) Base RI'!D284</f>
        <v>42144236.050000004</v>
      </c>
      <c r="D284" s="10">
        <f>'A) Base RI'!AO284</f>
        <v>-1079319.3999999999</v>
      </c>
      <c r="E284" s="33">
        <f>'A) Base RI'!AP284</f>
        <v>0</v>
      </c>
      <c r="F284" s="33">
        <f>'A) Base RI'!AQ284</f>
        <v>-100162.21</v>
      </c>
      <c r="G284" s="2">
        <f t="shared" si="28"/>
        <v>40964754.440000005</v>
      </c>
      <c r="H284" s="10">
        <f>+'A) Base RI'!E284</f>
        <v>0</v>
      </c>
      <c r="I284" s="10">
        <f>+'A) Base RI'!F284</f>
        <v>0</v>
      </c>
      <c r="J284" s="10">
        <f>+'A) Base RI'!G284+'A) Base RI'!H284</f>
        <v>21042364.149999999</v>
      </c>
      <c r="K284" s="10">
        <f>+'A) Base RI'!I284</f>
        <v>532328.87</v>
      </c>
      <c r="L284" s="10">
        <f>+'A) Base RI'!J284</f>
        <v>4596329.45</v>
      </c>
      <c r="M284" s="10">
        <f>+'A) Base RI'!K284</f>
        <v>546173.19999999995</v>
      </c>
      <c r="N284" s="10">
        <f>+'A) Base RI'!Q284</f>
        <v>142962.25</v>
      </c>
      <c r="O284" s="10">
        <f t="shared" si="29"/>
        <v>3427339.2666666671</v>
      </c>
      <c r="P284" s="10">
        <f>+'A) Base RI'!L284</f>
        <v>5141008.9000000004</v>
      </c>
      <c r="Q284" s="36">
        <f>'A) Base RI'!AR284</f>
        <v>1.5</v>
      </c>
      <c r="R284" s="2">
        <f t="shared" si="30"/>
        <v>71252251.626666665</v>
      </c>
      <c r="S284" s="35">
        <f>+'A) Base RI'!AM284</f>
        <v>73</v>
      </c>
      <c r="T284" s="2">
        <f t="shared" si="31"/>
        <v>67278739.159999996</v>
      </c>
      <c r="U284" s="2">
        <f t="shared" si="32"/>
        <v>976058.24146118714</v>
      </c>
      <c r="V284" s="10">
        <f>+'A) Base RI'!O284</f>
        <v>3914517.8</v>
      </c>
      <c r="W284" s="10">
        <f>+'A) Base RI'!P284</f>
        <v>1147833.8999999999</v>
      </c>
      <c r="X284" s="10">
        <f>+'A) Base RI'!R284</f>
        <v>530230.4</v>
      </c>
      <c r="Y284" s="2">
        <f t="shared" si="33"/>
        <v>5592582.0999999996</v>
      </c>
      <c r="Z284" s="10">
        <f>+'A) Base RI'!N284</f>
        <v>904038.35</v>
      </c>
      <c r="AA284" s="10">
        <f>+'A) Base RI'!S284+'A) Base RI'!T284</f>
        <v>0</v>
      </c>
      <c r="AB284" s="10">
        <f>+'A) Base RI'!U284</f>
        <v>55650</v>
      </c>
      <c r="AC284" s="10">
        <f>+'A) Base RI'!V284</f>
        <v>0</v>
      </c>
      <c r="AD284" s="10">
        <f>+'A) Base RI'!W284</f>
        <v>0</v>
      </c>
      <c r="AE284" s="10">
        <f>+'A) Base RI'!Y284</f>
        <v>0</v>
      </c>
      <c r="AF284" s="10">
        <f>+'A) Base RI'!Z284</f>
        <v>0</v>
      </c>
      <c r="AG284" s="10">
        <f>+'A) Base RI'!AA284</f>
        <v>933261.8</v>
      </c>
      <c r="AH284" s="10">
        <f>+'A) Base RI'!AB284</f>
        <v>0</v>
      </c>
      <c r="AI284" s="10">
        <f>+'A) Base RI'!AC284</f>
        <v>1263861.48</v>
      </c>
      <c r="AJ284" s="10">
        <f>+'A) Base RI'!AD284</f>
        <v>0</v>
      </c>
      <c r="AK284" s="10">
        <f>+'A) Base RI'!AE284</f>
        <v>0</v>
      </c>
      <c r="AL284" s="10">
        <f>+'A) Base RI'!AF284</f>
        <v>0</v>
      </c>
      <c r="AM284" s="10">
        <f>+'A) Base RI'!AG284</f>
        <v>0</v>
      </c>
      <c r="AN284" s="10">
        <f>+'A) Base RI'!AH284</f>
        <v>680743.8</v>
      </c>
      <c r="AO284" s="10">
        <f>+'A) Base RI'!AI284</f>
        <v>0</v>
      </c>
      <c r="AP284" s="10">
        <f>+'A) Base RI'!AJ284</f>
        <v>193641.1</v>
      </c>
      <c r="AQ284" s="10">
        <f>+'A) Base RI'!AK284</f>
        <v>0</v>
      </c>
      <c r="AR284" s="10">
        <f>'A) Base RI'!AN284</f>
        <v>19829</v>
      </c>
    </row>
    <row r="285" spans="1:44" x14ac:dyDescent="0.25">
      <c r="A285" s="8">
        <f>'A) Base RI'!A285</f>
        <v>5891</v>
      </c>
      <c r="B285" s="34" t="str">
        <f>'A) Base RI'!B285</f>
        <v>Veytaux</v>
      </c>
      <c r="C285" s="10">
        <f>'A) Base RI'!C285+'A) Base RI'!D285</f>
        <v>2070261.3</v>
      </c>
      <c r="D285" s="10">
        <f>'A) Base RI'!AO285</f>
        <v>-60678.64</v>
      </c>
      <c r="E285" s="33">
        <f>'A) Base RI'!AP285</f>
        <v>0</v>
      </c>
      <c r="F285" s="33">
        <f>'A) Base RI'!AQ285</f>
        <v>-1060.32</v>
      </c>
      <c r="G285" s="2">
        <f t="shared" si="28"/>
        <v>2008522.34</v>
      </c>
      <c r="H285" s="10">
        <f>+'A) Base RI'!E285</f>
        <v>0</v>
      </c>
      <c r="I285" s="10">
        <f>+'A) Base RI'!F285</f>
        <v>0</v>
      </c>
      <c r="J285" s="10">
        <f>+'A) Base RI'!G285+'A) Base RI'!H285</f>
        <v>62628.65</v>
      </c>
      <c r="K285" s="10">
        <f>+'A) Base RI'!I285</f>
        <v>57838.65</v>
      </c>
      <c r="L285" s="10">
        <f>+'A) Base RI'!J285</f>
        <v>57552</v>
      </c>
      <c r="M285" s="10">
        <f>+'A) Base RI'!K285</f>
        <v>-12841.9</v>
      </c>
      <c r="N285" s="10">
        <f>+'A) Base RI'!Q285</f>
        <v>21048.67</v>
      </c>
      <c r="O285" s="10">
        <f t="shared" si="29"/>
        <v>236002.66666666669</v>
      </c>
      <c r="P285" s="10">
        <f>+'A) Base RI'!L285</f>
        <v>283203.20000000001</v>
      </c>
      <c r="Q285" s="36">
        <f>'A) Base RI'!AR285</f>
        <v>1.2</v>
      </c>
      <c r="R285" s="2">
        <f t="shared" si="30"/>
        <v>2430751.0766666667</v>
      </c>
      <c r="S285" s="35">
        <f>+'A) Base RI'!AM285</f>
        <v>69</v>
      </c>
      <c r="T285" s="2">
        <f t="shared" si="31"/>
        <v>2207590.31</v>
      </c>
      <c r="U285" s="2">
        <f t="shared" si="32"/>
        <v>35228.276473429949</v>
      </c>
      <c r="V285" s="10">
        <f>+'A) Base RI'!O285</f>
        <v>10395</v>
      </c>
      <c r="W285" s="10">
        <f>+'A) Base RI'!P285</f>
        <v>182197.4</v>
      </c>
      <c r="X285" s="10">
        <f>+'A) Base RI'!R285</f>
        <v>50754.9</v>
      </c>
      <c r="Y285" s="2">
        <f t="shared" si="33"/>
        <v>243347.3</v>
      </c>
      <c r="Z285" s="10">
        <f>+'A) Base RI'!N285</f>
        <v>0</v>
      </c>
      <c r="AA285" s="10">
        <f>+'A) Base RI'!S285+'A) Base RI'!T285</f>
        <v>0</v>
      </c>
      <c r="AB285" s="10">
        <f>+'A) Base RI'!U285</f>
        <v>4950</v>
      </c>
      <c r="AC285" s="10">
        <f>+'A) Base RI'!V285</f>
        <v>262746</v>
      </c>
      <c r="AD285" s="10">
        <f>+'A) Base RI'!W285</f>
        <v>0</v>
      </c>
      <c r="AE285" s="10">
        <f>+'A) Base RI'!Y285</f>
        <v>20423.599999999999</v>
      </c>
      <c r="AF285" s="10">
        <f>+'A) Base RI'!Z285</f>
        <v>0</v>
      </c>
      <c r="AG285" s="10">
        <f>+'A) Base RI'!AA285</f>
        <v>49920.9</v>
      </c>
      <c r="AH285" s="10">
        <f>+'A) Base RI'!AB285</f>
        <v>0</v>
      </c>
      <c r="AI285" s="10">
        <f>+'A) Base RI'!AC285</f>
        <v>87839.61</v>
      </c>
      <c r="AJ285" s="10">
        <f>+'A) Base RI'!AD285</f>
        <v>0</v>
      </c>
      <c r="AK285" s="10">
        <f>+'A) Base RI'!AE285</f>
        <v>0</v>
      </c>
      <c r="AL285" s="10">
        <f>+'A) Base RI'!AF285</f>
        <v>0</v>
      </c>
      <c r="AM285" s="10">
        <f>+'A) Base RI'!AG285</f>
        <v>0</v>
      </c>
      <c r="AN285" s="10">
        <f>+'A) Base RI'!AH285</f>
        <v>42987.55</v>
      </c>
      <c r="AO285" s="10">
        <f>+'A) Base RI'!AI285</f>
        <v>0</v>
      </c>
      <c r="AP285" s="10">
        <f>+'A) Base RI'!AJ285</f>
        <v>0</v>
      </c>
      <c r="AQ285" s="10">
        <f>+'A) Base RI'!AK285</f>
        <v>12553.6</v>
      </c>
      <c r="AR285" s="10">
        <f>'A) Base RI'!AN285</f>
        <v>870</v>
      </c>
    </row>
    <row r="286" spans="1:44" x14ac:dyDescent="0.25">
      <c r="A286" s="8">
        <f>'A) Base RI'!A286</f>
        <v>5902</v>
      </c>
      <c r="B286" s="34" t="str">
        <f>'A) Base RI'!B286</f>
        <v>Belmont-sur-Yverdon</v>
      </c>
      <c r="C286" s="10">
        <f>'A) Base RI'!C286+'A) Base RI'!D286</f>
        <v>688200.2</v>
      </c>
      <c r="D286" s="10">
        <f>'A) Base RI'!AO286</f>
        <v>-8.65</v>
      </c>
      <c r="E286" s="33">
        <f>'A) Base RI'!AP286</f>
        <v>0</v>
      </c>
      <c r="F286" s="33">
        <f>'A) Base RI'!AQ286</f>
        <v>0</v>
      </c>
      <c r="G286" s="2">
        <f t="shared" si="28"/>
        <v>688191.54999999993</v>
      </c>
      <c r="H286" s="10">
        <f>+'A) Base RI'!E286</f>
        <v>0</v>
      </c>
      <c r="I286" s="10">
        <f>+'A) Base RI'!F286</f>
        <v>0</v>
      </c>
      <c r="J286" s="10">
        <f>+'A) Base RI'!G286+'A) Base RI'!H286</f>
        <v>3696.4</v>
      </c>
      <c r="K286" s="10">
        <f>+'A) Base RI'!I286</f>
        <v>0</v>
      </c>
      <c r="L286" s="10">
        <f>+'A) Base RI'!J286</f>
        <v>8882.9500000000007</v>
      </c>
      <c r="M286" s="10">
        <f>+'A) Base RI'!K286</f>
        <v>-84.5</v>
      </c>
      <c r="N286" s="10">
        <f>+'A) Base RI'!Q286</f>
        <v>0</v>
      </c>
      <c r="O286" s="10">
        <f t="shared" si="29"/>
        <v>52127.9</v>
      </c>
      <c r="P286" s="10">
        <f>+'A) Base RI'!L286</f>
        <v>52127.9</v>
      </c>
      <c r="Q286" s="36">
        <f>'A) Base RI'!AR286</f>
        <v>1</v>
      </c>
      <c r="R286" s="2">
        <f t="shared" si="30"/>
        <v>752814.29999999993</v>
      </c>
      <c r="S286" s="35">
        <f>+'A) Base RI'!AM286</f>
        <v>76</v>
      </c>
      <c r="T286" s="2">
        <f t="shared" si="31"/>
        <v>700770.89999999991</v>
      </c>
      <c r="U286" s="2">
        <f t="shared" si="32"/>
        <v>9905.4513157894726</v>
      </c>
      <c r="V286" s="10">
        <f>+'A) Base RI'!O286</f>
        <v>0</v>
      </c>
      <c r="W286" s="10">
        <f>+'A) Base RI'!P286</f>
        <v>32761.85</v>
      </c>
      <c r="X286" s="10">
        <f>+'A) Base RI'!R286</f>
        <v>30670.85</v>
      </c>
      <c r="Y286" s="2">
        <f t="shared" si="33"/>
        <v>63432.7</v>
      </c>
      <c r="Z286" s="10">
        <f>+'A) Base RI'!N286</f>
        <v>0</v>
      </c>
      <c r="AA286" s="10">
        <f>+'A) Base RI'!S286+'A) Base RI'!T286</f>
        <v>300</v>
      </c>
      <c r="AB286" s="10">
        <f>+'A) Base RI'!U286</f>
        <v>4450</v>
      </c>
      <c r="AC286" s="10">
        <f>+'A) Base RI'!V286</f>
        <v>0</v>
      </c>
      <c r="AD286" s="10">
        <f>+'A) Base RI'!W286</f>
        <v>0</v>
      </c>
      <c r="AE286" s="10">
        <f>+'A) Base RI'!Y286</f>
        <v>0</v>
      </c>
      <c r="AF286" s="10">
        <f>+'A) Base RI'!Z286</f>
        <v>0</v>
      </c>
      <c r="AG286" s="10">
        <f>+'A) Base RI'!AA286</f>
        <v>68332.2</v>
      </c>
      <c r="AH286" s="10">
        <f>+'A) Base RI'!AB286</f>
        <v>0</v>
      </c>
      <c r="AI286" s="10">
        <f>+'A) Base RI'!AC286</f>
        <v>22735.439999999999</v>
      </c>
      <c r="AJ286" s="10">
        <f>+'A) Base RI'!AD286</f>
        <v>36</v>
      </c>
      <c r="AK286" s="10">
        <f>+'A) Base RI'!AE286</f>
        <v>0</v>
      </c>
      <c r="AL286" s="10">
        <f>+'A) Base RI'!AF286</f>
        <v>0</v>
      </c>
      <c r="AM286" s="10">
        <f>+'A) Base RI'!AG286</f>
        <v>0</v>
      </c>
      <c r="AN286" s="10">
        <f>+'A) Base RI'!AH286</f>
        <v>0</v>
      </c>
      <c r="AO286" s="10">
        <f>+'A) Base RI'!AI286</f>
        <v>0</v>
      </c>
      <c r="AP286" s="10">
        <f>+'A) Base RI'!AJ286</f>
        <v>0</v>
      </c>
      <c r="AQ286" s="10">
        <f>+'A) Base RI'!AK286</f>
        <v>0</v>
      </c>
      <c r="AR286" s="10">
        <f>'A) Base RI'!AN286</f>
        <v>378</v>
      </c>
    </row>
    <row r="287" spans="1:44" x14ac:dyDescent="0.25">
      <c r="A287" s="8">
        <f>'A) Base RI'!A287</f>
        <v>5903</v>
      </c>
      <c r="B287" s="34" t="str">
        <f>'A) Base RI'!B287</f>
        <v>Bioley-Magnoux</v>
      </c>
      <c r="C287" s="10">
        <f>'A) Base RI'!C287+'A) Base RI'!D287</f>
        <v>397089.19</v>
      </c>
      <c r="D287" s="10">
        <f>'A) Base RI'!AO287</f>
        <v>-172.76</v>
      </c>
      <c r="E287" s="33">
        <f>'A) Base RI'!AP287</f>
        <v>0</v>
      </c>
      <c r="F287" s="33">
        <f>'A) Base RI'!AQ287</f>
        <v>0</v>
      </c>
      <c r="G287" s="2">
        <f t="shared" si="28"/>
        <v>396916.43</v>
      </c>
      <c r="H287" s="10">
        <f>+'A) Base RI'!E287</f>
        <v>0</v>
      </c>
      <c r="I287" s="10">
        <f>+'A) Base RI'!F287</f>
        <v>0</v>
      </c>
      <c r="J287" s="10">
        <f>+'A) Base RI'!G287+'A) Base RI'!H287</f>
        <v>9652.65</v>
      </c>
      <c r="K287" s="10">
        <f>+'A) Base RI'!I287</f>
        <v>0</v>
      </c>
      <c r="L287" s="10">
        <f>+'A) Base RI'!J287</f>
        <v>2401.9299999999998</v>
      </c>
      <c r="M287" s="10">
        <f>+'A) Base RI'!K287</f>
        <v>0</v>
      </c>
      <c r="N287" s="10">
        <f>+'A) Base RI'!Q287</f>
        <v>0</v>
      </c>
      <c r="O287" s="10">
        <f t="shared" si="29"/>
        <v>33539.857142857145</v>
      </c>
      <c r="P287" s="10">
        <f>+'A) Base RI'!L287</f>
        <v>23477.9</v>
      </c>
      <c r="Q287" s="36">
        <f>'A) Base RI'!AR287</f>
        <v>0.7</v>
      </c>
      <c r="R287" s="2">
        <f t="shared" si="30"/>
        <v>442510.86714285717</v>
      </c>
      <c r="S287" s="35">
        <f>+'A) Base RI'!AM287</f>
        <v>74</v>
      </c>
      <c r="T287" s="2">
        <f t="shared" si="31"/>
        <v>408971.01</v>
      </c>
      <c r="U287" s="2">
        <f t="shared" si="32"/>
        <v>5979.8765830115835</v>
      </c>
      <c r="V287" s="10">
        <f>+'A) Base RI'!O287</f>
        <v>0</v>
      </c>
      <c r="W287" s="10">
        <f>+'A) Base RI'!P287</f>
        <v>13707.75</v>
      </c>
      <c r="X287" s="10">
        <f>+'A) Base RI'!R287</f>
        <v>13292.75</v>
      </c>
      <c r="Y287" s="2">
        <f t="shared" si="33"/>
        <v>27000.5</v>
      </c>
      <c r="Z287" s="10">
        <f>+'A) Base RI'!N287</f>
        <v>6652.7</v>
      </c>
      <c r="AA287" s="10">
        <f>+'A) Base RI'!S287+'A) Base RI'!T287</f>
        <v>0</v>
      </c>
      <c r="AB287" s="10">
        <f>+'A) Base RI'!U287</f>
        <v>1200</v>
      </c>
      <c r="AC287" s="10">
        <f>+'A) Base RI'!V287</f>
        <v>0</v>
      </c>
      <c r="AD287" s="10">
        <f>+'A) Base RI'!W287</f>
        <v>0</v>
      </c>
      <c r="AE287" s="10">
        <f>+'A) Base RI'!Y287</f>
        <v>0</v>
      </c>
      <c r="AF287" s="10">
        <f>+'A) Base RI'!Z287</f>
        <v>0</v>
      </c>
      <c r="AG287" s="10">
        <f>+'A) Base RI'!AA287</f>
        <v>15283.35</v>
      </c>
      <c r="AH287" s="10">
        <f>+'A) Base RI'!AB287</f>
        <v>0</v>
      </c>
      <c r="AI287" s="10">
        <f>+'A) Base RI'!AC287</f>
        <v>7991.85</v>
      </c>
      <c r="AJ287" s="10">
        <f>+'A) Base RI'!AD287</f>
        <v>0</v>
      </c>
      <c r="AK287" s="10">
        <f>+'A) Base RI'!AE287</f>
        <v>0</v>
      </c>
      <c r="AL287" s="10">
        <f>+'A) Base RI'!AF287</f>
        <v>0</v>
      </c>
      <c r="AM287" s="10">
        <f>+'A) Base RI'!AG287</f>
        <v>0</v>
      </c>
      <c r="AN287" s="10">
        <f>+'A) Base RI'!AH287</f>
        <v>0</v>
      </c>
      <c r="AO287" s="10">
        <f>+'A) Base RI'!AI287</f>
        <v>0</v>
      </c>
      <c r="AP287" s="10">
        <f>+'A) Base RI'!AJ287</f>
        <v>0</v>
      </c>
      <c r="AQ287" s="10">
        <f>+'A) Base RI'!AK287</f>
        <v>0</v>
      </c>
      <c r="AR287" s="10">
        <f>'A) Base RI'!AN287</f>
        <v>225</v>
      </c>
    </row>
    <row r="288" spans="1:44" x14ac:dyDescent="0.25">
      <c r="A288" s="8">
        <f>'A) Base RI'!A288</f>
        <v>5904</v>
      </c>
      <c r="B288" s="34" t="str">
        <f>'A) Base RI'!B288</f>
        <v>Chamblon</v>
      </c>
      <c r="C288" s="10">
        <f>'A) Base RI'!C288+'A) Base RI'!D288</f>
        <v>1324448.5100000002</v>
      </c>
      <c r="D288" s="10">
        <f>'A) Base RI'!AO288</f>
        <v>-24375.13</v>
      </c>
      <c r="E288" s="33">
        <f>'A) Base RI'!AP288</f>
        <v>0</v>
      </c>
      <c r="F288" s="33">
        <f>'A) Base RI'!AQ288</f>
        <v>-11.68</v>
      </c>
      <c r="G288" s="2">
        <f t="shared" si="28"/>
        <v>1300061.7000000004</v>
      </c>
      <c r="H288" s="10">
        <f>+'A) Base RI'!E288</f>
        <v>0</v>
      </c>
      <c r="I288" s="10">
        <f>+'A) Base RI'!F288</f>
        <v>0</v>
      </c>
      <c r="J288" s="10">
        <f>+'A) Base RI'!G288+'A) Base RI'!H288</f>
        <v>13961.35</v>
      </c>
      <c r="K288" s="10">
        <f>+'A) Base RI'!I288</f>
        <v>0</v>
      </c>
      <c r="L288" s="10">
        <f>+'A) Base RI'!J288</f>
        <v>24088.22</v>
      </c>
      <c r="M288" s="10">
        <f>+'A) Base RI'!K288</f>
        <v>2914.15</v>
      </c>
      <c r="N288" s="10">
        <f>+'A) Base RI'!Q288</f>
        <v>0</v>
      </c>
      <c r="O288" s="10">
        <f t="shared" si="29"/>
        <v>92722</v>
      </c>
      <c r="P288" s="10">
        <f>+'A) Base RI'!L288</f>
        <v>92722</v>
      </c>
      <c r="Q288" s="36">
        <f>'A) Base RI'!AR288</f>
        <v>1</v>
      </c>
      <c r="R288" s="2">
        <f t="shared" si="30"/>
        <v>1433747.4200000004</v>
      </c>
      <c r="S288" s="35">
        <f>+'A) Base RI'!AM288</f>
        <v>66</v>
      </c>
      <c r="T288" s="2">
        <f t="shared" si="31"/>
        <v>1338111.2700000005</v>
      </c>
      <c r="U288" s="2">
        <f t="shared" si="32"/>
        <v>21723.445757575762</v>
      </c>
      <c r="V288" s="10">
        <f>+'A) Base RI'!O288</f>
        <v>4058.8</v>
      </c>
      <c r="W288" s="10">
        <f>+'A) Base RI'!P288</f>
        <v>71951</v>
      </c>
      <c r="X288" s="10">
        <f>+'A) Base RI'!R288</f>
        <v>7540.6</v>
      </c>
      <c r="Y288" s="2">
        <f t="shared" si="33"/>
        <v>83550.400000000009</v>
      </c>
      <c r="Z288" s="10">
        <f>+'A) Base RI'!N288</f>
        <v>31716.6</v>
      </c>
      <c r="AA288" s="10">
        <f>+'A) Base RI'!S288+'A) Base RI'!T288</f>
        <v>147.25</v>
      </c>
      <c r="AB288" s="10">
        <f>+'A) Base RI'!U288</f>
        <v>3900</v>
      </c>
      <c r="AC288" s="10">
        <f>+'A) Base RI'!V288</f>
        <v>0</v>
      </c>
      <c r="AD288" s="10">
        <f>+'A) Base RI'!W288</f>
        <v>0</v>
      </c>
      <c r="AE288" s="10">
        <f>+'A) Base RI'!Y288</f>
        <v>4373.5</v>
      </c>
      <c r="AF288" s="10">
        <f>+'A) Base RI'!Z288</f>
        <v>0</v>
      </c>
      <c r="AG288" s="10">
        <f>+'A) Base RI'!AA288</f>
        <v>77286.2</v>
      </c>
      <c r="AH288" s="10">
        <f>+'A) Base RI'!AB288</f>
        <v>0</v>
      </c>
      <c r="AI288" s="10">
        <f>+'A) Base RI'!AC288</f>
        <v>36669.199999999997</v>
      </c>
      <c r="AJ288" s="10">
        <f>+'A) Base RI'!AD288</f>
        <v>7605</v>
      </c>
      <c r="AK288" s="10">
        <f>+'A) Base RI'!AE288</f>
        <v>0</v>
      </c>
      <c r="AL288" s="10">
        <f>+'A) Base RI'!AF288</f>
        <v>0</v>
      </c>
      <c r="AM288" s="10">
        <f>+'A) Base RI'!AG288</f>
        <v>0</v>
      </c>
      <c r="AN288" s="10">
        <f>+'A) Base RI'!AH288</f>
        <v>22933.1</v>
      </c>
      <c r="AO288" s="10">
        <f>+'A) Base RI'!AI288</f>
        <v>0</v>
      </c>
      <c r="AP288" s="10">
        <f>+'A) Base RI'!AJ288</f>
        <v>0</v>
      </c>
      <c r="AQ288" s="10">
        <f>+'A) Base RI'!AK288</f>
        <v>0</v>
      </c>
      <c r="AR288" s="10">
        <f>'A) Base RI'!AN288</f>
        <v>534</v>
      </c>
    </row>
    <row r="289" spans="1:44" x14ac:dyDescent="0.25">
      <c r="A289" s="8">
        <f>'A) Base RI'!A289</f>
        <v>5905</v>
      </c>
      <c r="B289" s="34" t="str">
        <f>'A) Base RI'!B289</f>
        <v>Champvent</v>
      </c>
      <c r="C289" s="10">
        <f>'A) Base RI'!C289+'A) Base RI'!D289</f>
        <v>1313203.4099999999</v>
      </c>
      <c r="D289" s="10">
        <f>'A) Base RI'!AO289</f>
        <v>-4229.2</v>
      </c>
      <c r="E289" s="33">
        <f>'A) Base RI'!AP289</f>
        <v>0</v>
      </c>
      <c r="F289" s="33">
        <f>'A) Base RI'!AQ289</f>
        <v>-7.32</v>
      </c>
      <c r="G289" s="2">
        <f t="shared" si="28"/>
        <v>1308966.8899999999</v>
      </c>
      <c r="H289" s="10">
        <f>+'A) Base RI'!E289</f>
        <v>0</v>
      </c>
      <c r="I289" s="10">
        <f>+'A) Base RI'!F289</f>
        <v>0</v>
      </c>
      <c r="J289" s="10">
        <f>+'A) Base RI'!G289+'A) Base RI'!H289</f>
        <v>203685.35</v>
      </c>
      <c r="K289" s="10">
        <f>+'A) Base RI'!I289</f>
        <v>0</v>
      </c>
      <c r="L289" s="10">
        <f>+'A) Base RI'!J289</f>
        <v>41043.230000000003</v>
      </c>
      <c r="M289" s="10">
        <f>+'A) Base RI'!K289</f>
        <v>855.3</v>
      </c>
      <c r="N289" s="10">
        <f>+'A) Base RI'!Q289</f>
        <v>2804.22</v>
      </c>
      <c r="O289" s="10">
        <f t="shared" si="29"/>
        <v>95315.65</v>
      </c>
      <c r="P289" s="10">
        <f>+'A) Base RI'!L289</f>
        <v>95315.65</v>
      </c>
      <c r="Q289" s="36">
        <f>'A) Base RI'!AR289</f>
        <v>1</v>
      </c>
      <c r="R289" s="2">
        <f t="shared" si="30"/>
        <v>1652670.64</v>
      </c>
      <c r="S289" s="35">
        <f>+'A) Base RI'!AM289</f>
        <v>71</v>
      </c>
      <c r="T289" s="2">
        <f t="shared" si="31"/>
        <v>1556499.69</v>
      </c>
      <c r="U289" s="2">
        <f t="shared" si="32"/>
        <v>23277.051267605631</v>
      </c>
      <c r="V289" s="10">
        <f>+'A) Base RI'!O289</f>
        <v>0</v>
      </c>
      <c r="W289" s="10">
        <f>+'A) Base RI'!P289</f>
        <v>36061.1</v>
      </c>
      <c r="X289" s="10">
        <f>+'A) Base RI'!R289</f>
        <v>12873.75</v>
      </c>
      <c r="Y289" s="2">
        <f t="shared" si="33"/>
        <v>48934.85</v>
      </c>
      <c r="Z289" s="10">
        <f>+'A) Base RI'!N289</f>
        <v>111826.35</v>
      </c>
      <c r="AA289" s="10">
        <f>+'A) Base RI'!S289+'A) Base RI'!T289</f>
        <v>0</v>
      </c>
      <c r="AB289" s="10">
        <f>+'A) Base RI'!U289</f>
        <v>0</v>
      </c>
      <c r="AC289" s="10">
        <f>+'A) Base RI'!V289</f>
        <v>0</v>
      </c>
      <c r="AD289" s="10">
        <f>+'A) Base RI'!W289</f>
        <v>0</v>
      </c>
      <c r="AE289" s="10">
        <f>+'A) Base RI'!Y289</f>
        <v>3579.65</v>
      </c>
      <c r="AF289" s="10">
        <f>+'A) Base RI'!Z289</f>
        <v>11836.15</v>
      </c>
      <c r="AG289" s="10">
        <f>+'A) Base RI'!AA289</f>
        <v>95053.94</v>
      </c>
      <c r="AH289" s="10">
        <f>+'A) Base RI'!AB289</f>
        <v>0</v>
      </c>
      <c r="AI289" s="10">
        <f>+'A) Base RI'!AC289</f>
        <v>0</v>
      </c>
      <c r="AJ289" s="10">
        <f>+'A) Base RI'!AD289</f>
        <v>0</v>
      </c>
      <c r="AK289" s="10">
        <f>+'A) Base RI'!AE289</f>
        <v>0</v>
      </c>
      <c r="AL289" s="10">
        <f>+'A) Base RI'!AF289</f>
        <v>0</v>
      </c>
      <c r="AM289" s="10">
        <f>+'A) Base RI'!AG289</f>
        <v>0</v>
      </c>
      <c r="AN289" s="10">
        <f>+'A) Base RI'!AH289</f>
        <v>0</v>
      </c>
      <c r="AO289" s="10">
        <f>+'A) Base RI'!AI289</f>
        <v>0</v>
      </c>
      <c r="AP289" s="10">
        <f>+'A) Base RI'!AJ289</f>
        <v>0</v>
      </c>
      <c r="AQ289" s="10">
        <f>+'A) Base RI'!AK289</f>
        <v>0</v>
      </c>
      <c r="AR289" s="10">
        <f>'A) Base RI'!AN289</f>
        <v>669</v>
      </c>
    </row>
    <row r="290" spans="1:44" x14ac:dyDescent="0.25">
      <c r="A290" s="8">
        <f>'A) Base RI'!A290</f>
        <v>5907</v>
      </c>
      <c r="B290" s="34" t="str">
        <f>'A) Base RI'!B290</f>
        <v>Chavannes-le-Chêne</v>
      </c>
      <c r="C290" s="10">
        <f>'A) Base RI'!C290+'A) Base RI'!D290</f>
        <v>630076.30999999994</v>
      </c>
      <c r="D290" s="10">
        <f>'A) Base RI'!AO290</f>
        <v>-10875.63</v>
      </c>
      <c r="E290" s="33">
        <f>'A) Base RI'!AP290</f>
        <v>0</v>
      </c>
      <c r="F290" s="33">
        <f>'A) Base RI'!AQ290</f>
        <v>0</v>
      </c>
      <c r="G290" s="2">
        <f t="shared" si="28"/>
        <v>619200.67999999993</v>
      </c>
      <c r="H290" s="10">
        <f>+'A) Base RI'!E290</f>
        <v>0</v>
      </c>
      <c r="I290" s="10">
        <f>+'A) Base RI'!F290</f>
        <v>1820</v>
      </c>
      <c r="J290" s="10">
        <f>+'A) Base RI'!G290+'A) Base RI'!H290</f>
        <v>2570.35</v>
      </c>
      <c r="K290" s="10">
        <f>+'A) Base RI'!I290</f>
        <v>0</v>
      </c>
      <c r="L290" s="10">
        <f>+'A) Base RI'!J290</f>
        <v>3429.23</v>
      </c>
      <c r="M290" s="10">
        <f>+'A) Base RI'!K290</f>
        <v>134</v>
      </c>
      <c r="N290" s="10">
        <f>+'A) Base RI'!Q290</f>
        <v>8850.2999999999993</v>
      </c>
      <c r="O290" s="10">
        <f t="shared" si="29"/>
        <v>38474.699999999997</v>
      </c>
      <c r="P290" s="10">
        <f>+'A) Base RI'!L290</f>
        <v>38474.699999999997</v>
      </c>
      <c r="Q290" s="36">
        <f>'A) Base RI'!AR290</f>
        <v>1</v>
      </c>
      <c r="R290" s="2">
        <f t="shared" si="30"/>
        <v>674479.25999999989</v>
      </c>
      <c r="S290" s="35">
        <f>+'A) Base RI'!AM290</f>
        <v>78</v>
      </c>
      <c r="T290" s="2">
        <f t="shared" si="31"/>
        <v>634050.55999999994</v>
      </c>
      <c r="U290" s="2">
        <f t="shared" si="32"/>
        <v>8647.1699999999983</v>
      </c>
      <c r="V290" s="10">
        <f>+'A) Base RI'!O290</f>
        <v>0</v>
      </c>
      <c r="W290" s="10">
        <f>+'A) Base RI'!P290</f>
        <v>8230.5499999999993</v>
      </c>
      <c r="X290" s="10">
        <f>+'A) Base RI'!R290</f>
        <v>1166.6500000000001</v>
      </c>
      <c r="Y290" s="2">
        <f t="shared" si="33"/>
        <v>9397.1999999999989</v>
      </c>
      <c r="Z290" s="10">
        <f>+'A) Base RI'!N290</f>
        <v>6237</v>
      </c>
      <c r="AA290" s="10">
        <f>+'A) Base RI'!S290+'A) Base RI'!T290</f>
        <v>1390</v>
      </c>
      <c r="AB290" s="10">
        <f>+'A) Base RI'!U290</f>
        <v>1860</v>
      </c>
      <c r="AC290" s="10">
        <f>+'A) Base RI'!V290</f>
        <v>0</v>
      </c>
      <c r="AD290" s="10">
        <f>+'A) Base RI'!W290</f>
        <v>0</v>
      </c>
      <c r="AE290" s="10">
        <f>+'A) Base RI'!Y290</f>
        <v>10500</v>
      </c>
      <c r="AF290" s="10">
        <f>+'A) Base RI'!Z290</f>
        <v>0</v>
      </c>
      <c r="AG290" s="10">
        <f>+'A) Base RI'!AA290</f>
        <v>6850.05</v>
      </c>
      <c r="AH290" s="10">
        <f>+'A) Base RI'!AB290</f>
        <v>0</v>
      </c>
      <c r="AI290" s="10">
        <f>+'A) Base RI'!AC290</f>
        <v>10620</v>
      </c>
      <c r="AJ290" s="10">
        <f>+'A) Base RI'!AD290</f>
        <v>6950.05</v>
      </c>
      <c r="AK290" s="10">
        <f>+'A) Base RI'!AE290</f>
        <v>0</v>
      </c>
      <c r="AL290" s="10">
        <f>+'A) Base RI'!AF290</f>
        <v>0</v>
      </c>
      <c r="AM290" s="10">
        <f>+'A) Base RI'!AG290</f>
        <v>0</v>
      </c>
      <c r="AN290" s="10">
        <f>+'A) Base RI'!AH290</f>
        <v>0</v>
      </c>
      <c r="AO290" s="10">
        <f>+'A) Base RI'!AI290</f>
        <v>0</v>
      </c>
      <c r="AP290" s="10">
        <f>+'A) Base RI'!AJ290</f>
        <v>0</v>
      </c>
      <c r="AQ290" s="10">
        <f>+'A) Base RI'!AK290</f>
        <v>0</v>
      </c>
      <c r="AR290" s="10">
        <f>'A) Base RI'!AN290</f>
        <v>298</v>
      </c>
    </row>
    <row r="291" spans="1:44" x14ac:dyDescent="0.25">
      <c r="A291" s="8">
        <f>'A) Base RI'!A291</f>
        <v>5908</v>
      </c>
      <c r="B291" s="34" t="str">
        <f>'A) Base RI'!B291</f>
        <v>Chêne-Pâquier</v>
      </c>
      <c r="C291" s="10">
        <f>'A) Base RI'!C291+'A) Base RI'!D291</f>
        <v>198925.1</v>
      </c>
      <c r="D291" s="10">
        <f>'A) Base RI'!AO291</f>
        <v>-1708.82</v>
      </c>
      <c r="E291" s="33">
        <f>'A) Base RI'!AP291</f>
        <v>0</v>
      </c>
      <c r="F291" s="33">
        <f>'A) Base RI'!AQ291</f>
        <v>-8.43</v>
      </c>
      <c r="G291" s="2">
        <f t="shared" si="28"/>
        <v>197207.85</v>
      </c>
      <c r="H291" s="10">
        <f>+'A) Base RI'!E291</f>
        <v>0</v>
      </c>
      <c r="I291" s="10">
        <f>+'A) Base RI'!F291</f>
        <v>0</v>
      </c>
      <c r="J291" s="10">
        <f>+'A) Base RI'!G291+'A) Base RI'!H291</f>
        <v>1009.5999999999999</v>
      </c>
      <c r="K291" s="10">
        <f>+'A) Base RI'!I291</f>
        <v>0</v>
      </c>
      <c r="L291" s="10">
        <f>+'A) Base RI'!J291</f>
        <v>2485.4699999999998</v>
      </c>
      <c r="M291" s="10">
        <f>+'A) Base RI'!K291</f>
        <v>49.5</v>
      </c>
      <c r="N291" s="10">
        <f>+'A) Base RI'!Q291</f>
        <v>362.93</v>
      </c>
      <c r="O291" s="10">
        <f t="shared" si="29"/>
        <v>16264</v>
      </c>
      <c r="P291" s="10">
        <f>+'A) Base RI'!L291</f>
        <v>16264</v>
      </c>
      <c r="Q291" s="36">
        <f>'A) Base RI'!AR291</f>
        <v>1</v>
      </c>
      <c r="R291" s="2">
        <f t="shared" si="30"/>
        <v>217379.35</v>
      </c>
      <c r="S291" s="35">
        <f>+'A) Base RI'!AM291</f>
        <v>79</v>
      </c>
      <c r="T291" s="2">
        <f t="shared" si="31"/>
        <v>201065.85</v>
      </c>
      <c r="U291" s="2">
        <f t="shared" si="32"/>
        <v>2751.637341772152</v>
      </c>
      <c r="V291" s="10">
        <f>+'A) Base RI'!O291</f>
        <v>1173</v>
      </c>
      <c r="W291" s="10">
        <f>+'A) Base RI'!P291</f>
        <v>867.85</v>
      </c>
      <c r="X291" s="10">
        <f>+'A) Base RI'!R291</f>
        <v>798.8</v>
      </c>
      <c r="Y291" s="2">
        <f t="shared" si="33"/>
        <v>2839.6499999999996</v>
      </c>
      <c r="Z291" s="10">
        <f>+'A) Base RI'!N291</f>
        <v>0</v>
      </c>
      <c r="AA291" s="10">
        <f>+'A) Base RI'!S291+'A) Base RI'!T291</f>
        <v>0</v>
      </c>
      <c r="AB291" s="10">
        <f>+'A) Base RI'!U291</f>
        <v>1056</v>
      </c>
      <c r="AC291" s="10">
        <f>+'A) Base RI'!V291</f>
        <v>0</v>
      </c>
      <c r="AD291" s="10">
        <f>+'A) Base RI'!W291</f>
        <v>0</v>
      </c>
      <c r="AE291" s="10">
        <f>+'A) Base RI'!Y291</f>
        <v>10500</v>
      </c>
      <c r="AF291" s="10">
        <f>+'A) Base RI'!Z291</f>
        <v>0</v>
      </c>
      <c r="AG291" s="10">
        <f>+'A) Base RI'!AA291</f>
        <v>25100</v>
      </c>
      <c r="AH291" s="10">
        <f>+'A) Base RI'!AB291</f>
        <v>0</v>
      </c>
      <c r="AI291" s="10">
        <f>+'A) Base RI'!AC291</f>
        <v>5507</v>
      </c>
      <c r="AJ291" s="10">
        <f>+'A) Base RI'!AD291</f>
        <v>3000</v>
      </c>
      <c r="AK291" s="10">
        <f>+'A) Base RI'!AE291</f>
        <v>0</v>
      </c>
      <c r="AL291" s="10">
        <f>+'A) Base RI'!AF291</f>
        <v>0</v>
      </c>
      <c r="AM291" s="10">
        <f>+'A) Base RI'!AG291</f>
        <v>0</v>
      </c>
      <c r="AN291" s="10">
        <f>+'A) Base RI'!AH291</f>
        <v>0</v>
      </c>
      <c r="AO291" s="10">
        <f>+'A) Base RI'!AI291</f>
        <v>0</v>
      </c>
      <c r="AP291" s="10">
        <f>+'A) Base RI'!AJ291</f>
        <v>0</v>
      </c>
      <c r="AQ291" s="10">
        <f>+'A) Base RI'!AK291</f>
        <v>0</v>
      </c>
      <c r="AR291" s="10">
        <f>'A) Base RI'!AN291</f>
        <v>139</v>
      </c>
    </row>
    <row r="292" spans="1:44" x14ac:dyDescent="0.25">
      <c r="A292" s="8">
        <f>'A) Base RI'!A292</f>
        <v>5909</v>
      </c>
      <c r="B292" s="34" t="str">
        <f>'A) Base RI'!B292</f>
        <v>Cheseaux-Noréaz</v>
      </c>
      <c r="C292" s="10">
        <f>'A) Base RI'!C292+'A) Base RI'!D292</f>
        <v>1799812.4100000001</v>
      </c>
      <c r="D292" s="10">
        <f>'A) Base RI'!AO292</f>
        <v>-174.35</v>
      </c>
      <c r="E292" s="33">
        <f>'A) Base RI'!AP292</f>
        <v>-37138.800000000003</v>
      </c>
      <c r="F292" s="33">
        <f>'A) Base RI'!AQ292</f>
        <v>-125.62</v>
      </c>
      <c r="G292" s="2">
        <f t="shared" si="28"/>
        <v>1762373.64</v>
      </c>
      <c r="H292" s="10">
        <f>+'A) Base RI'!E292</f>
        <v>0</v>
      </c>
      <c r="I292" s="10">
        <f>+'A) Base RI'!F292</f>
        <v>0</v>
      </c>
      <c r="J292" s="10">
        <f>+'A) Base RI'!G292+'A) Base RI'!H292</f>
        <v>26008.05</v>
      </c>
      <c r="K292" s="10">
        <f>+'A) Base RI'!I292</f>
        <v>0</v>
      </c>
      <c r="L292" s="10">
        <f>+'A) Base RI'!J292</f>
        <v>18439.009999999998</v>
      </c>
      <c r="M292" s="10">
        <f>+'A) Base RI'!K292</f>
        <v>747.45</v>
      </c>
      <c r="N292" s="10">
        <f>+'A) Base RI'!Q292</f>
        <v>0</v>
      </c>
      <c r="O292" s="10">
        <f t="shared" si="29"/>
        <v>150561</v>
      </c>
      <c r="P292" s="10">
        <f>+'A) Base RI'!L292</f>
        <v>150561</v>
      </c>
      <c r="Q292" s="36">
        <f>'A) Base RI'!AR292</f>
        <v>1</v>
      </c>
      <c r="R292" s="2">
        <f t="shared" si="30"/>
        <v>1958129.15</v>
      </c>
      <c r="S292" s="35">
        <f>+'A) Base RI'!AM292</f>
        <v>70</v>
      </c>
      <c r="T292" s="2">
        <f t="shared" si="31"/>
        <v>1806820.7</v>
      </c>
      <c r="U292" s="2">
        <f t="shared" si="32"/>
        <v>27973.27357142857</v>
      </c>
      <c r="V292" s="10">
        <f>+'A) Base RI'!O292</f>
        <v>60298.1</v>
      </c>
      <c r="W292" s="10">
        <f>+'A) Base RI'!P292</f>
        <v>132481.75</v>
      </c>
      <c r="X292" s="10">
        <f>+'A) Base RI'!R292</f>
        <v>75092.149999999994</v>
      </c>
      <c r="Y292" s="2">
        <f t="shared" si="33"/>
        <v>267872</v>
      </c>
      <c r="Z292" s="10">
        <f>+'A) Base RI'!N292</f>
        <v>11017.75</v>
      </c>
      <c r="AA292" s="10">
        <f>+'A) Base RI'!S292+'A) Base RI'!T292</f>
        <v>505</v>
      </c>
      <c r="AB292" s="10">
        <f>+'A) Base RI'!U292</f>
        <v>960</v>
      </c>
      <c r="AC292" s="10">
        <f>+'A) Base RI'!V292</f>
        <v>2000</v>
      </c>
      <c r="AD292" s="10">
        <f>+'A) Base RI'!W292</f>
        <v>0</v>
      </c>
      <c r="AE292" s="10">
        <f>+'A) Base RI'!Y292</f>
        <v>25562.49</v>
      </c>
      <c r="AF292" s="10">
        <f>+'A) Base RI'!Z292</f>
        <v>0</v>
      </c>
      <c r="AG292" s="10">
        <f>+'A) Base RI'!AA292</f>
        <v>61373.19</v>
      </c>
      <c r="AH292" s="10">
        <f>+'A) Base RI'!AB292</f>
        <v>0</v>
      </c>
      <c r="AI292" s="10">
        <f>+'A) Base RI'!AC292</f>
        <v>39918.949999999997</v>
      </c>
      <c r="AJ292" s="10">
        <f>+'A) Base RI'!AD292</f>
        <v>12224.78</v>
      </c>
      <c r="AK292" s="10">
        <f>+'A) Base RI'!AE292</f>
        <v>0</v>
      </c>
      <c r="AL292" s="10">
        <f>+'A) Base RI'!AF292</f>
        <v>0</v>
      </c>
      <c r="AM292" s="10">
        <f>+'A) Base RI'!AG292</f>
        <v>66440.14</v>
      </c>
      <c r="AN292" s="10">
        <f>+'A) Base RI'!AH292</f>
        <v>0</v>
      </c>
      <c r="AO292" s="10">
        <f>+'A) Base RI'!AI292</f>
        <v>0</v>
      </c>
      <c r="AP292" s="10">
        <f>+'A) Base RI'!AJ292</f>
        <v>0</v>
      </c>
      <c r="AQ292" s="10">
        <f>+'A) Base RI'!AK292</f>
        <v>0</v>
      </c>
      <c r="AR292" s="10">
        <f>'A) Base RI'!AN292</f>
        <v>705</v>
      </c>
    </row>
    <row r="293" spans="1:44" x14ac:dyDescent="0.25">
      <c r="A293" s="8">
        <f>'A) Base RI'!A293</f>
        <v>5910</v>
      </c>
      <c r="B293" s="34" t="str">
        <f>'A) Base RI'!B293</f>
        <v>Cronay</v>
      </c>
      <c r="C293" s="10">
        <f>'A) Base RI'!C293+'A) Base RI'!D293</f>
        <v>739550.51</v>
      </c>
      <c r="D293" s="10">
        <f>'A) Base RI'!AO293</f>
        <v>-10986.44</v>
      </c>
      <c r="E293" s="33">
        <f>'A) Base RI'!AP293</f>
        <v>0</v>
      </c>
      <c r="F293" s="33">
        <f>'A) Base RI'!AQ293</f>
        <v>-4.93</v>
      </c>
      <c r="G293" s="2">
        <f t="shared" si="28"/>
        <v>728559.14</v>
      </c>
      <c r="H293" s="10">
        <f>+'A) Base RI'!E293</f>
        <v>0</v>
      </c>
      <c r="I293" s="10">
        <f>+'A) Base RI'!F293</f>
        <v>2210</v>
      </c>
      <c r="J293" s="10">
        <f>+'A) Base RI'!G293+'A) Base RI'!H293</f>
        <v>8989.7000000000007</v>
      </c>
      <c r="K293" s="10">
        <f>+'A) Base RI'!I293</f>
        <v>0</v>
      </c>
      <c r="L293" s="10">
        <f>+'A) Base RI'!J293</f>
        <v>4762.8100000000004</v>
      </c>
      <c r="M293" s="10">
        <f>+'A) Base RI'!K293</f>
        <v>0</v>
      </c>
      <c r="N293" s="10">
        <f>+'A) Base RI'!Q293</f>
        <v>6153.75</v>
      </c>
      <c r="O293" s="10">
        <f t="shared" si="29"/>
        <v>49435.7</v>
      </c>
      <c r="P293" s="10">
        <f>+'A) Base RI'!L293</f>
        <v>49435.7</v>
      </c>
      <c r="Q293" s="36">
        <f>'A) Base RI'!AR293</f>
        <v>1</v>
      </c>
      <c r="R293" s="2">
        <f t="shared" si="30"/>
        <v>800111.1</v>
      </c>
      <c r="S293" s="35">
        <f>+'A) Base RI'!AM293</f>
        <v>79</v>
      </c>
      <c r="T293" s="2">
        <f t="shared" si="31"/>
        <v>748465.4</v>
      </c>
      <c r="U293" s="2">
        <f t="shared" si="32"/>
        <v>10127.988607594936</v>
      </c>
      <c r="V293" s="10">
        <f>+'A) Base RI'!O293</f>
        <v>2399.6999999999998</v>
      </c>
      <c r="W293" s="10">
        <f>+'A) Base RI'!P293</f>
        <v>5667.95</v>
      </c>
      <c r="X293" s="10">
        <f>+'A) Base RI'!R293</f>
        <v>382.7</v>
      </c>
      <c r="Y293" s="2">
        <f t="shared" si="33"/>
        <v>8450.35</v>
      </c>
      <c r="Z293" s="10">
        <f>+'A) Base RI'!N293</f>
        <v>0</v>
      </c>
      <c r="AA293" s="10">
        <f>+'A) Base RI'!S293+'A) Base RI'!T293</f>
        <v>420</v>
      </c>
      <c r="AB293" s="10">
        <f>+'A) Base RI'!U293</f>
        <v>3557</v>
      </c>
      <c r="AC293" s="10">
        <f>+'A) Base RI'!V293</f>
        <v>0</v>
      </c>
      <c r="AD293" s="10">
        <f>+'A) Base RI'!W293</f>
        <v>0</v>
      </c>
      <c r="AE293" s="10">
        <f>+'A) Base RI'!Y293</f>
        <v>41460</v>
      </c>
      <c r="AF293" s="10">
        <f>+'A) Base RI'!Z293</f>
        <v>0</v>
      </c>
      <c r="AG293" s="10">
        <f>+'A) Base RI'!AA293</f>
        <v>19914</v>
      </c>
      <c r="AH293" s="10">
        <f>+'A) Base RI'!AB293</f>
        <v>0</v>
      </c>
      <c r="AI293" s="10">
        <f>+'A) Base RI'!AC293</f>
        <v>19467</v>
      </c>
      <c r="AJ293" s="10">
        <f>+'A) Base RI'!AD293</f>
        <v>0</v>
      </c>
      <c r="AK293" s="10">
        <f>+'A) Base RI'!AE293</f>
        <v>0</v>
      </c>
      <c r="AL293" s="10">
        <f>+'A) Base RI'!AF293</f>
        <v>0</v>
      </c>
      <c r="AM293" s="10">
        <f>+'A) Base RI'!AG293</f>
        <v>0</v>
      </c>
      <c r="AN293" s="10">
        <f>+'A) Base RI'!AH293</f>
        <v>0</v>
      </c>
      <c r="AO293" s="10">
        <f>+'A) Base RI'!AI293</f>
        <v>0</v>
      </c>
      <c r="AP293" s="10">
        <f>+'A) Base RI'!AJ293</f>
        <v>0</v>
      </c>
      <c r="AQ293" s="10">
        <f>+'A) Base RI'!AK293</f>
        <v>0</v>
      </c>
      <c r="AR293" s="10">
        <f>'A) Base RI'!AN293</f>
        <v>380</v>
      </c>
    </row>
    <row r="294" spans="1:44" x14ac:dyDescent="0.25">
      <c r="A294" s="8">
        <f>'A) Base RI'!A294</f>
        <v>5911</v>
      </c>
      <c r="B294" s="34" t="str">
        <f>'A) Base RI'!B294</f>
        <v>Cuarny</v>
      </c>
      <c r="C294" s="10">
        <f>'A) Base RI'!C294+'A) Base RI'!D294</f>
        <v>528264.06000000006</v>
      </c>
      <c r="D294" s="10">
        <f>'A) Base RI'!AO294</f>
        <v>-2478.67</v>
      </c>
      <c r="E294" s="33">
        <f>'A) Base RI'!AP294</f>
        <v>0</v>
      </c>
      <c r="F294" s="33">
        <f>'A) Base RI'!AQ294</f>
        <v>-134.75</v>
      </c>
      <c r="G294" s="2">
        <f t="shared" si="28"/>
        <v>525650.64</v>
      </c>
      <c r="H294" s="10">
        <f>+'A) Base RI'!E294</f>
        <v>0</v>
      </c>
      <c r="I294" s="10">
        <f>+'A) Base RI'!F294</f>
        <v>1520</v>
      </c>
      <c r="J294" s="10">
        <f>+'A) Base RI'!G294+'A) Base RI'!H294</f>
        <v>119.05000000000001</v>
      </c>
      <c r="K294" s="10">
        <f>+'A) Base RI'!I294</f>
        <v>0</v>
      </c>
      <c r="L294" s="10">
        <f>+'A) Base RI'!J294</f>
        <v>1590.82</v>
      </c>
      <c r="M294" s="10">
        <f>+'A) Base RI'!K294</f>
        <v>827.05</v>
      </c>
      <c r="N294" s="10">
        <f>+'A) Base RI'!Q294</f>
        <v>0</v>
      </c>
      <c r="O294" s="10">
        <f t="shared" si="29"/>
        <v>29255.95</v>
      </c>
      <c r="P294" s="10">
        <f>+'A) Base RI'!L294</f>
        <v>29255.95</v>
      </c>
      <c r="Q294" s="36">
        <f>'A) Base RI'!AR294</f>
        <v>1</v>
      </c>
      <c r="R294" s="2">
        <f t="shared" si="30"/>
        <v>558963.51</v>
      </c>
      <c r="S294" s="35">
        <f>+'A) Base RI'!AM294</f>
        <v>79</v>
      </c>
      <c r="T294" s="2">
        <f t="shared" si="31"/>
        <v>527360.51</v>
      </c>
      <c r="U294" s="2">
        <f t="shared" si="32"/>
        <v>7075.4874683544303</v>
      </c>
      <c r="V294" s="10">
        <f>+'A) Base RI'!O294</f>
        <v>683.5</v>
      </c>
      <c r="W294" s="10">
        <f>+'A) Base RI'!P294</f>
        <v>3004.05</v>
      </c>
      <c r="X294" s="10">
        <f>+'A) Base RI'!R294</f>
        <v>6901.1</v>
      </c>
      <c r="Y294" s="2">
        <f t="shared" si="33"/>
        <v>10588.650000000001</v>
      </c>
      <c r="Z294" s="10">
        <f>+'A) Base RI'!N294</f>
        <v>0</v>
      </c>
      <c r="AA294" s="10">
        <f>+'A) Base RI'!S294+'A) Base RI'!T294</f>
        <v>0</v>
      </c>
      <c r="AB294" s="10">
        <f>+'A) Base RI'!U294</f>
        <v>1025</v>
      </c>
      <c r="AC294" s="10">
        <f>+'A) Base RI'!V294</f>
        <v>0</v>
      </c>
      <c r="AD294" s="10">
        <f>+'A) Base RI'!W294</f>
        <v>0</v>
      </c>
      <c r="AE294" s="10">
        <f>+'A) Base RI'!Y294</f>
        <v>0</v>
      </c>
      <c r="AF294" s="10">
        <f>+'A) Base RI'!Z294</f>
        <v>0</v>
      </c>
      <c r="AG294" s="10">
        <f>+'A) Base RI'!AA294</f>
        <v>35373.699999999997</v>
      </c>
      <c r="AH294" s="10">
        <f>+'A) Base RI'!AB294</f>
        <v>0</v>
      </c>
      <c r="AI294" s="10">
        <f>+'A) Base RI'!AC294</f>
        <v>16413.75</v>
      </c>
      <c r="AJ294" s="10">
        <f>+'A) Base RI'!AD294</f>
        <v>19166.400000000001</v>
      </c>
      <c r="AK294" s="10">
        <f>+'A) Base RI'!AE294</f>
        <v>0</v>
      </c>
      <c r="AL294" s="10">
        <f>+'A) Base RI'!AF294</f>
        <v>0</v>
      </c>
      <c r="AM294" s="10">
        <f>+'A) Base RI'!AG294</f>
        <v>0</v>
      </c>
      <c r="AN294" s="10">
        <f>+'A) Base RI'!AH294</f>
        <v>0</v>
      </c>
      <c r="AO294" s="10">
        <f>+'A) Base RI'!AI294</f>
        <v>0</v>
      </c>
      <c r="AP294" s="10">
        <f>+'A) Base RI'!AJ294</f>
        <v>0</v>
      </c>
      <c r="AQ294" s="10">
        <f>+'A) Base RI'!AK294</f>
        <v>0</v>
      </c>
      <c r="AR294" s="10">
        <f>'A) Base RI'!AN294</f>
        <v>241</v>
      </c>
    </row>
    <row r="295" spans="1:44" x14ac:dyDescent="0.25">
      <c r="A295" s="8">
        <f>'A) Base RI'!A295</f>
        <v>5912</v>
      </c>
      <c r="B295" s="34" t="str">
        <f>'A) Base RI'!B295</f>
        <v>Démoret</v>
      </c>
      <c r="C295" s="10">
        <f>'A) Base RI'!C295+'A) Base RI'!D295</f>
        <v>240150.66999999998</v>
      </c>
      <c r="D295" s="10">
        <f>'A) Base RI'!AO295</f>
        <v>-3258.73</v>
      </c>
      <c r="E295" s="33">
        <f>'A) Base RI'!AP295</f>
        <v>0</v>
      </c>
      <c r="F295" s="33">
        <f>'A) Base RI'!AQ295</f>
        <v>0</v>
      </c>
      <c r="G295" s="2">
        <f t="shared" si="28"/>
        <v>236891.93999999997</v>
      </c>
      <c r="H295" s="10">
        <f>+'A) Base RI'!E295</f>
        <v>0</v>
      </c>
      <c r="I295" s="10">
        <f>+'A) Base RI'!F295</f>
        <v>880</v>
      </c>
      <c r="J295" s="10">
        <f>+'A) Base RI'!G295+'A) Base RI'!H295</f>
        <v>1000.4</v>
      </c>
      <c r="K295" s="10">
        <f>+'A) Base RI'!I295</f>
        <v>0</v>
      </c>
      <c r="L295" s="10">
        <f>+'A) Base RI'!J295</f>
        <v>1364.52</v>
      </c>
      <c r="M295" s="10">
        <f>+'A) Base RI'!K295</f>
        <v>0</v>
      </c>
      <c r="N295" s="10">
        <f>+'A) Base RI'!Q295</f>
        <v>0</v>
      </c>
      <c r="O295" s="10">
        <f t="shared" si="29"/>
        <v>18259.7</v>
      </c>
      <c r="P295" s="10">
        <f>+'A) Base RI'!L295</f>
        <v>18259.7</v>
      </c>
      <c r="Q295" s="36">
        <f>'A) Base RI'!AR295</f>
        <v>1</v>
      </c>
      <c r="R295" s="2">
        <f t="shared" si="30"/>
        <v>258396.55999999997</v>
      </c>
      <c r="S295" s="35">
        <f>+'A) Base RI'!AM295</f>
        <v>81</v>
      </c>
      <c r="T295" s="2">
        <f t="shared" si="31"/>
        <v>239256.85999999996</v>
      </c>
      <c r="U295" s="2">
        <f t="shared" si="32"/>
        <v>3190.0809876543208</v>
      </c>
      <c r="V295" s="10">
        <f>+'A) Base RI'!O295</f>
        <v>0</v>
      </c>
      <c r="W295" s="10">
        <f>+'A) Base RI'!P295</f>
        <v>6050</v>
      </c>
      <c r="X295" s="10">
        <f>+'A) Base RI'!R295</f>
        <v>8210.35</v>
      </c>
      <c r="Y295" s="2">
        <f t="shared" si="33"/>
        <v>14260.35</v>
      </c>
      <c r="Z295" s="10">
        <f>+'A) Base RI'!N295</f>
        <v>0</v>
      </c>
      <c r="AA295" s="10">
        <f>+'A) Base RI'!S295+'A) Base RI'!T295</f>
        <v>0</v>
      </c>
      <c r="AB295" s="10">
        <f>+'A) Base RI'!U295</f>
        <v>1200</v>
      </c>
      <c r="AC295" s="10">
        <f>+'A) Base RI'!V295</f>
        <v>0</v>
      </c>
      <c r="AD295" s="10">
        <f>+'A) Base RI'!W295</f>
        <v>0</v>
      </c>
      <c r="AE295" s="10">
        <f>+'A) Base RI'!Y295</f>
        <v>4500</v>
      </c>
      <c r="AF295" s="10">
        <f>+'A) Base RI'!Z295</f>
        <v>0</v>
      </c>
      <c r="AG295" s="10">
        <f>+'A) Base RI'!AA295</f>
        <v>17386</v>
      </c>
      <c r="AH295" s="10">
        <f>+'A) Base RI'!AB295</f>
        <v>0</v>
      </c>
      <c r="AI295" s="10">
        <f>+'A) Base RI'!AC295</f>
        <v>8050</v>
      </c>
      <c r="AJ295" s="10">
        <f>+'A) Base RI'!AD295</f>
        <v>5000</v>
      </c>
      <c r="AK295" s="10">
        <f>+'A) Base RI'!AE295</f>
        <v>0</v>
      </c>
      <c r="AL295" s="10">
        <f>+'A) Base RI'!AF295</f>
        <v>0</v>
      </c>
      <c r="AM295" s="10">
        <f>+'A) Base RI'!AG295</f>
        <v>0</v>
      </c>
      <c r="AN295" s="10">
        <f>+'A) Base RI'!AH295</f>
        <v>0</v>
      </c>
      <c r="AO295" s="10">
        <f>+'A) Base RI'!AI295</f>
        <v>0</v>
      </c>
      <c r="AP295" s="10">
        <f>+'A) Base RI'!AJ295</f>
        <v>0</v>
      </c>
      <c r="AQ295" s="10">
        <f>+'A) Base RI'!AK295</f>
        <v>0</v>
      </c>
      <c r="AR295" s="10">
        <f>'A) Base RI'!AN295</f>
        <v>146</v>
      </c>
    </row>
    <row r="296" spans="1:44" x14ac:dyDescent="0.25">
      <c r="A296" s="8">
        <f>'A) Base RI'!A296</f>
        <v>5913</v>
      </c>
      <c r="B296" s="34" t="str">
        <f>'A) Base RI'!B296</f>
        <v>Donneloye</v>
      </c>
      <c r="C296" s="10">
        <f>'A) Base RI'!C296+'A) Base RI'!D296</f>
        <v>1333757.17</v>
      </c>
      <c r="D296" s="10">
        <f>'A) Base RI'!AO296</f>
        <v>-9610.66</v>
      </c>
      <c r="E296" s="33">
        <f>'A) Base RI'!AP296</f>
        <v>0</v>
      </c>
      <c r="F296" s="33">
        <f>'A) Base RI'!AQ296</f>
        <v>-273.58999999999997</v>
      </c>
      <c r="G296" s="2">
        <f t="shared" si="28"/>
        <v>1323872.92</v>
      </c>
      <c r="H296" s="10">
        <f>+'A) Base RI'!E296</f>
        <v>0</v>
      </c>
      <c r="I296" s="10">
        <f>+'A) Base RI'!F296</f>
        <v>0</v>
      </c>
      <c r="J296" s="10">
        <f>+'A) Base RI'!G296+'A) Base RI'!H296</f>
        <v>32782.200000000004</v>
      </c>
      <c r="K296" s="10">
        <f>+'A) Base RI'!I296</f>
        <v>0</v>
      </c>
      <c r="L296" s="10">
        <f>+'A) Base RI'!J296</f>
        <v>12589.86</v>
      </c>
      <c r="M296" s="10">
        <f>+'A) Base RI'!K296</f>
        <v>2569.65</v>
      </c>
      <c r="N296" s="10">
        <f>+'A) Base RI'!Q296</f>
        <v>48.89</v>
      </c>
      <c r="O296" s="10">
        <f t="shared" si="29"/>
        <v>104015.3</v>
      </c>
      <c r="P296" s="10">
        <f>+'A) Base RI'!L296</f>
        <v>104015.3</v>
      </c>
      <c r="Q296" s="36">
        <f>'A) Base RI'!AR296</f>
        <v>1</v>
      </c>
      <c r="R296" s="2">
        <f t="shared" si="30"/>
        <v>1475878.8199999998</v>
      </c>
      <c r="S296" s="35">
        <f>+'A) Base RI'!AM296</f>
        <v>73</v>
      </c>
      <c r="T296" s="2">
        <f t="shared" si="31"/>
        <v>1369293.8699999999</v>
      </c>
      <c r="U296" s="2">
        <f t="shared" si="32"/>
        <v>20217.518082191778</v>
      </c>
      <c r="V296" s="10">
        <f>+'A) Base RI'!O296</f>
        <v>19742.599999999999</v>
      </c>
      <c r="W296" s="10">
        <f>+'A) Base RI'!P296</f>
        <v>38560.35</v>
      </c>
      <c r="X296" s="10">
        <f>+'A) Base RI'!R296</f>
        <v>19462.25</v>
      </c>
      <c r="Y296" s="2">
        <f t="shared" si="33"/>
        <v>77765.2</v>
      </c>
      <c r="Z296" s="10">
        <f>+'A) Base RI'!N296</f>
        <v>20008.099999999999</v>
      </c>
      <c r="AA296" s="10">
        <f>+'A) Base RI'!S296+'A) Base RI'!T296</f>
        <v>297.25</v>
      </c>
      <c r="AB296" s="10">
        <f>+'A) Base RI'!U296</f>
        <v>5868.5</v>
      </c>
      <c r="AC296" s="10">
        <f>+'A) Base RI'!V296</f>
        <v>48</v>
      </c>
      <c r="AD296" s="10">
        <f>+'A) Base RI'!W296</f>
        <v>0</v>
      </c>
      <c r="AE296" s="10">
        <f>+'A) Base RI'!Y296</f>
        <v>0</v>
      </c>
      <c r="AF296" s="10">
        <f>+'A) Base RI'!Z296</f>
        <v>0</v>
      </c>
      <c r="AG296" s="10">
        <f>+'A) Base RI'!AA296</f>
        <v>68180.5</v>
      </c>
      <c r="AH296" s="10">
        <f>+'A) Base RI'!AB296</f>
        <v>0</v>
      </c>
      <c r="AI296" s="10">
        <f>+'A) Base RI'!AC296</f>
        <v>36471</v>
      </c>
      <c r="AJ296" s="10">
        <f>+'A) Base RI'!AD296</f>
        <v>31267.5</v>
      </c>
      <c r="AK296" s="10">
        <f>+'A) Base RI'!AE296</f>
        <v>0</v>
      </c>
      <c r="AL296" s="10">
        <f>+'A) Base RI'!AF296</f>
        <v>0</v>
      </c>
      <c r="AM296" s="10">
        <f>+'A) Base RI'!AG296</f>
        <v>0</v>
      </c>
      <c r="AN296" s="10">
        <f>+'A) Base RI'!AH296</f>
        <v>19403.599999999999</v>
      </c>
      <c r="AO296" s="10">
        <f>+'A) Base RI'!AI296</f>
        <v>0</v>
      </c>
      <c r="AP296" s="10">
        <f>+'A) Base RI'!AJ296</f>
        <v>0</v>
      </c>
      <c r="AQ296" s="10">
        <f>+'A) Base RI'!AK296</f>
        <v>0</v>
      </c>
      <c r="AR296" s="10">
        <f>'A) Base RI'!AN296</f>
        <v>813</v>
      </c>
    </row>
    <row r="297" spans="1:44" x14ac:dyDescent="0.25">
      <c r="A297" s="8">
        <f>'A) Base RI'!A297</f>
        <v>5914</v>
      </c>
      <c r="B297" s="34" t="str">
        <f>'A) Base RI'!B297</f>
        <v>Ependes</v>
      </c>
      <c r="C297" s="10">
        <f>'A) Base RI'!C297+'A) Base RI'!D297</f>
        <v>680657.93</v>
      </c>
      <c r="D297" s="10">
        <f>'A) Base RI'!AO297</f>
        <v>-2404.36</v>
      </c>
      <c r="E297" s="33">
        <f>'A) Base RI'!AP297</f>
        <v>0</v>
      </c>
      <c r="F297" s="33">
        <f>'A) Base RI'!AQ297</f>
        <v>0</v>
      </c>
      <c r="G297" s="2">
        <f t="shared" si="28"/>
        <v>678253.57000000007</v>
      </c>
      <c r="H297" s="10">
        <f>+'A) Base RI'!E297</f>
        <v>0</v>
      </c>
      <c r="I297" s="10">
        <f>+'A) Base RI'!F297</f>
        <v>2100</v>
      </c>
      <c r="J297" s="10">
        <f>+'A) Base RI'!G297+'A) Base RI'!H297</f>
        <v>5386.4999999999991</v>
      </c>
      <c r="K297" s="10">
        <f>+'A) Base RI'!I297</f>
        <v>0</v>
      </c>
      <c r="L297" s="10">
        <f>+'A) Base RI'!J297</f>
        <v>12582.57</v>
      </c>
      <c r="M297" s="10">
        <f>+'A) Base RI'!K297</f>
        <v>1258.0999999999999</v>
      </c>
      <c r="N297" s="10">
        <f>+'A) Base RI'!Q297</f>
        <v>0</v>
      </c>
      <c r="O297" s="10">
        <f t="shared" si="29"/>
        <v>50334.15</v>
      </c>
      <c r="P297" s="10">
        <f>+'A) Base RI'!L297</f>
        <v>50334.15</v>
      </c>
      <c r="Q297" s="36">
        <f>'A) Base RI'!AR297</f>
        <v>1</v>
      </c>
      <c r="R297" s="2">
        <f t="shared" si="30"/>
        <v>749914.89</v>
      </c>
      <c r="S297" s="35">
        <f>+'A) Base RI'!AM297</f>
        <v>75</v>
      </c>
      <c r="T297" s="2">
        <f t="shared" si="31"/>
        <v>696222.64</v>
      </c>
      <c r="U297" s="2">
        <f t="shared" si="32"/>
        <v>9998.8652000000002</v>
      </c>
      <c r="V297" s="10">
        <f>+'A) Base RI'!O297</f>
        <v>890.45</v>
      </c>
      <c r="W297" s="10">
        <f>+'A) Base RI'!P297</f>
        <v>24700</v>
      </c>
      <c r="X297" s="10">
        <f>+'A) Base RI'!R297</f>
        <v>12129.45</v>
      </c>
      <c r="Y297" s="2">
        <f t="shared" si="33"/>
        <v>37719.9</v>
      </c>
      <c r="Z297" s="10">
        <f>+'A) Base RI'!N297</f>
        <v>0</v>
      </c>
      <c r="AA297" s="10">
        <f>+'A) Base RI'!S297+'A) Base RI'!T297</f>
        <v>1266.5</v>
      </c>
      <c r="AB297" s="10">
        <f>+'A) Base RI'!U297</f>
        <v>1260</v>
      </c>
      <c r="AC297" s="10">
        <f>+'A) Base RI'!V297</f>
        <v>0</v>
      </c>
      <c r="AD297" s="10">
        <f>+'A) Base RI'!W297</f>
        <v>0</v>
      </c>
      <c r="AE297" s="10">
        <f>+'A) Base RI'!Y297</f>
        <v>9254</v>
      </c>
      <c r="AF297" s="10">
        <f>+'A) Base RI'!Z297</f>
        <v>0</v>
      </c>
      <c r="AG297" s="10">
        <f>+'A) Base RI'!AA297</f>
        <v>64971.7</v>
      </c>
      <c r="AH297" s="10">
        <f>+'A) Base RI'!AB297</f>
        <v>0</v>
      </c>
      <c r="AI297" s="10">
        <f>+'A) Base RI'!AC297</f>
        <v>24554.55</v>
      </c>
      <c r="AJ297" s="10">
        <f>+'A) Base RI'!AD297</f>
        <v>2170</v>
      </c>
      <c r="AK297" s="10">
        <f>+'A) Base RI'!AE297</f>
        <v>0</v>
      </c>
      <c r="AL297" s="10">
        <f>+'A) Base RI'!AF297</f>
        <v>0</v>
      </c>
      <c r="AM297" s="10">
        <f>+'A) Base RI'!AG297</f>
        <v>0</v>
      </c>
      <c r="AN297" s="10">
        <f>+'A) Base RI'!AH297</f>
        <v>0</v>
      </c>
      <c r="AO297" s="10">
        <f>+'A) Base RI'!AI297</f>
        <v>0</v>
      </c>
      <c r="AP297" s="10">
        <f>+'A) Base RI'!AJ297</f>
        <v>0</v>
      </c>
      <c r="AQ297" s="10">
        <f>+'A) Base RI'!AK297</f>
        <v>0</v>
      </c>
      <c r="AR297" s="10">
        <f>'A) Base RI'!AN297</f>
        <v>361</v>
      </c>
    </row>
    <row r="298" spans="1:44" x14ac:dyDescent="0.25">
      <c r="A298" s="8">
        <f>'A) Base RI'!A298</f>
        <v>5919</v>
      </c>
      <c r="B298" s="34" t="str">
        <f>'A) Base RI'!B298</f>
        <v>Mathod</v>
      </c>
      <c r="C298" s="10">
        <f>'A) Base RI'!C298+'A) Base RI'!D298</f>
        <v>1049064.58</v>
      </c>
      <c r="D298" s="10">
        <f>'A) Base RI'!AO298</f>
        <v>-38968.370000000003</v>
      </c>
      <c r="E298" s="33">
        <f>'A) Base RI'!AP298</f>
        <v>0</v>
      </c>
      <c r="F298" s="33">
        <f>'A) Base RI'!AQ298</f>
        <v>-144.69999999999999</v>
      </c>
      <c r="G298" s="2">
        <f t="shared" si="28"/>
        <v>1009951.5100000001</v>
      </c>
      <c r="H298" s="10">
        <f>+'A) Base RI'!E298</f>
        <v>0</v>
      </c>
      <c r="I298" s="10">
        <f>+'A) Base RI'!F298</f>
        <v>3630</v>
      </c>
      <c r="J298" s="10">
        <f>+'A) Base RI'!G298+'A) Base RI'!H298</f>
        <v>15651.449999999999</v>
      </c>
      <c r="K298" s="10">
        <f>+'A) Base RI'!I298</f>
        <v>0</v>
      </c>
      <c r="L298" s="10">
        <f>+'A) Base RI'!J298</f>
        <v>11999.1</v>
      </c>
      <c r="M298" s="10">
        <f>+'A) Base RI'!K298</f>
        <v>5527.7</v>
      </c>
      <c r="N298" s="10">
        <f>+'A) Base RI'!Q298</f>
        <v>11208.01</v>
      </c>
      <c r="O298" s="10">
        <f t="shared" si="29"/>
        <v>92175</v>
      </c>
      <c r="P298" s="10">
        <f>+'A) Base RI'!L298</f>
        <v>110610</v>
      </c>
      <c r="Q298" s="36">
        <f>'A) Base RI'!AR298</f>
        <v>1.2</v>
      </c>
      <c r="R298" s="2">
        <f t="shared" si="30"/>
        <v>1150142.77</v>
      </c>
      <c r="S298" s="35">
        <f>+'A) Base RI'!AM298</f>
        <v>72</v>
      </c>
      <c r="T298" s="2">
        <f t="shared" si="31"/>
        <v>1048810.07</v>
      </c>
      <c r="U298" s="2">
        <f t="shared" si="32"/>
        <v>15974.205138888889</v>
      </c>
      <c r="V298" s="10">
        <f>+'A) Base RI'!O298</f>
        <v>0</v>
      </c>
      <c r="W298" s="10">
        <f>+'A) Base RI'!P298</f>
        <v>19790.849999999999</v>
      </c>
      <c r="X298" s="10">
        <f>+'A) Base RI'!R298</f>
        <v>0</v>
      </c>
      <c r="Y298" s="2">
        <f t="shared" si="33"/>
        <v>19790.849999999999</v>
      </c>
      <c r="Z298" s="10">
        <f>+'A) Base RI'!N298</f>
        <v>8491.2000000000007</v>
      </c>
      <c r="AA298" s="10">
        <f>+'A) Base RI'!S298+'A) Base RI'!T298</f>
        <v>0</v>
      </c>
      <c r="AB298" s="10">
        <f>+'A) Base RI'!U298</f>
        <v>3800</v>
      </c>
      <c r="AC298" s="10">
        <f>+'A) Base RI'!V298</f>
        <v>0</v>
      </c>
      <c r="AD298" s="10">
        <f>+'A) Base RI'!W298</f>
        <v>0</v>
      </c>
      <c r="AE298" s="10">
        <f>+'A) Base RI'!Y298</f>
        <v>17205.55</v>
      </c>
      <c r="AF298" s="10">
        <f>+'A) Base RI'!Z298</f>
        <v>83.2</v>
      </c>
      <c r="AG298" s="10">
        <f>+'A) Base RI'!AA298</f>
        <v>164008.4</v>
      </c>
      <c r="AH298" s="10">
        <f>+'A) Base RI'!AB298</f>
        <v>0</v>
      </c>
      <c r="AI298" s="10">
        <f>+'A) Base RI'!AC298</f>
        <v>46538.1</v>
      </c>
      <c r="AJ298" s="10">
        <f>+'A) Base RI'!AD298</f>
        <v>18503.8</v>
      </c>
      <c r="AK298" s="10">
        <f>+'A) Base RI'!AE298</f>
        <v>0</v>
      </c>
      <c r="AL298" s="10">
        <f>+'A) Base RI'!AF298</f>
        <v>0</v>
      </c>
      <c r="AM298" s="10">
        <f>+'A) Base RI'!AG298</f>
        <v>0</v>
      </c>
      <c r="AN298" s="10">
        <f>+'A) Base RI'!AH298</f>
        <v>0</v>
      </c>
      <c r="AO298" s="10">
        <f>+'A) Base RI'!AI298</f>
        <v>0</v>
      </c>
      <c r="AP298" s="10">
        <f>+'A) Base RI'!AJ298</f>
        <v>0</v>
      </c>
      <c r="AQ298" s="10">
        <f>+'A) Base RI'!AK298</f>
        <v>0</v>
      </c>
      <c r="AR298" s="10">
        <f>'A) Base RI'!AN298</f>
        <v>617</v>
      </c>
    </row>
    <row r="299" spans="1:44" x14ac:dyDescent="0.25">
      <c r="A299" s="8">
        <f>'A) Base RI'!A299</f>
        <v>5921</v>
      </c>
      <c r="B299" s="34" t="str">
        <f>'A) Base RI'!B299</f>
        <v>Molondin</v>
      </c>
      <c r="C299" s="10">
        <f>'A) Base RI'!C299+'A) Base RI'!D299</f>
        <v>368299.75</v>
      </c>
      <c r="D299" s="10">
        <f>'A) Base RI'!AO299</f>
        <v>-10074.469999999999</v>
      </c>
      <c r="E299" s="33">
        <f>'A) Base RI'!AP299</f>
        <v>0</v>
      </c>
      <c r="F299" s="33">
        <f>'A) Base RI'!AQ299</f>
        <v>-0.06</v>
      </c>
      <c r="G299" s="2">
        <f t="shared" si="28"/>
        <v>358225.22000000003</v>
      </c>
      <c r="H299" s="10">
        <f>+'A) Base RI'!E299</f>
        <v>0</v>
      </c>
      <c r="I299" s="10">
        <f>+'A) Base RI'!F299</f>
        <v>0</v>
      </c>
      <c r="J299" s="10">
        <f>+'A) Base RI'!G299+'A) Base RI'!H299</f>
        <v>24494.050000000003</v>
      </c>
      <c r="K299" s="10">
        <f>+'A) Base RI'!I299</f>
        <v>0</v>
      </c>
      <c r="L299" s="10">
        <f>+'A) Base RI'!J299</f>
        <v>16675.400000000001</v>
      </c>
      <c r="M299" s="10">
        <f>+'A) Base RI'!K299</f>
        <v>0</v>
      </c>
      <c r="N299" s="10">
        <f>+'A) Base RI'!Q299</f>
        <v>11622.85</v>
      </c>
      <c r="O299" s="10">
        <f t="shared" si="29"/>
        <v>28681</v>
      </c>
      <c r="P299" s="10">
        <f>+'A) Base RI'!L299</f>
        <v>28681</v>
      </c>
      <c r="Q299" s="36">
        <f>'A) Base RI'!AR299</f>
        <v>1</v>
      </c>
      <c r="R299" s="2">
        <f t="shared" si="30"/>
        <v>439698.52</v>
      </c>
      <c r="S299" s="35">
        <f>+'A) Base RI'!AM299</f>
        <v>81</v>
      </c>
      <c r="T299" s="2">
        <f t="shared" si="31"/>
        <v>411017.52</v>
      </c>
      <c r="U299" s="2">
        <f t="shared" si="32"/>
        <v>5428.3767901234569</v>
      </c>
      <c r="V299" s="10">
        <f>+'A) Base RI'!O299</f>
        <v>3286.2</v>
      </c>
      <c r="W299" s="10">
        <f>+'A) Base RI'!P299</f>
        <v>17480.8</v>
      </c>
      <c r="X299" s="10">
        <f>+'A) Base RI'!R299</f>
        <v>3177.3</v>
      </c>
      <c r="Y299" s="2">
        <f t="shared" si="33"/>
        <v>23944.3</v>
      </c>
      <c r="Z299" s="10">
        <f>+'A) Base RI'!N299</f>
        <v>0</v>
      </c>
      <c r="AA299" s="10">
        <f>+'A) Base RI'!S299+'A) Base RI'!T299</f>
        <v>350</v>
      </c>
      <c r="AB299" s="10">
        <f>+'A) Base RI'!U299</f>
        <v>1372.5</v>
      </c>
      <c r="AC299" s="10">
        <f>+'A) Base RI'!V299</f>
        <v>496</v>
      </c>
      <c r="AD299" s="10">
        <f>+'A) Base RI'!W299</f>
        <v>0</v>
      </c>
      <c r="AE299" s="10">
        <f>+'A) Base RI'!Y299</f>
        <v>34320</v>
      </c>
      <c r="AF299" s="10">
        <f>+'A) Base RI'!Z299</f>
        <v>0</v>
      </c>
      <c r="AG299" s="10">
        <f>+'A) Base RI'!AA299</f>
        <v>36015</v>
      </c>
      <c r="AH299" s="10">
        <f>+'A) Base RI'!AB299</f>
        <v>0</v>
      </c>
      <c r="AI299" s="10">
        <f>+'A) Base RI'!AC299</f>
        <v>8680</v>
      </c>
      <c r="AJ299" s="10">
        <f>+'A) Base RI'!AD299</f>
        <v>28080</v>
      </c>
      <c r="AK299" s="10">
        <f>+'A) Base RI'!AE299</f>
        <v>0</v>
      </c>
      <c r="AL299" s="10">
        <f>+'A) Base RI'!AF299</f>
        <v>0</v>
      </c>
      <c r="AM299" s="10">
        <f>+'A) Base RI'!AG299</f>
        <v>0</v>
      </c>
      <c r="AN299" s="10">
        <f>+'A) Base RI'!AH299</f>
        <v>0</v>
      </c>
      <c r="AO299" s="10">
        <f>+'A) Base RI'!AI299</f>
        <v>0</v>
      </c>
      <c r="AP299" s="10">
        <f>+'A) Base RI'!AJ299</f>
        <v>0</v>
      </c>
      <c r="AQ299" s="10">
        <f>+'A) Base RI'!AK299</f>
        <v>0</v>
      </c>
      <c r="AR299" s="10">
        <f>'A) Base RI'!AN299</f>
        <v>232</v>
      </c>
    </row>
    <row r="300" spans="1:44" x14ac:dyDescent="0.25">
      <c r="A300" s="8">
        <f>'A) Base RI'!A300</f>
        <v>5922</v>
      </c>
      <c r="B300" s="34" t="str">
        <f>'A) Base RI'!B300</f>
        <v>Montagny-près-Yverdon</v>
      </c>
      <c r="C300" s="10">
        <f>'A) Base RI'!C300+'A) Base RI'!D300</f>
        <v>1686589.11</v>
      </c>
      <c r="D300" s="10">
        <f>'A) Base RI'!AO300</f>
        <v>-59801.45</v>
      </c>
      <c r="E300" s="33">
        <f>'A) Base RI'!AP300</f>
        <v>0</v>
      </c>
      <c r="F300" s="33">
        <f>'A) Base RI'!AQ300</f>
        <v>-63.37</v>
      </c>
      <c r="G300" s="2">
        <f t="shared" si="28"/>
        <v>1626724.29</v>
      </c>
      <c r="H300" s="10">
        <f>+'A) Base RI'!E300</f>
        <v>0</v>
      </c>
      <c r="I300" s="10">
        <f>+'A) Base RI'!F300</f>
        <v>0</v>
      </c>
      <c r="J300" s="10">
        <f>+'A) Base RI'!G300+'A) Base RI'!H300</f>
        <v>886477.15</v>
      </c>
      <c r="K300" s="10">
        <f>+'A) Base RI'!I300</f>
        <v>0</v>
      </c>
      <c r="L300" s="10">
        <f>+'A) Base RI'!J300</f>
        <v>44718.02</v>
      </c>
      <c r="M300" s="10">
        <f>+'A) Base RI'!K300</f>
        <v>44958.05</v>
      </c>
      <c r="N300" s="10">
        <f>+'A) Base RI'!Q300</f>
        <v>26802.41</v>
      </c>
      <c r="O300" s="10">
        <f t="shared" si="29"/>
        <v>303272.0625</v>
      </c>
      <c r="P300" s="10">
        <f>+'A) Base RI'!L300</f>
        <v>242617.65</v>
      </c>
      <c r="Q300" s="36">
        <f>'A) Base RI'!AR300</f>
        <v>0.8</v>
      </c>
      <c r="R300" s="2">
        <f t="shared" si="30"/>
        <v>2932951.9824999999</v>
      </c>
      <c r="S300" s="35">
        <f>+'A) Base RI'!AM300</f>
        <v>61</v>
      </c>
      <c r="T300" s="2">
        <f t="shared" si="31"/>
        <v>2584721.87</v>
      </c>
      <c r="U300" s="2">
        <f t="shared" si="32"/>
        <v>48081.180040983607</v>
      </c>
      <c r="V300" s="10">
        <f>+'A) Base RI'!O300</f>
        <v>0</v>
      </c>
      <c r="W300" s="10">
        <f>+'A) Base RI'!P300</f>
        <v>82569</v>
      </c>
      <c r="X300" s="10">
        <f>+'A) Base RI'!R300</f>
        <v>78110.600000000006</v>
      </c>
      <c r="Y300" s="2">
        <f t="shared" si="33"/>
        <v>160679.6</v>
      </c>
      <c r="Z300" s="10">
        <f>+'A) Base RI'!N300</f>
        <v>151849.95000000001</v>
      </c>
      <c r="AA300" s="10">
        <f>+'A) Base RI'!S300+'A) Base RI'!T300</f>
        <v>87155.1</v>
      </c>
      <c r="AB300" s="10">
        <f>+'A) Base RI'!U300</f>
        <v>1720</v>
      </c>
      <c r="AC300" s="10">
        <f>+'A) Base RI'!V300</f>
        <v>204.5</v>
      </c>
      <c r="AD300" s="10">
        <f>+'A) Base RI'!W300</f>
        <v>0</v>
      </c>
      <c r="AE300" s="10">
        <f>+'A) Base RI'!Y300</f>
        <v>20718.7</v>
      </c>
      <c r="AF300" s="10">
        <f>+'A) Base RI'!Z300</f>
        <v>0</v>
      </c>
      <c r="AG300" s="10">
        <f>+'A) Base RI'!AA300</f>
        <v>118423.85</v>
      </c>
      <c r="AH300" s="10">
        <f>+'A) Base RI'!AB300</f>
        <v>0</v>
      </c>
      <c r="AI300" s="10">
        <f>+'A) Base RI'!AC300</f>
        <v>124852.2</v>
      </c>
      <c r="AJ300" s="10">
        <f>+'A) Base RI'!AD300</f>
        <v>24565</v>
      </c>
      <c r="AK300" s="10">
        <f>+'A) Base RI'!AE300</f>
        <v>0</v>
      </c>
      <c r="AL300" s="10">
        <f>+'A) Base RI'!AF300</f>
        <v>0</v>
      </c>
      <c r="AM300" s="10">
        <f>+'A) Base RI'!AG300</f>
        <v>3651.55</v>
      </c>
      <c r="AN300" s="10">
        <f>+'A) Base RI'!AH300</f>
        <v>91824.6</v>
      </c>
      <c r="AO300" s="10">
        <f>+'A) Base RI'!AI300</f>
        <v>0</v>
      </c>
      <c r="AP300" s="10">
        <f>+'A) Base RI'!AJ300</f>
        <v>0</v>
      </c>
      <c r="AQ300" s="10">
        <f>+'A) Base RI'!AK300</f>
        <v>0</v>
      </c>
      <c r="AR300" s="10">
        <f>'A) Base RI'!AN300</f>
        <v>717</v>
      </c>
    </row>
    <row r="301" spans="1:44" x14ac:dyDescent="0.25">
      <c r="A301" s="8">
        <f>'A) Base RI'!A301</f>
        <v>5923</v>
      </c>
      <c r="B301" s="34" t="str">
        <f>'A) Base RI'!B301</f>
        <v>Oppens</v>
      </c>
      <c r="C301" s="10">
        <f>'A) Base RI'!C301+'A) Base RI'!D301</f>
        <v>323692.01</v>
      </c>
      <c r="D301" s="10">
        <f>'A) Base RI'!AO301</f>
        <v>-2651.85</v>
      </c>
      <c r="E301" s="33">
        <f>'A) Base RI'!AP301</f>
        <v>0</v>
      </c>
      <c r="F301" s="33">
        <f>'A) Base RI'!AQ301</f>
        <v>0</v>
      </c>
      <c r="G301" s="2">
        <f t="shared" si="28"/>
        <v>321040.16000000003</v>
      </c>
      <c r="H301" s="10">
        <f>+'A) Base RI'!E301</f>
        <v>0</v>
      </c>
      <c r="I301" s="10">
        <f>+'A) Base RI'!F301</f>
        <v>0</v>
      </c>
      <c r="J301" s="10">
        <f>+'A) Base RI'!G301+'A) Base RI'!H301</f>
        <v>6785.4500000000007</v>
      </c>
      <c r="K301" s="10">
        <f>+'A) Base RI'!I301</f>
        <v>0</v>
      </c>
      <c r="L301" s="10">
        <f>+'A) Base RI'!J301</f>
        <v>25452.47</v>
      </c>
      <c r="M301" s="10">
        <f>+'A) Base RI'!K301</f>
        <v>0</v>
      </c>
      <c r="N301" s="10">
        <f>+'A) Base RI'!Q301</f>
        <v>0</v>
      </c>
      <c r="O301" s="10">
        <f t="shared" si="29"/>
        <v>23806.400000000001</v>
      </c>
      <c r="P301" s="10">
        <f>+'A) Base RI'!L301</f>
        <v>23806.400000000001</v>
      </c>
      <c r="Q301" s="36">
        <f>'A) Base RI'!AR301</f>
        <v>1</v>
      </c>
      <c r="R301" s="2">
        <f t="shared" si="30"/>
        <v>377084.4800000001</v>
      </c>
      <c r="S301" s="35">
        <f>+'A) Base RI'!AM301</f>
        <v>81</v>
      </c>
      <c r="T301" s="2">
        <f t="shared" si="31"/>
        <v>353278.08000000007</v>
      </c>
      <c r="U301" s="2">
        <f t="shared" si="32"/>
        <v>4655.3639506172849</v>
      </c>
      <c r="V301" s="10">
        <f>+'A) Base RI'!O301</f>
        <v>1055.0999999999999</v>
      </c>
      <c r="W301" s="10">
        <f>+'A) Base RI'!P301</f>
        <v>7810</v>
      </c>
      <c r="X301" s="10">
        <f>+'A) Base RI'!R301</f>
        <v>4693.3999999999996</v>
      </c>
      <c r="Y301" s="2">
        <f t="shared" si="33"/>
        <v>13558.5</v>
      </c>
      <c r="Z301" s="10">
        <f>+'A) Base RI'!N301</f>
        <v>10712</v>
      </c>
      <c r="AA301" s="10">
        <f>+'A) Base RI'!S301+'A) Base RI'!T301</f>
        <v>0</v>
      </c>
      <c r="AB301" s="10">
        <f>+'A) Base RI'!U301</f>
        <v>2160</v>
      </c>
      <c r="AC301" s="10">
        <f>+'A) Base RI'!V301</f>
        <v>0</v>
      </c>
      <c r="AD301" s="10">
        <f>+'A) Base RI'!W301</f>
        <v>0</v>
      </c>
      <c r="AE301" s="10">
        <f>+'A) Base RI'!Y301</f>
        <v>2800</v>
      </c>
      <c r="AF301" s="10">
        <f>+'A) Base RI'!Z301</f>
        <v>0</v>
      </c>
      <c r="AG301" s="10">
        <f>+'A) Base RI'!AA301</f>
        <v>47771.3</v>
      </c>
      <c r="AH301" s="10">
        <f>+'A) Base RI'!AB301</f>
        <v>0</v>
      </c>
      <c r="AI301" s="10">
        <f>+'A) Base RI'!AC301</f>
        <v>17299.95</v>
      </c>
      <c r="AJ301" s="10">
        <f>+'A) Base RI'!AD301</f>
        <v>0</v>
      </c>
      <c r="AK301" s="10">
        <f>+'A) Base RI'!AE301</f>
        <v>0</v>
      </c>
      <c r="AL301" s="10">
        <f>+'A) Base RI'!AF301</f>
        <v>0</v>
      </c>
      <c r="AM301" s="10">
        <f>+'A) Base RI'!AG301</f>
        <v>0</v>
      </c>
      <c r="AN301" s="10">
        <f>+'A) Base RI'!AH301</f>
        <v>0</v>
      </c>
      <c r="AO301" s="10">
        <f>+'A) Base RI'!AI301</f>
        <v>0</v>
      </c>
      <c r="AP301" s="10">
        <f>+'A) Base RI'!AJ301</f>
        <v>0</v>
      </c>
      <c r="AQ301" s="10">
        <f>+'A) Base RI'!AK301</f>
        <v>0</v>
      </c>
      <c r="AR301" s="10">
        <f>'A) Base RI'!AN301</f>
        <v>187</v>
      </c>
    </row>
    <row r="302" spans="1:44" x14ac:dyDescent="0.25">
      <c r="A302" s="8">
        <f>'A) Base RI'!A302</f>
        <v>5924</v>
      </c>
      <c r="B302" s="34" t="str">
        <f>'A) Base RI'!B302</f>
        <v>Orges</v>
      </c>
      <c r="C302" s="10">
        <f>'A) Base RI'!C302+'A) Base RI'!D302</f>
        <v>703846.18</v>
      </c>
      <c r="D302" s="10">
        <f>'A) Base RI'!AO302</f>
        <v>-4226.53</v>
      </c>
      <c r="E302" s="33">
        <f>'A) Base RI'!AP302</f>
        <v>0</v>
      </c>
      <c r="F302" s="33">
        <f>'A) Base RI'!AQ302</f>
        <v>0</v>
      </c>
      <c r="G302" s="2">
        <f t="shared" si="28"/>
        <v>699619.65</v>
      </c>
      <c r="H302" s="10">
        <f>+'A) Base RI'!E302</f>
        <v>0</v>
      </c>
      <c r="I302" s="10">
        <f>+'A) Base RI'!F302</f>
        <v>0</v>
      </c>
      <c r="J302" s="10">
        <f>+'A) Base RI'!G302+'A) Base RI'!H302</f>
        <v>38123.9</v>
      </c>
      <c r="K302" s="10">
        <f>+'A) Base RI'!I302</f>
        <v>0</v>
      </c>
      <c r="L302" s="10">
        <f>+'A) Base RI'!J302</f>
        <v>5902.97</v>
      </c>
      <c r="M302" s="10">
        <f>+'A) Base RI'!K302</f>
        <v>0</v>
      </c>
      <c r="N302" s="10">
        <f>+'A) Base RI'!Q302</f>
        <v>0</v>
      </c>
      <c r="O302" s="10">
        <f t="shared" si="29"/>
        <v>39610.050000000003</v>
      </c>
      <c r="P302" s="10">
        <f>+'A) Base RI'!L302</f>
        <v>39610.050000000003</v>
      </c>
      <c r="Q302" s="36">
        <f>'A) Base RI'!AR302</f>
        <v>1</v>
      </c>
      <c r="R302" s="2">
        <f t="shared" si="30"/>
        <v>783256.57000000007</v>
      </c>
      <c r="S302" s="35">
        <f>+'A) Base RI'!AM302</f>
        <v>74</v>
      </c>
      <c r="T302" s="2">
        <f t="shared" si="31"/>
        <v>743646.52</v>
      </c>
      <c r="U302" s="2">
        <f t="shared" si="32"/>
        <v>10584.548243243244</v>
      </c>
      <c r="V302" s="10">
        <f>+'A) Base RI'!O302</f>
        <v>0</v>
      </c>
      <c r="W302" s="10">
        <f>+'A) Base RI'!P302</f>
        <v>10670</v>
      </c>
      <c r="X302" s="10">
        <f>+'A) Base RI'!R302</f>
        <v>10441.700000000001</v>
      </c>
      <c r="Y302" s="2">
        <f t="shared" si="33"/>
        <v>21111.7</v>
      </c>
      <c r="Z302" s="10">
        <f>+'A) Base RI'!N302</f>
        <v>29.65</v>
      </c>
      <c r="AA302" s="10">
        <f>+'A) Base RI'!S302+'A) Base RI'!T302</f>
        <v>1710</v>
      </c>
      <c r="AB302" s="10">
        <f>+'A) Base RI'!U302</f>
        <v>2648.45</v>
      </c>
      <c r="AC302" s="10">
        <f>+'A) Base RI'!V302</f>
        <v>0</v>
      </c>
      <c r="AD302" s="10">
        <f>+'A) Base RI'!W302</f>
        <v>0</v>
      </c>
      <c r="AE302" s="10">
        <f>+'A) Base RI'!Y302</f>
        <v>0</v>
      </c>
      <c r="AF302" s="10">
        <f>+'A) Base RI'!Z302</f>
        <v>0</v>
      </c>
      <c r="AG302" s="10">
        <f>+'A) Base RI'!AA302</f>
        <v>22177.8</v>
      </c>
      <c r="AH302" s="10">
        <f>+'A) Base RI'!AB302</f>
        <v>0</v>
      </c>
      <c r="AI302" s="10">
        <f>+'A) Base RI'!AC302</f>
        <v>13408.75</v>
      </c>
      <c r="AJ302" s="10">
        <f>+'A) Base RI'!AD302</f>
        <v>32808.6</v>
      </c>
      <c r="AK302" s="10">
        <f>+'A) Base RI'!AE302</f>
        <v>0</v>
      </c>
      <c r="AL302" s="10">
        <f>+'A) Base RI'!AF302</f>
        <v>0</v>
      </c>
      <c r="AM302" s="10">
        <f>+'A) Base RI'!AG302</f>
        <v>1707.6</v>
      </c>
      <c r="AN302" s="10">
        <f>+'A) Base RI'!AH302</f>
        <v>0</v>
      </c>
      <c r="AO302" s="10">
        <f>+'A) Base RI'!AI302</f>
        <v>0</v>
      </c>
      <c r="AP302" s="10">
        <f>+'A) Base RI'!AJ302</f>
        <v>0</v>
      </c>
      <c r="AQ302" s="10">
        <f>+'A) Base RI'!AK302</f>
        <v>0</v>
      </c>
      <c r="AR302" s="10">
        <f>'A) Base RI'!AN302</f>
        <v>336</v>
      </c>
    </row>
    <row r="303" spans="1:44" x14ac:dyDescent="0.25">
      <c r="A303" s="8">
        <f>'A) Base RI'!A303</f>
        <v>5925</v>
      </c>
      <c r="B303" s="34" t="str">
        <f>'A) Base RI'!B303</f>
        <v>Orzens</v>
      </c>
      <c r="C303" s="10">
        <f>'A) Base RI'!C303+'A) Base RI'!D303</f>
        <v>355279.41000000003</v>
      </c>
      <c r="D303" s="10">
        <f>'A) Base RI'!AO303</f>
        <v>-19908.71</v>
      </c>
      <c r="E303" s="33">
        <f>'A) Base RI'!AP303</f>
        <v>0</v>
      </c>
      <c r="F303" s="33">
        <f>'A) Base RI'!AQ303</f>
        <v>0</v>
      </c>
      <c r="G303" s="2">
        <f t="shared" si="28"/>
        <v>335370.7</v>
      </c>
      <c r="H303" s="10">
        <f>+'A) Base RI'!E303</f>
        <v>0</v>
      </c>
      <c r="I303" s="10">
        <f>+'A) Base RI'!F303</f>
        <v>1230</v>
      </c>
      <c r="J303" s="10">
        <f>+'A) Base RI'!G303+'A) Base RI'!H303</f>
        <v>5369.8</v>
      </c>
      <c r="K303" s="10">
        <f>+'A) Base RI'!I303</f>
        <v>0</v>
      </c>
      <c r="L303" s="10">
        <f>+'A) Base RI'!J303</f>
        <v>3689.14</v>
      </c>
      <c r="M303" s="10">
        <f>+'A) Base RI'!K303</f>
        <v>0</v>
      </c>
      <c r="N303" s="10">
        <f>+'A) Base RI'!Q303</f>
        <v>2370.56</v>
      </c>
      <c r="O303" s="10">
        <f t="shared" si="29"/>
        <v>29690.2</v>
      </c>
      <c r="P303" s="10">
        <f>+'A) Base RI'!L303</f>
        <v>29690.2</v>
      </c>
      <c r="Q303" s="36">
        <f>'A) Base RI'!AR303</f>
        <v>1</v>
      </c>
      <c r="R303" s="2">
        <f t="shared" si="30"/>
        <v>377720.4</v>
      </c>
      <c r="S303" s="35">
        <f>+'A) Base RI'!AM303</f>
        <v>79</v>
      </c>
      <c r="T303" s="2">
        <f t="shared" si="31"/>
        <v>346800.2</v>
      </c>
      <c r="U303" s="2">
        <f t="shared" si="32"/>
        <v>4781.2708860759494</v>
      </c>
      <c r="V303" s="10">
        <f>+'A) Base RI'!O303</f>
        <v>0</v>
      </c>
      <c r="W303" s="10">
        <f>+'A) Base RI'!P303</f>
        <v>8140</v>
      </c>
      <c r="X303" s="10">
        <f>+'A) Base RI'!R303</f>
        <v>0</v>
      </c>
      <c r="Y303" s="2">
        <f t="shared" si="33"/>
        <v>8140</v>
      </c>
      <c r="Z303" s="10">
        <f>+'A) Base RI'!N303</f>
        <v>0</v>
      </c>
      <c r="AA303" s="10">
        <f>+'A) Base RI'!S303+'A) Base RI'!T303</f>
        <v>310</v>
      </c>
      <c r="AB303" s="10">
        <f>+'A) Base RI'!U303</f>
        <v>1880</v>
      </c>
      <c r="AC303" s="10">
        <f>+'A) Base RI'!V303</f>
        <v>0</v>
      </c>
      <c r="AD303" s="10">
        <f>+'A) Base RI'!W303</f>
        <v>0</v>
      </c>
      <c r="AE303" s="10">
        <f>+'A) Base RI'!Y303</f>
        <v>13300</v>
      </c>
      <c r="AF303" s="10">
        <f>+'A) Base RI'!Z303</f>
        <v>0</v>
      </c>
      <c r="AG303" s="10">
        <f>+'A) Base RI'!AA303</f>
        <v>37142</v>
      </c>
      <c r="AH303" s="10">
        <f>+'A) Base RI'!AB303</f>
        <v>0</v>
      </c>
      <c r="AI303" s="10">
        <f>+'A) Base RI'!AC303</f>
        <v>13388</v>
      </c>
      <c r="AJ303" s="10">
        <f>+'A) Base RI'!AD303</f>
        <v>467.45</v>
      </c>
      <c r="AK303" s="10">
        <f>+'A) Base RI'!AE303</f>
        <v>0</v>
      </c>
      <c r="AL303" s="10">
        <f>+'A) Base RI'!AF303</f>
        <v>0</v>
      </c>
      <c r="AM303" s="10">
        <f>+'A) Base RI'!AG303</f>
        <v>0</v>
      </c>
      <c r="AN303" s="10">
        <f>+'A) Base RI'!AH303</f>
        <v>0</v>
      </c>
      <c r="AO303" s="10">
        <f>+'A) Base RI'!AI303</f>
        <v>0</v>
      </c>
      <c r="AP303" s="10">
        <f>+'A) Base RI'!AJ303</f>
        <v>0</v>
      </c>
      <c r="AQ303" s="10">
        <f>+'A) Base RI'!AK303</f>
        <v>0</v>
      </c>
      <c r="AR303" s="10">
        <f>'A) Base RI'!AN303</f>
        <v>195</v>
      </c>
    </row>
    <row r="304" spans="1:44" x14ac:dyDescent="0.25">
      <c r="A304" s="8">
        <f>'A) Base RI'!A304</f>
        <v>5926</v>
      </c>
      <c r="B304" s="34" t="str">
        <f>'A) Base RI'!B304</f>
        <v>Pomy</v>
      </c>
      <c r="C304" s="10">
        <f>'A) Base RI'!C304+'A) Base RI'!D304</f>
        <v>1513735.41</v>
      </c>
      <c r="D304" s="10">
        <f>'A) Base RI'!AO304</f>
        <v>-8421.1299999999992</v>
      </c>
      <c r="E304" s="33">
        <f>'A) Base RI'!AP304</f>
        <v>0</v>
      </c>
      <c r="F304" s="33">
        <f>'A) Base RI'!AQ304</f>
        <v>-45.77</v>
      </c>
      <c r="G304" s="2">
        <f t="shared" si="28"/>
        <v>1505268.51</v>
      </c>
      <c r="H304" s="10">
        <f>+'A) Base RI'!E304</f>
        <v>0</v>
      </c>
      <c r="I304" s="10">
        <f>+'A) Base RI'!F304</f>
        <v>0</v>
      </c>
      <c r="J304" s="10">
        <f>+'A) Base RI'!G304+'A) Base RI'!H304</f>
        <v>30749</v>
      </c>
      <c r="K304" s="10">
        <f>+'A) Base RI'!I304</f>
        <v>0</v>
      </c>
      <c r="L304" s="10">
        <f>+'A) Base RI'!J304</f>
        <v>5382.81</v>
      </c>
      <c r="M304" s="10">
        <f>+'A) Base RI'!K304</f>
        <v>0</v>
      </c>
      <c r="N304" s="10">
        <f>+'A) Base RI'!Q304</f>
        <v>0</v>
      </c>
      <c r="O304" s="10">
        <f t="shared" si="29"/>
        <v>116501.5</v>
      </c>
      <c r="P304" s="10">
        <f>+'A) Base RI'!L304</f>
        <v>116501.5</v>
      </c>
      <c r="Q304" s="36">
        <f>'A) Base RI'!AR304</f>
        <v>1</v>
      </c>
      <c r="R304" s="2">
        <f t="shared" si="30"/>
        <v>1657901.82</v>
      </c>
      <c r="S304" s="35">
        <f>+'A) Base RI'!AM304</f>
        <v>71</v>
      </c>
      <c r="T304" s="2">
        <f t="shared" si="31"/>
        <v>1541400.32</v>
      </c>
      <c r="U304" s="2">
        <f t="shared" si="32"/>
        <v>23350.72985915493</v>
      </c>
      <c r="V304" s="10">
        <f>+'A) Base RI'!O304</f>
        <v>21950</v>
      </c>
      <c r="W304" s="10">
        <f>+'A) Base RI'!P304</f>
        <v>63269.65</v>
      </c>
      <c r="X304" s="10">
        <f>+'A) Base RI'!R304</f>
        <v>3937.5</v>
      </c>
      <c r="Y304" s="2">
        <f t="shared" si="33"/>
        <v>89157.15</v>
      </c>
      <c r="Z304" s="10">
        <f>+'A) Base RI'!N304</f>
        <v>1698.35</v>
      </c>
      <c r="AA304" s="10">
        <f>+'A) Base RI'!S304+'A) Base RI'!T304</f>
        <v>700</v>
      </c>
      <c r="AB304" s="10">
        <f>+'A) Base RI'!U304</f>
        <v>3700</v>
      </c>
      <c r="AC304" s="10">
        <f>+'A) Base RI'!V304</f>
        <v>0</v>
      </c>
      <c r="AD304" s="10">
        <f>+'A) Base RI'!W304</f>
        <v>0</v>
      </c>
      <c r="AE304" s="10">
        <f>+'A) Base RI'!Y304</f>
        <v>-331</v>
      </c>
      <c r="AF304" s="10">
        <f>+'A) Base RI'!Z304</f>
        <v>0</v>
      </c>
      <c r="AG304" s="10">
        <f>+'A) Base RI'!AA304</f>
        <v>49782.25</v>
      </c>
      <c r="AH304" s="10">
        <f>+'A) Base RI'!AB304</f>
        <v>0</v>
      </c>
      <c r="AI304" s="10">
        <f>+'A) Base RI'!AC304</f>
        <v>27420.55</v>
      </c>
      <c r="AJ304" s="10">
        <f>+'A) Base RI'!AD304</f>
        <v>4430</v>
      </c>
      <c r="AK304" s="10">
        <f>+'A) Base RI'!AE304</f>
        <v>5625.9</v>
      </c>
      <c r="AL304" s="10">
        <f>+'A) Base RI'!AF304</f>
        <v>0</v>
      </c>
      <c r="AM304" s="10">
        <f>+'A) Base RI'!AG304</f>
        <v>0</v>
      </c>
      <c r="AN304" s="10">
        <f>+'A) Base RI'!AH304</f>
        <v>0</v>
      </c>
      <c r="AO304" s="10">
        <f>+'A) Base RI'!AI304</f>
        <v>0</v>
      </c>
      <c r="AP304" s="10">
        <f>+'A) Base RI'!AJ304</f>
        <v>0</v>
      </c>
      <c r="AQ304" s="10">
        <f>+'A) Base RI'!AK304</f>
        <v>0</v>
      </c>
      <c r="AR304" s="10">
        <f>'A) Base RI'!AN304</f>
        <v>785</v>
      </c>
    </row>
    <row r="305" spans="1:44" x14ac:dyDescent="0.25">
      <c r="A305" s="8">
        <f>'A) Base RI'!A305</f>
        <v>5928</v>
      </c>
      <c r="B305" s="34" t="str">
        <f>'A) Base RI'!B305</f>
        <v>Rovray</v>
      </c>
      <c r="C305" s="10">
        <f>'A) Base RI'!C305+'A) Base RI'!D305</f>
        <v>294923.98</v>
      </c>
      <c r="D305" s="10">
        <f>'A) Base RI'!AO305</f>
        <v>-888.5</v>
      </c>
      <c r="E305" s="33">
        <f>'A) Base RI'!AP305</f>
        <v>0</v>
      </c>
      <c r="F305" s="33">
        <f>'A) Base RI'!AQ305</f>
        <v>-0.9</v>
      </c>
      <c r="G305" s="2">
        <f t="shared" si="28"/>
        <v>294034.57999999996</v>
      </c>
      <c r="H305" s="10">
        <f>+'A) Base RI'!E305</f>
        <v>0</v>
      </c>
      <c r="I305" s="10">
        <f>+'A) Base RI'!F305</f>
        <v>0</v>
      </c>
      <c r="J305" s="10">
        <f>+'A) Base RI'!G305+'A) Base RI'!H305</f>
        <v>1895</v>
      </c>
      <c r="K305" s="10">
        <f>+'A) Base RI'!I305</f>
        <v>0</v>
      </c>
      <c r="L305" s="10">
        <f>+'A) Base RI'!J305</f>
        <v>11889.26</v>
      </c>
      <c r="M305" s="10">
        <f>+'A) Base RI'!K305</f>
        <v>0</v>
      </c>
      <c r="N305" s="10">
        <f>+'A) Base RI'!Q305</f>
        <v>0</v>
      </c>
      <c r="O305" s="10">
        <f t="shared" si="29"/>
        <v>20372.8</v>
      </c>
      <c r="P305" s="10">
        <f>+'A) Base RI'!L305</f>
        <v>20372.8</v>
      </c>
      <c r="Q305" s="36">
        <f>'A) Base RI'!AR305</f>
        <v>1</v>
      </c>
      <c r="R305" s="2">
        <f t="shared" si="30"/>
        <v>328191.63999999996</v>
      </c>
      <c r="S305" s="35">
        <f>+'A) Base RI'!AM305</f>
        <v>73</v>
      </c>
      <c r="T305" s="2">
        <f t="shared" si="31"/>
        <v>307818.83999999997</v>
      </c>
      <c r="U305" s="2">
        <f t="shared" si="32"/>
        <v>4495.7758904109587</v>
      </c>
      <c r="V305" s="10">
        <f>+'A) Base RI'!O305</f>
        <v>0</v>
      </c>
      <c r="W305" s="10">
        <f>+'A) Base RI'!P305</f>
        <v>8307.75</v>
      </c>
      <c r="X305" s="10">
        <f>+'A) Base RI'!R305</f>
        <v>0</v>
      </c>
      <c r="Y305" s="2">
        <f t="shared" si="33"/>
        <v>8307.75</v>
      </c>
      <c r="Z305" s="10">
        <f>+'A) Base RI'!N305</f>
        <v>3441.6</v>
      </c>
      <c r="AA305" s="10">
        <f>+'A) Base RI'!S305+'A) Base RI'!T305</f>
        <v>0</v>
      </c>
      <c r="AB305" s="10">
        <f>+'A) Base RI'!U305</f>
        <v>1440</v>
      </c>
      <c r="AC305" s="10">
        <f>+'A) Base RI'!V305</f>
        <v>0</v>
      </c>
      <c r="AD305" s="10">
        <f>+'A) Base RI'!W305</f>
        <v>0</v>
      </c>
      <c r="AE305" s="10">
        <f>+'A) Base RI'!Y305</f>
        <v>5000</v>
      </c>
      <c r="AF305" s="10">
        <f>+'A) Base RI'!Z305</f>
        <v>0</v>
      </c>
      <c r="AG305" s="10">
        <f>+'A) Base RI'!AA305</f>
        <v>31887.5</v>
      </c>
      <c r="AH305" s="10">
        <f>+'A) Base RI'!AB305</f>
        <v>0</v>
      </c>
      <c r="AI305" s="10">
        <f>+'A) Base RI'!AC305</f>
        <v>8332.25</v>
      </c>
      <c r="AJ305" s="10">
        <f>+'A) Base RI'!AD305</f>
        <v>1250</v>
      </c>
      <c r="AK305" s="10">
        <f>+'A) Base RI'!AE305</f>
        <v>0</v>
      </c>
      <c r="AL305" s="10">
        <f>+'A) Base RI'!AF305</f>
        <v>0</v>
      </c>
      <c r="AM305" s="10">
        <f>+'A) Base RI'!AG305</f>
        <v>0</v>
      </c>
      <c r="AN305" s="10">
        <f>+'A) Base RI'!AH305</f>
        <v>0</v>
      </c>
      <c r="AO305" s="10">
        <f>+'A) Base RI'!AI305</f>
        <v>0</v>
      </c>
      <c r="AP305" s="10">
        <f>+'A) Base RI'!AJ305</f>
        <v>0</v>
      </c>
      <c r="AQ305" s="10">
        <f>+'A) Base RI'!AK305</f>
        <v>0</v>
      </c>
      <c r="AR305" s="10">
        <f>'A) Base RI'!AN305</f>
        <v>187</v>
      </c>
    </row>
    <row r="306" spans="1:44" x14ac:dyDescent="0.25">
      <c r="A306" s="8">
        <f>'A) Base RI'!A306</f>
        <v>5929</v>
      </c>
      <c r="B306" s="34" t="str">
        <f>'A) Base RI'!B306</f>
        <v>Suchy</v>
      </c>
      <c r="C306" s="10">
        <f>'A) Base RI'!C306+'A) Base RI'!D306</f>
        <v>1047877.1699999999</v>
      </c>
      <c r="D306" s="10">
        <f>'A) Base RI'!AO306</f>
        <v>-6843.44</v>
      </c>
      <c r="E306" s="33">
        <f>'A) Base RI'!AP306</f>
        <v>0</v>
      </c>
      <c r="F306" s="33">
        <f>'A) Base RI'!AQ306</f>
        <v>0</v>
      </c>
      <c r="G306" s="2">
        <f t="shared" si="28"/>
        <v>1041033.73</v>
      </c>
      <c r="H306" s="10">
        <f>+'A) Base RI'!E306</f>
        <v>0</v>
      </c>
      <c r="I306" s="10">
        <f>+'A) Base RI'!F306</f>
        <v>0</v>
      </c>
      <c r="J306" s="10">
        <f>+'A) Base RI'!G306+'A) Base RI'!H306</f>
        <v>21365.9</v>
      </c>
      <c r="K306" s="10">
        <f>+'A) Base RI'!I306</f>
        <v>41100.15</v>
      </c>
      <c r="L306" s="10">
        <f>+'A) Base RI'!J306</f>
        <v>-4821.1899999999996</v>
      </c>
      <c r="M306" s="10">
        <f>+'A) Base RI'!K306</f>
        <v>0</v>
      </c>
      <c r="N306" s="10">
        <f>+'A) Base RI'!Q306</f>
        <v>0</v>
      </c>
      <c r="O306" s="10">
        <f t="shared" si="29"/>
        <v>99611.812499999985</v>
      </c>
      <c r="P306" s="10">
        <f>+'A) Base RI'!L306</f>
        <v>79689.45</v>
      </c>
      <c r="Q306" s="36">
        <f>'A) Base RI'!AR306</f>
        <v>0.8</v>
      </c>
      <c r="R306" s="2">
        <f t="shared" si="30"/>
        <v>1198290.4024999999</v>
      </c>
      <c r="S306" s="35">
        <f>+'A) Base RI'!AM306</f>
        <v>70</v>
      </c>
      <c r="T306" s="2">
        <f t="shared" si="31"/>
        <v>1098678.5899999999</v>
      </c>
      <c r="U306" s="2">
        <f t="shared" si="32"/>
        <v>17118.434321428569</v>
      </c>
      <c r="V306" s="10">
        <f>+'A) Base RI'!O306</f>
        <v>0</v>
      </c>
      <c r="W306" s="10">
        <f>+'A) Base RI'!P306</f>
        <v>38314.400000000001</v>
      </c>
      <c r="X306" s="10">
        <f>+'A) Base RI'!R306</f>
        <v>46879.45</v>
      </c>
      <c r="Y306" s="2">
        <f t="shared" si="33"/>
        <v>85193.85</v>
      </c>
      <c r="Z306" s="10">
        <f>+'A) Base RI'!N306</f>
        <v>5924.95</v>
      </c>
      <c r="AA306" s="10">
        <f>+'A) Base RI'!S306+'A) Base RI'!T306</f>
        <v>231.45</v>
      </c>
      <c r="AB306" s="10">
        <f>+'A) Base RI'!U306</f>
        <v>1980</v>
      </c>
      <c r="AC306" s="10">
        <f>+'A) Base RI'!V306</f>
        <v>700</v>
      </c>
      <c r="AD306" s="10">
        <f>+'A) Base RI'!W306</f>
        <v>0</v>
      </c>
      <c r="AE306" s="10">
        <f>+'A) Base RI'!Y306</f>
        <v>7665.8</v>
      </c>
      <c r="AF306" s="10">
        <f>+'A) Base RI'!Z306</f>
        <v>0</v>
      </c>
      <c r="AG306" s="10">
        <f>+'A) Base RI'!AA306</f>
        <v>192155.6</v>
      </c>
      <c r="AH306" s="10">
        <f>+'A) Base RI'!AB306</f>
        <v>0</v>
      </c>
      <c r="AI306" s="10">
        <f>+'A) Base RI'!AC306</f>
        <v>44659.5</v>
      </c>
      <c r="AJ306" s="10">
        <f>+'A) Base RI'!AD306</f>
        <v>0</v>
      </c>
      <c r="AK306" s="10">
        <f>+'A) Base RI'!AE306</f>
        <v>0</v>
      </c>
      <c r="AL306" s="10">
        <f>+'A) Base RI'!AF306</f>
        <v>0</v>
      </c>
      <c r="AM306" s="10">
        <f>+'A) Base RI'!AG306</f>
        <v>0</v>
      </c>
      <c r="AN306" s="10">
        <f>+'A) Base RI'!AH306</f>
        <v>11683.3</v>
      </c>
      <c r="AO306" s="10">
        <f>+'A) Base RI'!AI306</f>
        <v>0</v>
      </c>
      <c r="AP306" s="10">
        <f>+'A) Base RI'!AJ306</f>
        <v>0</v>
      </c>
      <c r="AQ306" s="10">
        <f>+'A) Base RI'!AK306</f>
        <v>0</v>
      </c>
      <c r="AR306" s="10">
        <f>'A) Base RI'!AN306</f>
        <v>605</v>
      </c>
    </row>
    <row r="307" spans="1:44" x14ac:dyDescent="0.25">
      <c r="A307" s="8">
        <f>'A) Base RI'!A307</f>
        <v>5930</v>
      </c>
      <c r="B307" s="34" t="str">
        <f>'A) Base RI'!B307</f>
        <v>Suscévaz</v>
      </c>
      <c r="C307" s="10">
        <f>'A) Base RI'!C307+'A) Base RI'!D307</f>
        <v>352648.88</v>
      </c>
      <c r="D307" s="10">
        <f>'A) Base RI'!AO307</f>
        <v>-38.82</v>
      </c>
      <c r="E307" s="33">
        <f>'A) Base RI'!AP307</f>
        <v>0</v>
      </c>
      <c r="F307" s="33">
        <f>'A) Base RI'!AQ307</f>
        <v>0</v>
      </c>
      <c r="G307" s="2">
        <f t="shared" si="28"/>
        <v>352610.06</v>
      </c>
      <c r="H307" s="10">
        <f>+'A) Base RI'!E307</f>
        <v>0</v>
      </c>
      <c r="I307" s="10">
        <f>+'A) Base RI'!F307</f>
        <v>0</v>
      </c>
      <c r="J307" s="10">
        <f>+'A) Base RI'!G307+'A) Base RI'!H307</f>
        <v>142.80000000000001</v>
      </c>
      <c r="K307" s="10">
        <f>+'A) Base RI'!I307</f>
        <v>0</v>
      </c>
      <c r="L307" s="10">
        <f>+'A) Base RI'!J307</f>
        <v>6175.96</v>
      </c>
      <c r="M307" s="10">
        <f>+'A) Base RI'!K307</f>
        <v>228.6</v>
      </c>
      <c r="N307" s="10">
        <f>+'A) Base RI'!Q307</f>
        <v>0</v>
      </c>
      <c r="O307" s="10">
        <f t="shared" si="29"/>
        <v>26957.8</v>
      </c>
      <c r="P307" s="10">
        <f>+'A) Base RI'!L307</f>
        <v>26957.8</v>
      </c>
      <c r="Q307" s="36">
        <f>'A) Base RI'!AR307</f>
        <v>1</v>
      </c>
      <c r="R307" s="2">
        <f t="shared" si="30"/>
        <v>386115.22</v>
      </c>
      <c r="S307" s="35">
        <f>+'A) Base RI'!AM307</f>
        <v>72</v>
      </c>
      <c r="T307" s="2">
        <f t="shared" si="31"/>
        <v>358928.82</v>
      </c>
      <c r="U307" s="2">
        <f t="shared" si="32"/>
        <v>5362.7113888888889</v>
      </c>
      <c r="V307" s="10">
        <f>+'A) Base RI'!O307</f>
        <v>2348.6</v>
      </c>
      <c r="W307" s="10">
        <f>+'A) Base RI'!P307</f>
        <v>28111.45</v>
      </c>
      <c r="X307" s="10">
        <f>+'A) Base RI'!R307</f>
        <v>11061.6</v>
      </c>
      <c r="Y307" s="2">
        <f t="shared" si="33"/>
        <v>41521.65</v>
      </c>
      <c r="Z307" s="10">
        <f>+'A) Base RI'!N307</f>
        <v>0</v>
      </c>
      <c r="AA307" s="10">
        <f>+'A) Base RI'!S307+'A) Base RI'!T307</f>
        <v>50</v>
      </c>
      <c r="AB307" s="10">
        <f>+'A) Base RI'!U307</f>
        <v>570</v>
      </c>
      <c r="AC307" s="10">
        <f>+'A) Base RI'!V307</f>
        <v>0</v>
      </c>
      <c r="AD307" s="10">
        <f>+'A) Base RI'!W307</f>
        <v>1080</v>
      </c>
      <c r="AE307" s="10">
        <f>+'A) Base RI'!Y307</f>
        <v>4250</v>
      </c>
      <c r="AF307" s="10">
        <f>+'A) Base RI'!Z307</f>
        <v>0</v>
      </c>
      <c r="AG307" s="10">
        <f>+'A) Base RI'!AA307</f>
        <v>17570.849999999999</v>
      </c>
      <c r="AH307" s="10">
        <f>+'A) Base RI'!AB307</f>
        <v>0</v>
      </c>
      <c r="AI307" s="10">
        <f>+'A) Base RI'!AC307</f>
        <v>7750.05</v>
      </c>
      <c r="AJ307" s="10">
        <f>+'A) Base RI'!AD307</f>
        <v>2504.6</v>
      </c>
      <c r="AK307" s="10">
        <f>+'A) Base RI'!AE307</f>
        <v>0</v>
      </c>
      <c r="AL307" s="10">
        <f>+'A) Base RI'!AF307</f>
        <v>0</v>
      </c>
      <c r="AM307" s="10">
        <f>+'A) Base RI'!AG307</f>
        <v>0</v>
      </c>
      <c r="AN307" s="10">
        <f>+'A) Base RI'!AH307</f>
        <v>0</v>
      </c>
      <c r="AO307" s="10">
        <f>+'A) Base RI'!AI307</f>
        <v>0</v>
      </c>
      <c r="AP307" s="10">
        <f>+'A) Base RI'!AJ307</f>
        <v>0</v>
      </c>
      <c r="AQ307" s="10">
        <f>+'A) Base RI'!AK307</f>
        <v>0</v>
      </c>
      <c r="AR307" s="10">
        <f>'A) Base RI'!AN307</f>
        <v>200</v>
      </c>
    </row>
    <row r="308" spans="1:44" x14ac:dyDescent="0.25">
      <c r="A308" s="8">
        <f>'A) Base RI'!A308</f>
        <v>5931</v>
      </c>
      <c r="B308" s="34" t="str">
        <f>'A) Base RI'!B308</f>
        <v>Treycovagnes</v>
      </c>
      <c r="C308" s="10">
        <f>'A) Base RI'!C308+'A) Base RI'!D308</f>
        <v>940005.42999999993</v>
      </c>
      <c r="D308" s="10">
        <f>'A) Base RI'!AO308</f>
        <v>-8822.74</v>
      </c>
      <c r="E308" s="33">
        <f>'A) Base RI'!AP308</f>
        <v>0</v>
      </c>
      <c r="F308" s="33">
        <f>'A) Base RI'!AQ308</f>
        <v>-0.28000000000000003</v>
      </c>
      <c r="G308" s="2">
        <f t="shared" si="28"/>
        <v>931182.40999999992</v>
      </c>
      <c r="H308" s="10">
        <f>+'A) Base RI'!E308</f>
        <v>0</v>
      </c>
      <c r="I308" s="10">
        <f>+'A) Base RI'!F308</f>
        <v>0</v>
      </c>
      <c r="J308" s="10">
        <f>+'A) Base RI'!G308+'A) Base RI'!H308</f>
        <v>-15524.35</v>
      </c>
      <c r="K308" s="10">
        <f>+'A) Base RI'!I308</f>
        <v>0</v>
      </c>
      <c r="L308" s="10">
        <f>+'A) Base RI'!J308</f>
        <v>3430.86</v>
      </c>
      <c r="M308" s="10">
        <f>+'A) Base RI'!K308</f>
        <v>1039.8</v>
      </c>
      <c r="N308" s="10">
        <f>+'A) Base RI'!Q308</f>
        <v>4322.1099999999997</v>
      </c>
      <c r="O308" s="10">
        <f t="shared" si="29"/>
        <v>72198.399999999994</v>
      </c>
      <c r="P308" s="10">
        <f>+'A) Base RI'!L308</f>
        <v>72198.399999999994</v>
      </c>
      <c r="Q308" s="36">
        <f>'A) Base RI'!AR308</f>
        <v>1</v>
      </c>
      <c r="R308" s="2">
        <f t="shared" si="30"/>
        <v>996649.23</v>
      </c>
      <c r="S308" s="35">
        <f>+'A) Base RI'!AM308</f>
        <v>75</v>
      </c>
      <c r="T308" s="2">
        <f t="shared" si="31"/>
        <v>923411.02999999991</v>
      </c>
      <c r="U308" s="2">
        <f t="shared" si="32"/>
        <v>13288.6564</v>
      </c>
      <c r="V308" s="10">
        <f>+'A) Base RI'!O308</f>
        <v>0</v>
      </c>
      <c r="W308" s="10">
        <f>+'A) Base RI'!P308</f>
        <v>60753</v>
      </c>
      <c r="X308" s="10">
        <f>+'A) Base RI'!R308</f>
        <v>48827.25</v>
      </c>
      <c r="Y308" s="2">
        <f t="shared" si="33"/>
        <v>109580.25</v>
      </c>
      <c r="Z308" s="10">
        <f>+'A) Base RI'!N308</f>
        <v>4225.45</v>
      </c>
      <c r="AA308" s="10">
        <f>+'A) Base RI'!S308+'A) Base RI'!T308</f>
        <v>497.25</v>
      </c>
      <c r="AB308" s="10">
        <f>+'A) Base RI'!U308</f>
        <v>3350</v>
      </c>
      <c r="AC308" s="10">
        <f>+'A) Base RI'!V308</f>
        <v>0</v>
      </c>
      <c r="AD308" s="10">
        <f>+'A) Base RI'!W308</f>
        <v>0</v>
      </c>
      <c r="AE308" s="10">
        <f>+'A) Base RI'!Y308</f>
        <v>6000</v>
      </c>
      <c r="AF308" s="10">
        <f>+'A) Base RI'!Z308</f>
        <v>0</v>
      </c>
      <c r="AG308" s="10">
        <f>+'A) Base RI'!AA308</f>
        <v>43221.85</v>
      </c>
      <c r="AH308" s="10">
        <f>+'A) Base RI'!AB308</f>
        <v>0</v>
      </c>
      <c r="AI308" s="10">
        <f>+'A) Base RI'!AC308</f>
        <v>37189.599999999999</v>
      </c>
      <c r="AJ308" s="10">
        <f>+'A) Base RI'!AD308</f>
        <v>4617</v>
      </c>
      <c r="AK308" s="10">
        <f>+'A) Base RI'!AE308</f>
        <v>0</v>
      </c>
      <c r="AL308" s="10">
        <f>+'A) Base RI'!AF308</f>
        <v>0</v>
      </c>
      <c r="AM308" s="10">
        <f>+'A) Base RI'!AG308</f>
        <v>0</v>
      </c>
      <c r="AN308" s="10">
        <f>+'A) Base RI'!AH308</f>
        <v>12170.6</v>
      </c>
      <c r="AO308" s="10">
        <f>+'A) Base RI'!AI308</f>
        <v>0</v>
      </c>
      <c r="AP308" s="10">
        <f>+'A) Base RI'!AJ308</f>
        <v>0</v>
      </c>
      <c r="AQ308" s="10">
        <f>+'A) Base RI'!AK308</f>
        <v>0</v>
      </c>
      <c r="AR308" s="10">
        <f>'A) Base RI'!AN308</f>
        <v>456</v>
      </c>
    </row>
    <row r="309" spans="1:44" x14ac:dyDescent="0.25">
      <c r="A309" s="8">
        <f>'A) Base RI'!A309</f>
        <v>5932</v>
      </c>
      <c r="B309" s="34" t="str">
        <f>'A) Base RI'!B309</f>
        <v>Ursins</v>
      </c>
      <c r="C309" s="10">
        <f>'A) Base RI'!C309+'A) Base RI'!D309</f>
        <v>474380.05</v>
      </c>
      <c r="D309" s="10">
        <f>'A) Base RI'!AO309</f>
        <v>-5065.78</v>
      </c>
      <c r="E309" s="33">
        <f>'A) Base RI'!AP309</f>
        <v>0</v>
      </c>
      <c r="F309" s="33">
        <f>'A) Base RI'!AQ309</f>
        <v>-9.44</v>
      </c>
      <c r="G309" s="2">
        <f t="shared" si="28"/>
        <v>469304.82999999996</v>
      </c>
      <c r="H309" s="10">
        <f>+'A) Base RI'!E309</f>
        <v>0</v>
      </c>
      <c r="I309" s="10">
        <f>+'A) Base RI'!F309</f>
        <v>1260</v>
      </c>
      <c r="J309" s="10">
        <f>+'A) Base RI'!G309+'A) Base RI'!H309</f>
        <v>1005.1999999999999</v>
      </c>
      <c r="K309" s="10">
        <f>+'A) Base RI'!I309</f>
        <v>27678.7</v>
      </c>
      <c r="L309" s="10">
        <f>+'A) Base RI'!J309</f>
        <v>6457.67</v>
      </c>
      <c r="M309" s="10">
        <f>+'A) Base RI'!K309</f>
        <v>-20</v>
      </c>
      <c r="N309" s="10">
        <f>+'A) Base RI'!Q309</f>
        <v>0</v>
      </c>
      <c r="O309" s="10">
        <f t="shared" si="29"/>
        <v>29290.7</v>
      </c>
      <c r="P309" s="10">
        <f>+'A) Base RI'!L309</f>
        <v>29290.7</v>
      </c>
      <c r="Q309" s="36">
        <f>'A) Base RI'!AR309</f>
        <v>1</v>
      </c>
      <c r="R309" s="2">
        <f t="shared" si="30"/>
        <v>534977.1</v>
      </c>
      <c r="S309" s="35">
        <f>+'A) Base RI'!AM309</f>
        <v>78</v>
      </c>
      <c r="T309" s="2">
        <f t="shared" si="31"/>
        <v>504446.39999999997</v>
      </c>
      <c r="U309" s="2">
        <f t="shared" si="32"/>
        <v>6858.6807692307693</v>
      </c>
      <c r="V309" s="10">
        <f>+'A) Base RI'!O309</f>
        <v>0</v>
      </c>
      <c r="W309" s="10">
        <f>+'A) Base RI'!P309</f>
        <v>26400</v>
      </c>
      <c r="X309" s="10">
        <f>+'A) Base RI'!R309</f>
        <v>0</v>
      </c>
      <c r="Y309" s="2">
        <f t="shared" si="33"/>
        <v>26400</v>
      </c>
      <c r="Z309" s="10">
        <f>+'A) Base RI'!N309</f>
        <v>0</v>
      </c>
      <c r="AA309" s="10">
        <f>+'A) Base RI'!S309+'A) Base RI'!T309</f>
        <v>1200</v>
      </c>
      <c r="AB309" s="10">
        <f>+'A) Base RI'!U309</f>
        <v>1800</v>
      </c>
      <c r="AC309" s="10">
        <f>+'A) Base RI'!V309</f>
        <v>0</v>
      </c>
      <c r="AD309" s="10">
        <f>+'A) Base RI'!W309</f>
        <v>0</v>
      </c>
      <c r="AE309" s="10">
        <f>+'A) Base RI'!Y309</f>
        <v>20387.5</v>
      </c>
      <c r="AF309" s="10">
        <f>+'A) Base RI'!Z309</f>
        <v>0</v>
      </c>
      <c r="AG309" s="10">
        <f>+'A) Base RI'!AA309</f>
        <v>13700</v>
      </c>
      <c r="AH309" s="10">
        <f>+'A) Base RI'!AB309</f>
        <v>0</v>
      </c>
      <c r="AI309" s="10">
        <f>+'A) Base RI'!AC309</f>
        <v>8891.65</v>
      </c>
      <c r="AJ309" s="10">
        <f>+'A) Base RI'!AD309</f>
        <v>18474.849999999999</v>
      </c>
      <c r="AK309" s="10">
        <f>+'A) Base RI'!AE309</f>
        <v>0</v>
      </c>
      <c r="AL309" s="10">
        <f>+'A) Base RI'!AF309</f>
        <v>0</v>
      </c>
      <c r="AM309" s="10">
        <f>+'A) Base RI'!AG309</f>
        <v>0</v>
      </c>
      <c r="AN309" s="10">
        <f>+'A) Base RI'!AH309</f>
        <v>0</v>
      </c>
      <c r="AO309" s="10">
        <f>+'A) Base RI'!AI309</f>
        <v>0</v>
      </c>
      <c r="AP309" s="10">
        <f>+'A) Base RI'!AJ309</f>
        <v>0</v>
      </c>
      <c r="AQ309" s="10">
        <f>+'A) Base RI'!AK309</f>
        <v>0</v>
      </c>
      <c r="AR309" s="10">
        <f>'A) Base RI'!AN309</f>
        <v>218</v>
      </c>
    </row>
    <row r="310" spans="1:44" x14ac:dyDescent="0.25">
      <c r="A310" s="8">
        <f>'A) Base RI'!A310</f>
        <v>5933</v>
      </c>
      <c r="B310" s="34" t="str">
        <f>'A) Base RI'!B310</f>
        <v>Valeyres-sous-Montagny</v>
      </c>
      <c r="C310" s="10">
        <f>'A) Base RI'!C310+'A) Base RI'!D310</f>
        <v>1386909.3</v>
      </c>
      <c r="D310" s="10">
        <f>'A) Base RI'!AO310</f>
        <v>-28680.9</v>
      </c>
      <c r="E310" s="33">
        <f>'A) Base RI'!AP310</f>
        <v>-16652.5</v>
      </c>
      <c r="F310" s="33">
        <f>'A) Base RI'!AQ310</f>
        <v>-0.03</v>
      </c>
      <c r="G310" s="2">
        <f t="shared" si="28"/>
        <v>1341575.8700000001</v>
      </c>
      <c r="H310" s="10">
        <f>+'A) Base RI'!E310</f>
        <v>0</v>
      </c>
      <c r="I310" s="10">
        <f>+'A) Base RI'!F310</f>
        <v>0</v>
      </c>
      <c r="J310" s="10">
        <f>+'A) Base RI'!G310+'A) Base RI'!H310</f>
        <v>25342</v>
      </c>
      <c r="K310" s="10">
        <f>+'A) Base RI'!I310</f>
        <v>0</v>
      </c>
      <c r="L310" s="10">
        <f>+'A) Base RI'!J310</f>
        <v>18722.27</v>
      </c>
      <c r="M310" s="10">
        <f>+'A) Base RI'!K310</f>
        <v>2228.0500000000002</v>
      </c>
      <c r="N310" s="10">
        <f>+'A) Base RI'!Q310</f>
        <v>3897.83</v>
      </c>
      <c r="O310" s="10">
        <f t="shared" si="29"/>
        <v>103184.15</v>
      </c>
      <c r="P310" s="10">
        <f>+'A) Base RI'!L310</f>
        <v>103184.15</v>
      </c>
      <c r="Q310" s="36">
        <f>'A) Base RI'!AR310</f>
        <v>1</v>
      </c>
      <c r="R310" s="2">
        <f t="shared" si="30"/>
        <v>1494950.1700000002</v>
      </c>
      <c r="S310" s="35">
        <f>+'A) Base RI'!AM310</f>
        <v>72</v>
      </c>
      <c r="T310" s="2">
        <f t="shared" si="31"/>
        <v>1389537.9700000002</v>
      </c>
      <c r="U310" s="2">
        <f t="shared" si="32"/>
        <v>20763.196805555559</v>
      </c>
      <c r="V310" s="10">
        <f>+'A) Base RI'!O310</f>
        <v>27970</v>
      </c>
      <c r="W310" s="10">
        <f>+'A) Base RI'!P310</f>
        <v>67289.649999999994</v>
      </c>
      <c r="X310" s="10">
        <f>+'A) Base RI'!R310</f>
        <v>32187.7</v>
      </c>
      <c r="Y310" s="2">
        <f t="shared" si="33"/>
        <v>127447.34999999999</v>
      </c>
      <c r="Z310" s="10">
        <f>+'A) Base RI'!N310</f>
        <v>9457.15</v>
      </c>
      <c r="AA310" s="10">
        <f>+'A) Base RI'!S310+'A) Base RI'!T310</f>
        <v>1899.85</v>
      </c>
      <c r="AB310" s="10">
        <f>+'A) Base RI'!U310</f>
        <v>3720</v>
      </c>
      <c r="AC310" s="10">
        <f>+'A) Base RI'!V310</f>
        <v>0</v>
      </c>
      <c r="AD310" s="10">
        <f>+'A) Base RI'!W310</f>
        <v>0</v>
      </c>
      <c r="AE310" s="10">
        <f>+'A) Base RI'!Y310</f>
        <v>17098</v>
      </c>
      <c r="AF310" s="10">
        <f>+'A) Base RI'!Z310</f>
        <v>0</v>
      </c>
      <c r="AG310" s="10">
        <f>+'A) Base RI'!AA310</f>
        <v>74352.7</v>
      </c>
      <c r="AH310" s="10">
        <f>+'A) Base RI'!AB310</f>
        <v>0</v>
      </c>
      <c r="AI310" s="10">
        <f>+'A) Base RI'!AC310</f>
        <v>32342.75</v>
      </c>
      <c r="AJ310" s="10">
        <f>+'A) Base RI'!AD310</f>
        <v>7198</v>
      </c>
      <c r="AK310" s="10">
        <f>+'A) Base RI'!AE310</f>
        <v>0</v>
      </c>
      <c r="AL310" s="10">
        <f>+'A) Base RI'!AF310</f>
        <v>0</v>
      </c>
      <c r="AM310" s="10">
        <f>+'A) Base RI'!AG310</f>
        <v>0</v>
      </c>
      <c r="AN310" s="10">
        <f>+'A) Base RI'!AH310</f>
        <v>0</v>
      </c>
      <c r="AO310" s="10">
        <f>+'A) Base RI'!AI310</f>
        <v>0</v>
      </c>
      <c r="AP310" s="10">
        <f>+'A) Base RI'!AJ310</f>
        <v>0</v>
      </c>
      <c r="AQ310" s="10">
        <f>+'A) Base RI'!AK310</f>
        <v>0</v>
      </c>
      <c r="AR310" s="10">
        <f>'A) Base RI'!AN310</f>
        <v>705</v>
      </c>
    </row>
    <row r="311" spans="1:44" x14ac:dyDescent="0.25">
      <c r="A311" s="8">
        <f>'A) Base RI'!A311</f>
        <v>5934</v>
      </c>
      <c r="B311" s="34" t="str">
        <f>'A) Base RI'!B311</f>
        <v>Valeyres-sous-Ursins</v>
      </c>
      <c r="C311" s="10">
        <f>'A) Base RI'!C311+'A) Base RI'!D311</f>
        <v>515681.25</v>
      </c>
      <c r="D311" s="10">
        <f>'A) Base RI'!AO311</f>
        <v>-14077.18</v>
      </c>
      <c r="E311" s="33">
        <f>'A) Base RI'!AP311</f>
        <v>-1500.95</v>
      </c>
      <c r="F311" s="33">
        <f>'A) Base RI'!AQ311</f>
        <v>0</v>
      </c>
      <c r="G311" s="2">
        <f t="shared" si="28"/>
        <v>500103.12</v>
      </c>
      <c r="H311" s="10">
        <f>+'A) Base RI'!E311</f>
        <v>0</v>
      </c>
      <c r="I311" s="10">
        <f>+'A) Base RI'!F311</f>
        <v>1350</v>
      </c>
      <c r="J311" s="10">
        <f>+'A) Base RI'!G311+'A) Base RI'!H311</f>
        <v>17364.850000000002</v>
      </c>
      <c r="K311" s="10">
        <f>+'A) Base RI'!I311</f>
        <v>0</v>
      </c>
      <c r="L311" s="10">
        <f>+'A) Base RI'!J311</f>
        <v>-1577</v>
      </c>
      <c r="M311" s="10">
        <f>+'A) Base RI'!K311</f>
        <v>0</v>
      </c>
      <c r="N311" s="10">
        <f>+'A) Base RI'!Q311</f>
        <v>0</v>
      </c>
      <c r="O311" s="10">
        <f t="shared" si="29"/>
        <v>27512.3</v>
      </c>
      <c r="P311" s="10">
        <f>+'A) Base RI'!L311</f>
        <v>27512.3</v>
      </c>
      <c r="Q311" s="36">
        <f>'A) Base RI'!AR311</f>
        <v>1</v>
      </c>
      <c r="R311" s="2">
        <f t="shared" si="30"/>
        <v>544753.27</v>
      </c>
      <c r="S311" s="35">
        <f>+'A) Base RI'!AM311</f>
        <v>79</v>
      </c>
      <c r="T311" s="2">
        <f t="shared" si="31"/>
        <v>515890.97</v>
      </c>
      <c r="U311" s="2">
        <f t="shared" si="32"/>
        <v>6895.611012658228</v>
      </c>
      <c r="V311" s="10">
        <f>+'A) Base RI'!O311</f>
        <v>0</v>
      </c>
      <c r="W311" s="10">
        <f>+'A) Base RI'!P311</f>
        <v>0</v>
      </c>
      <c r="X311" s="10">
        <f>+'A) Base RI'!R311</f>
        <v>0</v>
      </c>
      <c r="Y311" s="2">
        <f t="shared" si="33"/>
        <v>0</v>
      </c>
      <c r="Z311" s="10">
        <f>+'A) Base RI'!N311</f>
        <v>0</v>
      </c>
      <c r="AA311" s="10">
        <f>+'A) Base RI'!S311+'A) Base RI'!T311</f>
        <v>0</v>
      </c>
      <c r="AB311" s="10">
        <f>+'A) Base RI'!U311</f>
        <v>840</v>
      </c>
      <c r="AC311" s="10">
        <f>+'A) Base RI'!V311</f>
        <v>0</v>
      </c>
      <c r="AD311" s="10">
        <f>+'A) Base RI'!W311</f>
        <v>0</v>
      </c>
      <c r="AE311" s="10">
        <f>+'A) Base RI'!Y311</f>
        <v>29200.15</v>
      </c>
      <c r="AF311" s="10">
        <f>+'A) Base RI'!Z311</f>
        <v>0</v>
      </c>
      <c r="AG311" s="10">
        <f>+'A) Base RI'!AA311</f>
        <v>11180</v>
      </c>
      <c r="AH311" s="10">
        <f>+'A) Base RI'!AB311</f>
        <v>0</v>
      </c>
      <c r="AI311" s="10">
        <f>+'A) Base RI'!AC311</f>
        <v>0</v>
      </c>
      <c r="AJ311" s="10">
        <f>+'A) Base RI'!AD311</f>
        <v>0</v>
      </c>
      <c r="AK311" s="10">
        <f>+'A) Base RI'!AE311</f>
        <v>0</v>
      </c>
      <c r="AL311" s="10">
        <f>+'A) Base RI'!AF311</f>
        <v>0</v>
      </c>
      <c r="AM311" s="10">
        <f>+'A) Base RI'!AG311</f>
        <v>0</v>
      </c>
      <c r="AN311" s="10">
        <f>+'A) Base RI'!AH311</f>
        <v>0</v>
      </c>
      <c r="AO311" s="10">
        <f>+'A) Base RI'!AI311</f>
        <v>0</v>
      </c>
      <c r="AP311" s="10">
        <f>+'A) Base RI'!AJ311</f>
        <v>0</v>
      </c>
      <c r="AQ311" s="10">
        <f>+'A) Base RI'!AK311</f>
        <v>0</v>
      </c>
      <c r="AR311" s="10">
        <f>'A) Base RI'!AN311</f>
        <v>238</v>
      </c>
    </row>
    <row r="312" spans="1:44" x14ac:dyDescent="0.25">
      <c r="A312" s="8">
        <f>'A) Base RI'!A312</f>
        <v>5935</v>
      </c>
      <c r="B312" s="34" t="str">
        <f>'A) Base RI'!B312</f>
        <v>Villars-Epeney</v>
      </c>
      <c r="C312" s="10">
        <f>'A) Base RI'!C312+'A) Base RI'!D312</f>
        <v>314373.45</v>
      </c>
      <c r="D312" s="10">
        <f>'A) Base RI'!AO312</f>
        <v>-25.31</v>
      </c>
      <c r="E312" s="33">
        <f>'A) Base RI'!AP312</f>
        <v>0</v>
      </c>
      <c r="F312" s="33">
        <f>'A) Base RI'!AQ312</f>
        <v>-113.2</v>
      </c>
      <c r="G312" s="2">
        <f t="shared" si="28"/>
        <v>314234.94</v>
      </c>
      <c r="H312" s="10">
        <f>+'A) Base RI'!E312</f>
        <v>0</v>
      </c>
      <c r="I312" s="10">
        <f>+'A) Base RI'!F312</f>
        <v>0</v>
      </c>
      <c r="J312" s="10">
        <f>+'A) Base RI'!G312+'A) Base RI'!H312</f>
        <v>-1649.6999999999998</v>
      </c>
      <c r="K312" s="10">
        <f>+'A) Base RI'!I312</f>
        <v>0</v>
      </c>
      <c r="L312" s="10">
        <f>+'A) Base RI'!J312</f>
        <v>342.79</v>
      </c>
      <c r="M312" s="10">
        <f>+'A) Base RI'!K312</f>
        <v>0</v>
      </c>
      <c r="N312" s="10">
        <f>+'A) Base RI'!Q312</f>
        <v>0</v>
      </c>
      <c r="O312" s="10">
        <f t="shared" si="29"/>
        <v>17548.95</v>
      </c>
      <c r="P312" s="10">
        <f>+'A) Base RI'!L312</f>
        <v>17548.95</v>
      </c>
      <c r="Q312" s="36">
        <f>'A) Base RI'!AR312</f>
        <v>1</v>
      </c>
      <c r="R312" s="2">
        <f t="shared" si="30"/>
        <v>330476.98</v>
      </c>
      <c r="S312" s="35">
        <f>+'A) Base RI'!AM312</f>
        <v>60</v>
      </c>
      <c r="T312" s="2">
        <f t="shared" si="31"/>
        <v>312928.02999999997</v>
      </c>
      <c r="U312" s="2">
        <f t="shared" si="32"/>
        <v>5507.9496666666664</v>
      </c>
      <c r="V312" s="10">
        <f>+'A) Base RI'!O312</f>
        <v>0</v>
      </c>
      <c r="W312" s="10">
        <f>+'A) Base RI'!P312</f>
        <v>9460</v>
      </c>
      <c r="X312" s="10">
        <f>+'A) Base RI'!R312</f>
        <v>0</v>
      </c>
      <c r="Y312" s="2">
        <f t="shared" si="33"/>
        <v>9460</v>
      </c>
      <c r="Z312" s="10">
        <f>+'A) Base RI'!N312</f>
        <v>0</v>
      </c>
      <c r="AA312" s="10">
        <f>+'A) Base RI'!S312+'A) Base RI'!T312</f>
        <v>0</v>
      </c>
      <c r="AB312" s="10">
        <f>+'A) Base RI'!U312</f>
        <v>130</v>
      </c>
      <c r="AC312" s="10">
        <f>+'A) Base RI'!V312</f>
        <v>0</v>
      </c>
      <c r="AD312" s="10">
        <f>+'A) Base RI'!W312</f>
        <v>0</v>
      </c>
      <c r="AE312" s="10">
        <f>+'A) Base RI'!Y312</f>
        <v>7412.15</v>
      </c>
      <c r="AF312" s="10">
        <f>+'A) Base RI'!Z312</f>
        <v>0</v>
      </c>
      <c r="AG312" s="10">
        <f>+'A) Base RI'!AA312</f>
        <v>5833</v>
      </c>
      <c r="AH312" s="10">
        <f>+'A) Base RI'!AB312</f>
        <v>0</v>
      </c>
      <c r="AI312" s="10">
        <f>+'A) Base RI'!AC312</f>
        <v>6437</v>
      </c>
      <c r="AJ312" s="10">
        <f>+'A) Base RI'!AD312</f>
        <v>7623</v>
      </c>
      <c r="AK312" s="10">
        <f>+'A) Base RI'!AE312</f>
        <v>0</v>
      </c>
      <c r="AL312" s="10">
        <f>+'A) Base RI'!AF312</f>
        <v>0</v>
      </c>
      <c r="AM312" s="10">
        <f>+'A) Base RI'!AG312</f>
        <v>0</v>
      </c>
      <c r="AN312" s="10">
        <f>+'A) Base RI'!AH312</f>
        <v>0</v>
      </c>
      <c r="AO312" s="10">
        <f>+'A) Base RI'!AI312</f>
        <v>0</v>
      </c>
      <c r="AP312" s="10">
        <f>+'A) Base RI'!AJ312</f>
        <v>0</v>
      </c>
      <c r="AQ312" s="10">
        <f>+'A) Base RI'!AK312</f>
        <v>0</v>
      </c>
      <c r="AR312" s="10">
        <f>'A) Base RI'!AN312</f>
        <v>106</v>
      </c>
    </row>
    <row r="313" spans="1:44" x14ac:dyDescent="0.25">
      <c r="A313" s="8">
        <f>'A) Base RI'!A313</f>
        <v>5937</v>
      </c>
      <c r="B313" s="34" t="str">
        <f>'A) Base RI'!B313</f>
        <v>Vugelles-La Mothe</v>
      </c>
      <c r="C313" s="10">
        <f>'A) Base RI'!C313+'A) Base RI'!D313</f>
        <v>190558.22</v>
      </c>
      <c r="D313" s="10">
        <f>'A) Base RI'!AO313</f>
        <v>-21573.83</v>
      </c>
      <c r="E313" s="33">
        <f>'A) Base RI'!AP313</f>
        <v>0</v>
      </c>
      <c r="F313" s="33">
        <f>'A) Base RI'!AQ313</f>
        <v>-6.5</v>
      </c>
      <c r="G313" s="2">
        <f t="shared" si="28"/>
        <v>168977.89</v>
      </c>
      <c r="H313" s="10">
        <f>+'A) Base RI'!E313</f>
        <v>0</v>
      </c>
      <c r="I313" s="10">
        <f>+'A) Base RI'!F313</f>
        <v>0</v>
      </c>
      <c r="J313" s="10">
        <f>+'A) Base RI'!G313+'A) Base RI'!H313</f>
        <v>3914.8999999999996</v>
      </c>
      <c r="K313" s="10">
        <f>+'A) Base RI'!I313</f>
        <v>0</v>
      </c>
      <c r="L313" s="10">
        <f>+'A) Base RI'!J313</f>
        <v>7962.12</v>
      </c>
      <c r="M313" s="10">
        <f>+'A) Base RI'!K313</f>
        <v>0</v>
      </c>
      <c r="N313" s="10">
        <f>+'A) Base RI'!Q313</f>
        <v>6370.53</v>
      </c>
      <c r="O313" s="10">
        <f t="shared" si="29"/>
        <v>15139.428571428572</v>
      </c>
      <c r="P313" s="10">
        <f>+'A) Base RI'!L313</f>
        <v>10597.6</v>
      </c>
      <c r="Q313" s="36">
        <f>'A) Base RI'!AR313</f>
        <v>0.7</v>
      </c>
      <c r="R313" s="2">
        <f t="shared" si="30"/>
        <v>202364.86857142858</v>
      </c>
      <c r="S313" s="35">
        <f>+'A) Base RI'!AM313</f>
        <v>70</v>
      </c>
      <c r="T313" s="2">
        <f t="shared" si="31"/>
        <v>187225.44</v>
      </c>
      <c r="U313" s="2">
        <f t="shared" si="32"/>
        <v>2890.9266938775513</v>
      </c>
      <c r="V313" s="10">
        <f>+'A) Base RI'!O313</f>
        <v>0</v>
      </c>
      <c r="W313" s="10">
        <f>+'A) Base RI'!P313</f>
        <v>8800</v>
      </c>
      <c r="X313" s="10">
        <f>+'A) Base RI'!R313</f>
        <v>3179.15</v>
      </c>
      <c r="Y313" s="2">
        <f t="shared" si="33"/>
        <v>11979.15</v>
      </c>
      <c r="Z313" s="10">
        <f>+'A) Base RI'!N313</f>
        <v>0</v>
      </c>
      <c r="AA313" s="10">
        <f>+'A) Base RI'!S313+'A) Base RI'!T313</f>
        <v>0</v>
      </c>
      <c r="AB313" s="10">
        <f>+'A) Base RI'!U313</f>
        <v>1125</v>
      </c>
      <c r="AC313" s="10">
        <f>+'A) Base RI'!V313</f>
        <v>0</v>
      </c>
      <c r="AD313" s="10">
        <f>+'A) Base RI'!W313</f>
        <v>0</v>
      </c>
      <c r="AE313" s="10">
        <f>+'A) Base RI'!Y313</f>
        <v>9000</v>
      </c>
      <c r="AF313" s="10">
        <f>+'A) Base RI'!Z313</f>
        <v>0</v>
      </c>
      <c r="AG313" s="10">
        <f>+'A) Base RI'!AA313</f>
        <v>13050</v>
      </c>
      <c r="AH313" s="10">
        <f>+'A) Base RI'!AB313</f>
        <v>0</v>
      </c>
      <c r="AI313" s="10">
        <f>+'A) Base RI'!AC313</f>
        <v>4750</v>
      </c>
      <c r="AJ313" s="10">
        <f>+'A) Base RI'!AD313</f>
        <v>0</v>
      </c>
      <c r="AK313" s="10">
        <f>+'A) Base RI'!AE313</f>
        <v>0</v>
      </c>
      <c r="AL313" s="10">
        <f>+'A) Base RI'!AF313</f>
        <v>0</v>
      </c>
      <c r="AM313" s="10">
        <f>+'A) Base RI'!AG313</f>
        <v>0</v>
      </c>
      <c r="AN313" s="10">
        <f>+'A) Base RI'!AH313</f>
        <v>0</v>
      </c>
      <c r="AO313" s="10">
        <f>+'A) Base RI'!AI313</f>
        <v>0</v>
      </c>
      <c r="AP313" s="10">
        <f>+'A) Base RI'!AJ313</f>
        <v>0</v>
      </c>
      <c r="AQ313" s="10">
        <f>+'A) Base RI'!AK313</f>
        <v>0</v>
      </c>
      <c r="AR313" s="10">
        <f>'A) Base RI'!AN313</f>
        <v>122</v>
      </c>
    </row>
    <row r="314" spans="1:44" x14ac:dyDescent="0.25">
      <c r="A314" s="8">
        <f>'A) Base RI'!A314</f>
        <v>5938</v>
      </c>
      <c r="B314" s="34" t="str">
        <f>'A) Base RI'!B314</f>
        <v>Yverdon-les-Bains</v>
      </c>
      <c r="C314" s="10">
        <f>'A) Base RI'!C314+'A) Base RI'!D314</f>
        <v>49252404.660000004</v>
      </c>
      <c r="D314" s="10">
        <f>'A) Base RI'!AO314</f>
        <v>-1775449.4</v>
      </c>
      <c r="E314" s="33">
        <f>'A) Base RI'!AP314</f>
        <v>0</v>
      </c>
      <c r="F314" s="33">
        <f>'A) Base RI'!AQ314</f>
        <v>-1785.47</v>
      </c>
      <c r="G314" s="2">
        <f t="shared" si="28"/>
        <v>47475169.790000007</v>
      </c>
      <c r="H314" s="10">
        <f>+'A) Base RI'!E314</f>
        <v>0</v>
      </c>
      <c r="I314" s="10">
        <f>+'A) Base RI'!F314</f>
        <v>0</v>
      </c>
      <c r="J314" s="10">
        <f>+'A) Base RI'!G314+'A) Base RI'!H314</f>
        <v>7022723.4500000002</v>
      </c>
      <c r="K314" s="10">
        <f>+'A) Base RI'!I314</f>
        <v>54518.1</v>
      </c>
      <c r="L314" s="10">
        <f>+'A) Base RI'!J314</f>
        <v>1806437.57</v>
      </c>
      <c r="M314" s="10">
        <f>+'A) Base RI'!K314</f>
        <v>425568.5</v>
      </c>
      <c r="N314" s="10">
        <f>+'A) Base RI'!Q314</f>
        <v>550038.11</v>
      </c>
      <c r="O314" s="10">
        <f t="shared" si="29"/>
        <v>4012014.05</v>
      </c>
      <c r="P314" s="10">
        <f>+'A) Base RI'!L314</f>
        <v>4012014.05</v>
      </c>
      <c r="Q314" s="36">
        <f>'A) Base RI'!AR314</f>
        <v>1</v>
      </c>
      <c r="R314" s="2">
        <f t="shared" si="30"/>
        <v>61346469.570000008</v>
      </c>
      <c r="S314" s="35">
        <f>+'A) Base RI'!AM314</f>
        <v>76.5</v>
      </c>
      <c r="T314" s="2">
        <f t="shared" si="31"/>
        <v>56908887.020000011</v>
      </c>
      <c r="U314" s="2">
        <f t="shared" si="32"/>
        <v>801914.63490196085</v>
      </c>
      <c r="V314" s="10">
        <f>+'A) Base RI'!O314</f>
        <v>576234.1</v>
      </c>
      <c r="W314" s="10">
        <f>+'A) Base RI'!P314</f>
        <v>1588795.5</v>
      </c>
      <c r="X314" s="10">
        <f>+'A) Base RI'!R314</f>
        <v>1224891.45</v>
      </c>
      <c r="Y314" s="2">
        <f t="shared" si="33"/>
        <v>3389921.05</v>
      </c>
      <c r="Z314" s="10">
        <f>+'A) Base RI'!N314</f>
        <v>3841277.35</v>
      </c>
      <c r="AA314" s="10">
        <f>+'A) Base RI'!S314+'A) Base RI'!T314</f>
        <v>0</v>
      </c>
      <c r="AB314" s="10">
        <f>+'A) Base RI'!U314</f>
        <v>60165</v>
      </c>
      <c r="AC314" s="10">
        <f>+'A) Base RI'!V314</f>
        <v>0</v>
      </c>
      <c r="AD314" s="10">
        <f>+'A) Base RI'!W314</f>
        <v>0</v>
      </c>
      <c r="AE314" s="10">
        <f>+'A) Base RI'!Y314</f>
        <v>102096</v>
      </c>
      <c r="AF314" s="10">
        <f>+'A) Base RI'!Z314</f>
        <v>0</v>
      </c>
      <c r="AG314" s="10">
        <f>+'A) Base RI'!AA314</f>
        <v>4800069</v>
      </c>
      <c r="AH314" s="10">
        <f>+'A) Base RI'!AB314</f>
        <v>883039</v>
      </c>
      <c r="AI314" s="10">
        <f>+'A) Base RI'!AC314</f>
        <v>66980</v>
      </c>
      <c r="AJ314" s="10">
        <f>+'A) Base RI'!AD314</f>
        <v>204339</v>
      </c>
      <c r="AK314" s="10">
        <f>+'A) Base RI'!AE314</f>
        <v>0</v>
      </c>
      <c r="AL314" s="10">
        <f>+'A) Base RI'!AF314</f>
        <v>0</v>
      </c>
      <c r="AM314" s="10">
        <f>+'A) Base RI'!AG314</f>
        <v>214734</v>
      </c>
      <c r="AN314" s="10">
        <f>+'A) Base RI'!AH314</f>
        <v>849728</v>
      </c>
      <c r="AO314" s="10">
        <f>+'A) Base RI'!AI314</f>
        <v>789164</v>
      </c>
      <c r="AP314" s="10">
        <f>+'A) Base RI'!AJ314</f>
        <v>733449</v>
      </c>
      <c r="AQ314" s="10">
        <f>+'A) Base RI'!AK314</f>
        <v>0</v>
      </c>
      <c r="AR314" s="10">
        <f>'A) Base RI'!AN314</f>
        <v>30208</v>
      </c>
    </row>
    <row r="315" spans="1:44" x14ac:dyDescent="0.25">
      <c r="A315" s="8">
        <f>'A) Base RI'!A315</f>
        <v>5939</v>
      </c>
      <c r="B315" s="34" t="str">
        <f>'A) Base RI'!B315</f>
        <v>Yvonand</v>
      </c>
      <c r="C315" s="10">
        <f>'A) Base RI'!C315+'A) Base RI'!D315</f>
        <v>6015408.1199999992</v>
      </c>
      <c r="D315" s="10">
        <f>'A) Base RI'!AO315</f>
        <v>-98748.44</v>
      </c>
      <c r="E315" s="33">
        <f>'A) Base RI'!AP315</f>
        <v>0</v>
      </c>
      <c r="F315" s="33">
        <f>'A) Base RI'!AQ315</f>
        <v>-48.69</v>
      </c>
      <c r="G315" s="2">
        <f t="shared" si="28"/>
        <v>5916610.9899999984</v>
      </c>
      <c r="H315" s="10">
        <f>+'A) Base RI'!E315</f>
        <v>0</v>
      </c>
      <c r="I315" s="10">
        <f>+'A) Base RI'!F315</f>
        <v>0</v>
      </c>
      <c r="J315" s="10">
        <f>+'A) Base RI'!G315+'A) Base RI'!H315</f>
        <v>227477.95</v>
      </c>
      <c r="K315" s="10">
        <f>+'A) Base RI'!I315</f>
        <v>0</v>
      </c>
      <c r="L315" s="10">
        <f>+'A) Base RI'!J315</f>
        <v>144476.23000000001</v>
      </c>
      <c r="M315" s="10">
        <f>+'A) Base RI'!K315</f>
        <v>25823.5</v>
      </c>
      <c r="N315" s="10">
        <f>+'A) Base RI'!Q315</f>
        <v>11318.65</v>
      </c>
      <c r="O315" s="10">
        <f t="shared" si="29"/>
        <v>493472.7</v>
      </c>
      <c r="P315" s="10">
        <f>+'A) Base RI'!L315</f>
        <v>493472.7</v>
      </c>
      <c r="Q315" s="36">
        <f>'A) Base RI'!AR315</f>
        <v>1</v>
      </c>
      <c r="R315" s="2">
        <f t="shared" si="30"/>
        <v>6819180.0199999996</v>
      </c>
      <c r="S315" s="35">
        <f>+'A) Base RI'!AM315</f>
        <v>73</v>
      </c>
      <c r="T315" s="2">
        <f t="shared" si="31"/>
        <v>6299883.8199999994</v>
      </c>
      <c r="U315" s="2">
        <f t="shared" si="32"/>
        <v>93413.424931506845</v>
      </c>
      <c r="V315" s="10">
        <f>+'A) Base RI'!O315</f>
        <v>596048.19999999995</v>
      </c>
      <c r="W315" s="10">
        <f>+'A) Base RI'!P315</f>
        <v>368409.59999999998</v>
      </c>
      <c r="X315" s="10">
        <f>+'A) Base RI'!R315</f>
        <v>229532.4</v>
      </c>
      <c r="Y315" s="2">
        <f t="shared" si="33"/>
        <v>1193990.2</v>
      </c>
      <c r="Z315" s="10">
        <f>+'A) Base RI'!N315</f>
        <v>112071.65</v>
      </c>
      <c r="AA315" s="10">
        <f>+'A) Base RI'!S315+'A) Base RI'!T315</f>
        <v>11623.3</v>
      </c>
      <c r="AB315" s="10">
        <f>+'A) Base RI'!U315</f>
        <v>22525</v>
      </c>
      <c r="AC315" s="10">
        <f>+'A) Base RI'!V315</f>
        <v>41</v>
      </c>
      <c r="AD315" s="10">
        <f>+'A) Base RI'!W315</f>
        <v>10802.9</v>
      </c>
      <c r="AE315" s="10">
        <f>+'A) Base RI'!Y315</f>
        <v>27672</v>
      </c>
      <c r="AF315" s="10">
        <f>+'A) Base RI'!Z315</f>
        <v>0</v>
      </c>
      <c r="AG315" s="10">
        <f>+'A) Base RI'!AA315</f>
        <v>721985</v>
      </c>
      <c r="AH315" s="10">
        <f>+'A) Base RI'!AB315</f>
        <v>0</v>
      </c>
      <c r="AI315" s="10">
        <f>+'A) Base RI'!AC315</f>
        <v>232903.55</v>
      </c>
      <c r="AJ315" s="10">
        <f>+'A) Base RI'!AD315</f>
        <v>50157.5</v>
      </c>
      <c r="AK315" s="10">
        <f>+'A) Base RI'!AE315</f>
        <v>0</v>
      </c>
      <c r="AL315" s="10">
        <f>+'A) Base RI'!AF315</f>
        <v>0</v>
      </c>
      <c r="AM315" s="10">
        <f>+'A) Base RI'!AG315</f>
        <v>9357.9</v>
      </c>
      <c r="AN315" s="10">
        <f>+'A) Base RI'!AH315</f>
        <v>0</v>
      </c>
      <c r="AO315" s="10">
        <f>+'A) Base RI'!AI315</f>
        <v>0</v>
      </c>
      <c r="AP315" s="10">
        <f>+'A) Base RI'!AJ315</f>
        <v>0</v>
      </c>
      <c r="AQ315" s="10">
        <f>+'A) Base RI'!AK315</f>
        <v>0</v>
      </c>
      <c r="AR315" s="10">
        <f>'A) Base RI'!AN315</f>
        <v>3351</v>
      </c>
    </row>
    <row r="316" spans="1:44" x14ac:dyDescent="0.25">
      <c r="A316" s="7"/>
      <c r="B316" s="26">
        <f>COUNTA(B7:B315)</f>
        <v>309</v>
      </c>
      <c r="C316" s="11">
        <f t="shared" ref="C316:P316" si="34">SUM(C7:C315)</f>
        <v>1897529561.4200006</v>
      </c>
      <c r="D316" s="11">
        <f t="shared" si="34"/>
        <v>-33716949.789999992</v>
      </c>
      <c r="E316" s="11">
        <f t="shared" si="34"/>
        <v>-97674.45</v>
      </c>
      <c r="F316" s="11">
        <f t="shared" si="34"/>
        <v>-1672780.3299999998</v>
      </c>
      <c r="G316" s="40">
        <f t="shared" si="34"/>
        <v>1862042156.8500013</v>
      </c>
      <c r="H316" s="11">
        <f t="shared" si="34"/>
        <v>0</v>
      </c>
      <c r="I316" s="11">
        <f t="shared" si="34"/>
        <v>111468.42</v>
      </c>
      <c r="J316" s="11">
        <f t="shared" si="34"/>
        <v>315289516.24999994</v>
      </c>
      <c r="K316" s="11">
        <f t="shared" si="34"/>
        <v>46189901.789999984</v>
      </c>
      <c r="L316" s="11">
        <f t="shared" si="34"/>
        <v>91136058.530000001</v>
      </c>
      <c r="M316" s="11">
        <f t="shared" si="34"/>
        <v>14479177.050000006</v>
      </c>
      <c r="N316" s="11">
        <f t="shared" si="34"/>
        <v>11164329.270000005</v>
      </c>
      <c r="O316" s="11">
        <f t="shared" si="34"/>
        <v>159760135.16200712</v>
      </c>
      <c r="P316" s="11">
        <f t="shared" si="34"/>
        <v>187023441.82000002</v>
      </c>
      <c r="Q316" s="37"/>
      <c r="R316" s="40">
        <f>SUM(R7:R315)</f>
        <v>2500172743.3220067</v>
      </c>
      <c r="S316" s="21">
        <f>R316/U316</f>
        <v>68.000134763828029</v>
      </c>
      <c r="T316" s="40">
        <f t="shared" ref="T316:AP316" si="35">SUM(T7:T315)</f>
        <v>2325821962.690002</v>
      </c>
      <c r="U316" s="40">
        <f t="shared" si="35"/>
        <v>36767173.359367341</v>
      </c>
      <c r="V316" s="11">
        <f t="shared" si="35"/>
        <v>79528631.349999979</v>
      </c>
      <c r="W316" s="11">
        <f t="shared" si="35"/>
        <v>86125485.75</v>
      </c>
      <c r="X316" s="11">
        <f t="shared" si="35"/>
        <v>60234204.540000014</v>
      </c>
      <c r="Y316" s="40">
        <f t="shared" si="35"/>
        <v>225888321.64000005</v>
      </c>
      <c r="Z316" s="11">
        <f t="shared" si="35"/>
        <v>66677797.950000003</v>
      </c>
      <c r="AA316" s="11">
        <f t="shared" si="35"/>
        <v>1659130.1399999994</v>
      </c>
      <c r="AB316" s="11">
        <f t="shared" si="35"/>
        <v>3393893.85</v>
      </c>
      <c r="AC316" s="11">
        <f t="shared" si="35"/>
        <v>6987840.7600000007</v>
      </c>
      <c r="AD316" s="11">
        <f t="shared" si="35"/>
        <v>768508.28</v>
      </c>
      <c r="AE316" s="11">
        <f t="shared" si="35"/>
        <v>29438062.91</v>
      </c>
      <c r="AF316" s="11">
        <f t="shared" si="35"/>
        <v>6643652.6699999999</v>
      </c>
      <c r="AG316" s="11">
        <f t="shared" si="35"/>
        <v>104785556.55000004</v>
      </c>
      <c r="AH316" s="11">
        <f t="shared" si="35"/>
        <v>7156976.2800000003</v>
      </c>
      <c r="AI316" s="11">
        <f t="shared" si="35"/>
        <v>81442724.99999997</v>
      </c>
      <c r="AJ316" s="11">
        <f>SUM(AJ7:AJ315)</f>
        <v>21264907.440000005</v>
      </c>
      <c r="AK316" s="11">
        <f t="shared" si="35"/>
        <v>1020412.3500000002</v>
      </c>
      <c r="AL316" s="11">
        <f t="shared" si="35"/>
        <v>1357.25</v>
      </c>
      <c r="AM316" s="11">
        <f t="shared" si="35"/>
        <v>13232683.019999996</v>
      </c>
      <c r="AN316" s="11">
        <f t="shared" si="35"/>
        <v>22368793.560000014</v>
      </c>
      <c r="AO316" s="11">
        <f t="shared" si="35"/>
        <v>10798455.75</v>
      </c>
      <c r="AP316" s="11">
        <f t="shared" si="35"/>
        <v>4233262.84</v>
      </c>
      <c r="AQ316" s="11">
        <f>SUM(AQ7:AQ315)</f>
        <v>3180519.7800000003</v>
      </c>
      <c r="AR316" s="11">
        <f>SUM(AR7:AR315)</f>
        <v>794384</v>
      </c>
    </row>
    <row r="317" spans="1:44" x14ac:dyDescent="0.25">
      <c r="P317" s="38"/>
      <c r="T317" s="6"/>
      <c r="X317" s="38"/>
      <c r="Z317" s="6"/>
      <c r="AA317" s="12"/>
      <c r="AB317" s="12"/>
      <c r="AC317" s="12"/>
      <c r="AD317" s="12"/>
      <c r="AE317" s="12"/>
      <c r="AF317" s="12"/>
      <c r="AG317" s="12"/>
      <c r="AH317" s="12"/>
      <c r="AI317" s="12"/>
      <c r="AJ317" s="12"/>
      <c r="AK317" s="12"/>
      <c r="AL317" s="12"/>
      <c r="AM317" s="12"/>
      <c r="AN317" s="12"/>
      <c r="AO317" s="12"/>
      <c r="AP317" s="12"/>
      <c r="AQ317" s="12"/>
    </row>
    <row r="318" spans="1:44" x14ac:dyDescent="0.25">
      <c r="C318" s="6"/>
      <c r="I318" s="6"/>
      <c r="J318" s="6"/>
      <c r="K318" s="6"/>
      <c r="L318" s="6"/>
      <c r="M318" s="6"/>
      <c r="N318" s="6"/>
      <c r="R318" s="6"/>
      <c r="T318" s="6"/>
      <c r="U318" s="6"/>
      <c r="V318" s="6"/>
      <c r="W318" s="6"/>
      <c r="X318" s="6"/>
      <c r="Y318" s="6"/>
      <c r="Z318" s="501"/>
      <c r="AA318" s="6"/>
      <c r="AB318" s="6"/>
      <c r="AC318" s="6"/>
      <c r="AD318" s="6"/>
      <c r="AE318" s="6"/>
      <c r="AF318" s="6"/>
      <c r="AG318" s="6"/>
      <c r="AH318" s="6"/>
      <c r="AI318" s="6"/>
      <c r="AJ318" s="6"/>
      <c r="AK318" s="6"/>
      <c r="AL318" s="6"/>
      <c r="AM318" s="6"/>
      <c r="AN318" s="6"/>
      <c r="AO318" s="6"/>
      <c r="AP318" s="6"/>
      <c r="AQ318" s="6"/>
    </row>
    <row r="319" spans="1:44" x14ac:dyDescent="0.25">
      <c r="C319" s="6"/>
      <c r="J319" s="6"/>
      <c r="R319" s="6"/>
      <c r="T319" s="6"/>
    </row>
    <row r="320" spans="1:44" x14ac:dyDescent="0.25">
      <c r="C320" s="6"/>
      <c r="G320" s="6"/>
      <c r="J320" s="38"/>
      <c r="R320" s="6"/>
      <c r="T320" s="6"/>
    </row>
    <row r="321" spans="1:18" x14ac:dyDescent="0.25">
      <c r="G321" s="6"/>
      <c r="R321" s="6"/>
    </row>
    <row r="322" spans="1:18" x14ac:dyDescent="0.25">
      <c r="G322" s="6"/>
      <c r="R322" s="38"/>
    </row>
    <row r="323" spans="1:18" x14ac:dyDescent="0.25">
      <c r="G323" s="6"/>
      <c r="R323" s="38"/>
    </row>
    <row r="324" spans="1:18" x14ac:dyDescent="0.25">
      <c r="G324" s="38"/>
    </row>
    <row r="325" spans="1:18" s="6" customFormat="1" x14ac:dyDescent="0.25">
      <c r="A325" s="5"/>
    </row>
  </sheetData>
  <sheetProtection password="C75D" sheet="1" objects="1" scenarios="1"/>
  <mergeCells count="44">
    <mergeCell ref="AN4:AN5"/>
    <mergeCell ref="AM4:AM5"/>
    <mergeCell ref="Q4:Q6"/>
    <mergeCell ref="AI4:AI5"/>
    <mergeCell ref="AJ4:AJ5"/>
    <mergeCell ref="AK4:AK5"/>
    <mergeCell ref="AL4:AL5"/>
    <mergeCell ref="O4:O6"/>
    <mergeCell ref="V4:V5"/>
    <mergeCell ref="U4:U5"/>
    <mergeCell ref="Z4:Z5"/>
    <mergeCell ref="X4:X5"/>
    <mergeCell ref="P4:P5"/>
    <mergeCell ref="R4:R6"/>
    <mergeCell ref="AR4:AR5"/>
    <mergeCell ref="S4:S5"/>
    <mergeCell ref="W4:W5"/>
    <mergeCell ref="Y4:Y6"/>
    <mergeCell ref="T4:T6"/>
    <mergeCell ref="AA4:AA5"/>
    <mergeCell ref="AB4:AB5"/>
    <mergeCell ref="AC4:AC5"/>
    <mergeCell ref="AD4:AD5"/>
    <mergeCell ref="AE4:AE5"/>
    <mergeCell ref="AF4:AF5"/>
    <mergeCell ref="AG4:AG5"/>
    <mergeCell ref="AH4:AH5"/>
    <mergeCell ref="AO4:AO5"/>
    <mergeCell ref="AP4:AP5"/>
    <mergeCell ref="AQ4:AQ5"/>
    <mergeCell ref="A4:A6"/>
    <mergeCell ref="B4:B6"/>
    <mergeCell ref="N4:N6"/>
    <mergeCell ref="C4:C5"/>
    <mergeCell ref="H4:H5"/>
    <mergeCell ref="I4:I5"/>
    <mergeCell ref="J4:J5"/>
    <mergeCell ref="G4:G5"/>
    <mergeCell ref="K4:K5"/>
    <mergeCell ref="L4:L5"/>
    <mergeCell ref="M4:M5"/>
    <mergeCell ref="D4:D6"/>
    <mergeCell ref="E4:E6"/>
    <mergeCell ref="F4:F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00B050"/>
  </sheetPr>
  <dimension ref="A1:H332"/>
  <sheetViews>
    <sheetView topLeftCell="A293" workbookViewId="0">
      <selection activeCell="H332" sqref="H332"/>
    </sheetView>
  </sheetViews>
  <sheetFormatPr baseColWidth="10" defaultColWidth="11" defaultRowHeight="15" x14ac:dyDescent="0.25"/>
  <cols>
    <col min="1" max="1" width="7.25" style="14" customWidth="1"/>
    <col min="2" max="2" width="17.375" style="14" bestFit="1" customWidth="1"/>
    <col min="3" max="3" width="18" style="6" customWidth="1"/>
    <col min="4" max="4" width="9.875" style="6" bestFit="1" customWidth="1"/>
    <col min="5" max="5" width="10.75" style="6" bestFit="1" customWidth="1"/>
    <col min="6" max="6" width="11.25" style="6" bestFit="1" customWidth="1"/>
    <col min="7" max="7" width="13" style="30" bestFit="1" customWidth="1"/>
    <col min="8" max="8" width="12.25" style="6" bestFit="1" customWidth="1"/>
    <col min="9" max="16384" width="11" style="14"/>
  </cols>
  <sheetData>
    <row r="1" spans="1:8" ht="21" x14ac:dyDescent="0.25">
      <c r="A1" s="53" t="s">
        <v>446</v>
      </c>
      <c r="B1" s="44"/>
      <c r="C1" s="46"/>
      <c r="D1" s="46"/>
      <c r="E1" s="46"/>
      <c r="F1" s="46"/>
      <c r="G1" s="54"/>
      <c r="H1" s="46"/>
    </row>
    <row r="3" spans="1:8" ht="60" x14ac:dyDescent="0.25">
      <c r="A3" s="568" t="s">
        <v>50</v>
      </c>
      <c r="B3" s="568" t="s">
        <v>101</v>
      </c>
      <c r="C3" s="323" t="s">
        <v>435</v>
      </c>
      <c r="D3" s="323" t="s">
        <v>199</v>
      </c>
      <c r="E3" s="565" t="s">
        <v>143</v>
      </c>
      <c r="F3" s="565" t="s">
        <v>377</v>
      </c>
      <c r="G3" s="572" t="s">
        <v>294</v>
      </c>
      <c r="H3" s="565" t="s">
        <v>430</v>
      </c>
    </row>
    <row r="4" spans="1:8" x14ac:dyDescent="0.25">
      <c r="A4" s="570"/>
      <c r="B4" s="570"/>
      <c r="C4" s="322">
        <f>Paramètres!B11</f>
        <v>0.5</v>
      </c>
      <c r="D4" s="212">
        <f>Paramètres!B12</f>
        <v>0.3</v>
      </c>
      <c r="E4" s="566"/>
      <c r="F4" s="566"/>
      <c r="G4" s="573"/>
      <c r="H4" s="566"/>
    </row>
    <row r="5" spans="1:8" x14ac:dyDescent="0.25">
      <c r="A5" s="48">
        <f>'A) Base RI'!A7</f>
        <v>5401</v>
      </c>
      <c r="B5" s="57" t="str">
        <f>'A) Base RI'!B7</f>
        <v>Aigle</v>
      </c>
      <c r="C5" s="33">
        <f>'B) D RI'!Y7</f>
        <v>2017365.1</v>
      </c>
      <c r="D5" s="15">
        <f>'B) D RI'!Z7</f>
        <v>906929.85</v>
      </c>
      <c r="E5" s="10">
        <f>C5+D5</f>
        <v>2924294.95</v>
      </c>
      <c r="F5" s="15">
        <f>'B) D RI'!U7</f>
        <v>280807.53491358022</v>
      </c>
      <c r="G5" s="280">
        <f>E5/F5</f>
        <v>10.413876361615314</v>
      </c>
      <c r="H5" s="59">
        <f>(C5*$C$4)+(D5*$D$4)</f>
        <v>1280761.5049999999</v>
      </c>
    </row>
    <row r="6" spans="1:8" x14ac:dyDescent="0.25">
      <c r="A6" s="51">
        <f>'A) Base RI'!A8</f>
        <v>5402</v>
      </c>
      <c r="B6" s="58" t="str">
        <f>'A) Base RI'!B8</f>
        <v>Bex</v>
      </c>
      <c r="C6" s="33">
        <f>'B) D RI'!Y8</f>
        <v>1673467.8</v>
      </c>
      <c r="D6" s="15">
        <f>'B) D RI'!Z8</f>
        <v>170020.55</v>
      </c>
      <c r="E6" s="10">
        <f t="shared" ref="E6:E69" si="0">C6+D6</f>
        <v>1843488.35</v>
      </c>
      <c r="F6" s="15">
        <f>'B) D RI'!U8</f>
        <v>178888.62591549297</v>
      </c>
      <c r="G6" s="280">
        <f t="shared" ref="G6:G69" si="1">E6/F6</f>
        <v>10.305229527957046</v>
      </c>
      <c r="H6" s="59">
        <f t="shared" ref="H6:H69" si="2">(C6*$C$4)+(D6*$D$4)</f>
        <v>887740.06500000006</v>
      </c>
    </row>
    <row r="7" spans="1:8" x14ac:dyDescent="0.25">
      <c r="A7" s="51">
        <f>'A) Base RI'!A9</f>
        <v>5403</v>
      </c>
      <c r="B7" s="58" t="str">
        <f>'A) Base RI'!B9</f>
        <v>Chessel</v>
      </c>
      <c r="C7" s="33">
        <f>'B) D RI'!Y9</f>
        <v>67640.7</v>
      </c>
      <c r="D7" s="15">
        <f>'B) D RI'!Z9</f>
        <v>6003.45</v>
      </c>
      <c r="E7" s="10">
        <f t="shared" si="0"/>
        <v>73644.149999999994</v>
      </c>
      <c r="F7" s="15">
        <f>'B) D RI'!U9</f>
        <v>9797.3922972972978</v>
      </c>
      <c r="G7" s="280">
        <f t="shared" si="1"/>
        <v>7.5167093207358269</v>
      </c>
      <c r="H7" s="59">
        <f t="shared" si="2"/>
        <v>35621.384999999995</v>
      </c>
    </row>
    <row r="8" spans="1:8" x14ac:dyDescent="0.25">
      <c r="A8" s="51">
        <f>'A) Base RI'!A10</f>
        <v>5404</v>
      </c>
      <c r="B8" s="58" t="str">
        <f>'A) Base RI'!B10</f>
        <v>Corbeyrier</v>
      </c>
      <c r="C8" s="33">
        <f>'B) D RI'!Y10</f>
        <v>390829.5</v>
      </c>
      <c r="D8" s="15">
        <f>'B) D RI'!Z10</f>
        <v>6541.75</v>
      </c>
      <c r="E8" s="10">
        <f t="shared" si="0"/>
        <v>397371.25</v>
      </c>
      <c r="F8" s="15">
        <f>'B) D RI'!U10</f>
        <v>10965.354952380952</v>
      </c>
      <c r="G8" s="280">
        <f t="shared" si="1"/>
        <v>36.238794979793802</v>
      </c>
      <c r="H8" s="59">
        <f t="shared" si="2"/>
        <v>197377.27499999999</v>
      </c>
    </row>
    <row r="9" spans="1:8" x14ac:dyDescent="0.25">
      <c r="A9" s="51">
        <f>'A) Base RI'!A11</f>
        <v>5405</v>
      </c>
      <c r="B9" s="58" t="str">
        <f>'A) Base RI'!B11</f>
        <v>Gryon</v>
      </c>
      <c r="C9" s="33">
        <f>'B) D RI'!Y11</f>
        <v>648198.75</v>
      </c>
      <c r="D9" s="15">
        <f>'B) D RI'!Z11</f>
        <v>0</v>
      </c>
      <c r="E9" s="10">
        <f t="shared" si="0"/>
        <v>648198.75</v>
      </c>
      <c r="F9" s="15">
        <f>'B) D RI'!U11</f>
        <v>69949.839511111102</v>
      </c>
      <c r="G9" s="280">
        <f t="shared" si="1"/>
        <v>9.2666224044307874</v>
      </c>
      <c r="H9" s="59">
        <f t="shared" si="2"/>
        <v>324099.375</v>
      </c>
    </row>
    <row r="10" spans="1:8" x14ac:dyDescent="0.25">
      <c r="A10" s="51">
        <f>'A) Base RI'!A12</f>
        <v>5406</v>
      </c>
      <c r="B10" s="58" t="str">
        <f>'A) Base RI'!B12</f>
        <v>Lavey-Morcles</v>
      </c>
      <c r="C10" s="33">
        <f>'B) D RI'!Y12</f>
        <v>153041.5</v>
      </c>
      <c r="D10" s="15">
        <f>'B) D RI'!Z12</f>
        <v>4100.5</v>
      </c>
      <c r="E10" s="10">
        <f t="shared" si="0"/>
        <v>157142</v>
      </c>
      <c r="F10" s="15">
        <f>'B) D RI'!U12</f>
        <v>22205.009750812569</v>
      </c>
      <c r="G10" s="280">
        <f t="shared" si="1"/>
        <v>7.0768714701532414</v>
      </c>
      <c r="H10" s="59">
        <f t="shared" si="2"/>
        <v>77750.899999999994</v>
      </c>
    </row>
    <row r="11" spans="1:8" x14ac:dyDescent="0.25">
      <c r="A11" s="51">
        <f>'A) Base RI'!A13</f>
        <v>5407</v>
      </c>
      <c r="B11" s="58" t="str">
        <f>'A) Base RI'!B13</f>
        <v>Leysin</v>
      </c>
      <c r="C11" s="33">
        <f>'B) D RI'!Y13</f>
        <v>689761.65</v>
      </c>
      <c r="D11" s="15">
        <f>'B) D RI'!Z13</f>
        <v>20208.75</v>
      </c>
      <c r="E11" s="10">
        <f t="shared" si="0"/>
        <v>709970.4</v>
      </c>
      <c r="F11" s="15">
        <f>'B) D RI'!U13</f>
        <v>89269.724615384606</v>
      </c>
      <c r="G11" s="280">
        <f t="shared" si="1"/>
        <v>7.9530927541098837</v>
      </c>
      <c r="H11" s="59">
        <f t="shared" si="2"/>
        <v>350943.45</v>
      </c>
    </row>
    <row r="12" spans="1:8" x14ac:dyDescent="0.25">
      <c r="A12" s="51">
        <f>'A) Base RI'!A14</f>
        <v>5408</v>
      </c>
      <c r="B12" s="58" t="str">
        <f>'A) Base RI'!B14</f>
        <v>Noville</v>
      </c>
      <c r="C12" s="33">
        <f>'B) D RI'!Y14</f>
        <v>249277.6</v>
      </c>
      <c r="D12" s="15">
        <f>'B) D RI'!Z14</f>
        <v>58557.25</v>
      </c>
      <c r="E12" s="10">
        <f t="shared" si="0"/>
        <v>307834.84999999998</v>
      </c>
      <c r="F12" s="15">
        <f>'B) D RI'!U14</f>
        <v>34371.486709129509</v>
      </c>
      <c r="G12" s="280">
        <f t="shared" si="1"/>
        <v>8.9561109941233674</v>
      </c>
      <c r="H12" s="59">
        <f t="shared" si="2"/>
        <v>142205.97500000001</v>
      </c>
    </row>
    <row r="13" spans="1:8" x14ac:dyDescent="0.25">
      <c r="A13" s="51">
        <f>'A) Base RI'!A15</f>
        <v>5409</v>
      </c>
      <c r="B13" s="58" t="str">
        <f>'A) Base RI'!B15</f>
        <v>Ollon</v>
      </c>
      <c r="C13" s="33">
        <f>'B) D RI'!Y15</f>
        <v>2901739.0999999996</v>
      </c>
      <c r="D13" s="15">
        <f>'B) D RI'!Z15</f>
        <v>55680.2</v>
      </c>
      <c r="E13" s="10">
        <f t="shared" si="0"/>
        <v>2957419.3</v>
      </c>
      <c r="F13" s="15">
        <f>'B) D RI'!U15</f>
        <v>372011.63303167425</v>
      </c>
      <c r="G13" s="280">
        <f t="shared" si="1"/>
        <v>7.9498032787275656</v>
      </c>
      <c r="H13" s="59">
        <f t="shared" si="2"/>
        <v>1467573.6099999999</v>
      </c>
    </row>
    <row r="14" spans="1:8" x14ac:dyDescent="0.25">
      <c r="A14" s="51">
        <f>'A) Base RI'!A16</f>
        <v>5410</v>
      </c>
      <c r="B14" s="58" t="str">
        <f>'A) Base RI'!B16</f>
        <v>Ormont-Dessous</v>
      </c>
      <c r="C14" s="33">
        <f>'B) D RI'!Y16</f>
        <v>404046.25</v>
      </c>
      <c r="D14" s="15">
        <f>'B) D RI'!Z16</f>
        <v>0</v>
      </c>
      <c r="E14" s="10">
        <f t="shared" si="0"/>
        <v>404046.25</v>
      </c>
      <c r="F14" s="15">
        <f>'B) D RI'!U16</f>
        <v>38315.886284501066</v>
      </c>
      <c r="G14" s="280">
        <f t="shared" si="1"/>
        <v>10.545136474200216</v>
      </c>
      <c r="H14" s="59">
        <f t="shared" si="2"/>
        <v>202023.125</v>
      </c>
    </row>
    <row r="15" spans="1:8" x14ac:dyDescent="0.25">
      <c r="A15" s="51">
        <f>'A) Base RI'!A17</f>
        <v>5411</v>
      </c>
      <c r="B15" s="58" t="str">
        <f>'A) Base RI'!B17</f>
        <v>Ormont-Dessus</v>
      </c>
      <c r="C15" s="33">
        <f>'B) D RI'!Y17</f>
        <v>525528.80000000005</v>
      </c>
      <c r="D15" s="15">
        <f>'B) D RI'!Z17</f>
        <v>0</v>
      </c>
      <c r="E15" s="10">
        <f t="shared" si="0"/>
        <v>525528.80000000005</v>
      </c>
      <c r="F15" s="15">
        <f>'B) D RI'!U17</f>
        <v>79923.40364035088</v>
      </c>
      <c r="G15" s="280">
        <f t="shared" si="1"/>
        <v>6.5754056517017077</v>
      </c>
      <c r="H15" s="59">
        <f t="shared" si="2"/>
        <v>262764.40000000002</v>
      </c>
    </row>
    <row r="16" spans="1:8" x14ac:dyDescent="0.25">
      <c r="A16" s="51">
        <f>'A) Base RI'!A18</f>
        <v>5412</v>
      </c>
      <c r="B16" s="58" t="str">
        <f>'A) Base RI'!B18</f>
        <v>Rennaz</v>
      </c>
      <c r="C16" s="33">
        <f>'B) D RI'!Y18</f>
        <v>100593.9</v>
      </c>
      <c r="D16" s="15">
        <f>'B) D RI'!Z18</f>
        <v>86972.800000000003</v>
      </c>
      <c r="E16" s="10">
        <f t="shared" si="0"/>
        <v>187566.7</v>
      </c>
      <c r="F16" s="15">
        <f>'B) D RI'!U18</f>
        <v>31498.582370370365</v>
      </c>
      <c r="G16" s="280">
        <f t="shared" si="1"/>
        <v>5.9547664016917015</v>
      </c>
      <c r="H16" s="59">
        <f t="shared" si="2"/>
        <v>76388.789999999994</v>
      </c>
    </row>
    <row r="17" spans="1:8" x14ac:dyDescent="0.25">
      <c r="A17" s="51">
        <f>'A) Base RI'!A19</f>
        <v>5413</v>
      </c>
      <c r="B17" s="58" t="str">
        <f>'A) Base RI'!B19</f>
        <v>Roche</v>
      </c>
      <c r="C17" s="33">
        <f>'B) D RI'!Y19</f>
        <v>215129.90000000002</v>
      </c>
      <c r="D17" s="15">
        <f>'B) D RI'!Z19</f>
        <v>185237.95</v>
      </c>
      <c r="E17" s="10">
        <f t="shared" si="0"/>
        <v>400367.85000000003</v>
      </c>
      <c r="F17" s="15">
        <f>'B) D RI'!U19</f>
        <v>37711.950000000012</v>
      </c>
      <c r="G17" s="280">
        <f t="shared" si="1"/>
        <v>10.616471701940629</v>
      </c>
      <c r="H17" s="59">
        <f t="shared" si="2"/>
        <v>163136.33500000002</v>
      </c>
    </row>
    <row r="18" spans="1:8" x14ac:dyDescent="0.25">
      <c r="A18" s="51">
        <f>'A) Base RI'!A20</f>
        <v>5414</v>
      </c>
      <c r="B18" s="58" t="str">
        <f>'A) Base RI'!B20</f>
        <v>Villeneuve</v>
      </c>
      <c r="C18" s="33">
        <f>'B) D RI'!Y20</f>
        <v>1330774.8</v>
      </c>
      <c r="D18" s="15">
        <f>'B) D RI'!Z20</f>
        <v>992574.25</v>
      </c>
      <c r="E18" s="10">
        <f t="shared" si="0"/>
        <v>2323349.0499999998</v>
      </c>
      <c r="F18" s="15">
        <f>'B) D RI'!U20</f>
        <v>168706.05608695652</v>
      </c>
      <c r="G18" s="280">
        <f t="shared" si="1"/>
        <v>13.771580605277567</v>
      </c>
      <c r="H18" s="59">
        <f t="shared" si="2"/>
        <v>963159.67500000005</v>
      </c>
    </row>
    <row r="19" spans="1:8" x14ac:dyDescent="0.25">
      <c r="A19" s="51">
        <f>'A) Base RI'!A21</f>
        <v>5415</v>
      </c>
      <c r="B19" s="58" t="str">
        <f>'A) Base RI'!B21</f>
        <v>Yvorne</v>
      </c>
      <c r="C19" s="33">
        <f>'B) D RI'!Y21</f>
        <v>235112.25</v>
      </c>
      <c r="D19" s="15">
        <f>'B) D RI'!Z21</f>
        <v>27533.95</v>
      </c>
      <c r="E19" s="10">
        <f t="shared" si="0"/>
        <v>262646.2</v>
      </c>
      <c r="F19" s="15">
        <f>'B) D RI'!U21</f>
        <v>35013.467459207466</v>
      </c>
      <c r="G19" s="280">
        <f t="shared" si="1"/>
        <v>7.5012907620759544</v>
      </c>
      <c r="H19" s="59">
        <f t="shared" si="2"/>
        <v>125816.31</v>
      </c>
    </row>
    <row r="20" spans="1:8" x14ac:dyDescent="0.25">
      <c r="A20" s="51">
        <f>'A) Base RI'!A22</f>
        <v>5421</v>
      </c>
      <c r="B20" s="58" t="str">
        <f>'A) Base RI'!B22</f>
        <v>Apples</v>
      </c>
      <c r="C20" s="33">
        <f>'B) D RI'!Y22</f>
        <v>245737.65000000002</v>
      </c>
      <c r="D20" s="15">
        <f>'B) D RI'!Z22</f>
        <v>23304.400000000001</v>
      </c>
      <c r="E20" s="10">
        <f t="shared" si="0"/>
        <v>269042.05000000005</v>
      </c>
      <c r="F20" s="15">
        <f>'B) D RI'!U22</f>
        <v>59328.525131578965</v>
      </c>
      <c r="G20" s="280">
        <f t="shared" si="1"/>
        <v>4.5347840588202359</v>
      </c>
      <c r="H20" s="59">
        <f t="shared" si="2"/>
        <v>129860.14500000002</v>
      </c>
    </row>
    <row r="21" spans="1:8" x14ac:dyDescent="0.25">
      <c r="A21" s="51">
        <f>'A) Base RI'!A23</f>
        <v>5422</v>
      </c>
      <c r="B21" s="58" t="str">
        <f>'A) Base RI'!B23</f>
        <v>Aubonne</v>
      </c>
      <c r="C21" s="33">
        <f>'B) D RI'!Y23</f>
        <v>938521.2</v>
      </c>
      <c r="D21" s="15">
        <f>'B) D RI'!Z23</f>
        <v>773580.6</v>
      </c>
      <c r="E21" s="10">
        <f t="shared" si="0"/>
        <v>1712101.7999999998</v>
      </c>
      <c r="F21" s="15">
        <f>'B) D RI'!U23</f>
        <v>265098.93749999994</v>
      </c>
      <c r="G21" s="280">
        <f t="shared" si="1"/>
        <v>6.4583502904458081</v>
      </c>
      <c r="H21" s="59">
        <f t="shared" si="2"/>
        <v>701334.78</v>
      </c>
    </row>
    <row r="22" spans="1:8" x14ac:dyDescent="0.25">
      <c r="A22" s="51">
        <f>'A) Base RI'!A24</f>
        <v>5423</v>
      </c>
      <c r="B22" s="58" t="str">
        <f>'A) Base RI'!B24</f>
        <v>Ballens</v>
      </c>
      <c r="C22" s="33">
        <f>'B) D RI'!Y24</f>
        <v>128824.79999999999</v>
      </c>
      <c r="D22" s="15">
        <f>'B) D RI'!Z24</f>
        <v>19697.25</v>
      </c>
      <c r="E22" s="10">
        <f t="shared" si="0"/>
        <v>148522.04999999999</v>
      </c>
      <c r="F22" s="15">
        <f>'B) D RI'!U24</f>
        <v>16703.466521739134</v>
      </c>
      <c r="G22" s="280">
        <f t="shared" si="1"/>
        <v>8.891690225301577</v>
      </c>
      <c r="H22" s="59">
        <f t="shared" si="2"/>
        <v>70321.574999999997</v>
      </c>
    </row>
    <row r="23" spans="1:8" x14ac:dyDescent="0.25">
      <c r="A23" s="51">
        <f>'A) Base RI'!A25</f>
        <v>5424</v>
      </c>
      <c r="B23" s="58" t="str">
        <f>'A) Base RI'!B25</f>
        <v>Berolle</v>
      </c>
      <c r="C23" s="33">
        <f>'B) D RI'!Y25</f>
        <v>40419.649999999994</v>
      </c>
      <c r="D23" s="15">
        <f>'B) D RI'!Z25</f>
        <v>0</v>
      </c>
      <c r="E23" s="10">
        <f t="shared" si="0"/>
        <v>40419.649999999994</v>
      </c>
      <c r="F23" s="15">
        <f>'B) D RI'!U25</f>
        <v>11342.941168831172</v>
      </c>
      <c r="G23" s="280">
        <f t="shared" si="1"/>
        <v>3.5634188168997634</v>
      </c>
      <c r="H23" s="59">
        <f t="shared" si="2"/>
        <v>20209.824999999997</v>
      </c>
    </row>
    <row r="24" spans="1:8" x14ac:dyDescent="0.25">
      <c r="A24" s="51">
        <f>'A) Base RI'!A26</f>
        <v>5425</v>
      </c>
      <c r="B24" s="58" t="str">
        <f>'A) Base RI'!B26</f>
        <v>Bière</v>
      </c>
      <c r="C24" s="33">
        <f>'B) D RI'!Y26</f>
        <v>142059.9</v>
      </c>
      <c r="D24" s="15">
        <f>'B) D RI'!Z26</f>
        <v>22240.45</v>
      </c>
      <c r="E24" s="10">
        <f t="shared" si="0"/>
        <v>164300.35</v>
      </c>
      <c r="F24" s="15">
        <f>'B) D RI'!U26</f>
        <v>41451.382114604457</v>
      </c>
      <c r="G24" s="280">
        <f t="shared" si="1"/>
        <v>3.9636880996089268</v>
      </c>
      <c r="H24" s="59">
        <f t="shared" si="2"/>
        <v>77702.084999999992</v>
      </c>
    </row>
    <row r="25" spans="1:8" x14ac:dyDescent="0.25">
      <c r="A25" s="51">
        <f>'A) Base RI'!A27</f>
        <v>5426</v>
      </c>
      <c r="B25" s="58" t="str">
        <f>'A) Base RI'!B27</f>
        <v>Bougy-Villars</v>
      </c>
      <c r="C25" s="33">
        <f>'B) D RI'!Y27</f>
        <v>827494.3</v>
      </c>
      <c r="D25" s="15">
        <f>'B) D RI'!Z27</f>
        <v>15905.95</v>
      </c>
      <c r="E25" s="10">
        <f t="shared" si="0"/>
        <v>843400.25</v>
      </c>
      <c r="F25" s="15">
        <f>'B) D RI'!U27</f>
        <v>47933.807222222218</v>
      </c>
      <c r="G25" s="280">
        <f t="shared" si="1"/>
        <v>17.595102473082875</v>
      </c>
      <c r="H25" s="59">
        <f t="shared" si="2"/>
        <v>418518.935</v>
      </c>
    </row>
    <row r="26" spans="1:8" x14ac:dyDescent="0.25">
      <c r="A26" s="51">
        <f>'A) Base RI'!A28</f>
        <v>5427</v>
      </c>
      <c r="B26" s="58" t="str">
        <f>'A) Base RI'!B28</f>
        <v>Féchy</v>
      </c>
      <c r="C26" s="33">
        <f>'B) D RI'!Y28</f>
        <v>482565.05</v>
      </c>
      <c r="D26" s="15">
        <f>'B) D RI'!Z28</f>
        <v>11699.5</v>
      </c>
      <c r="E26" s="10">
        <f t="shared" si="0"/>
        <v>494264.55</v>
      </c>
      <c r="F26" s="15">
        <f>'B) D RI'!U28</f>
        <v>79760.38769230769</v>
      </c>
      <c r="G26" s="280">
        <f t="shared" si="1"/>
        <v>6.1968674463660891</v>
      </c>
      <c r="H26" s="59">
        <f t="shared" si="2"/>
        <v>244792.375</v>
      </c>
    </row>
    <row r="27" spans="1:8" x14ac:dyDescent="0.25">
      <c r="A27" s="51">
        <f>'A) Base RI'!A29</f>
        <v>5428</v>
      </c>
      <c r="B27" s="58" t="str">
        <f>'A) Base RI'!B29</f>
        <v>Gimel</v>
      </c>
      <c r="C27" s="33">
        <f>'B) D RI'!Y29</f>
        <v>731636.89999999991</v>
      </c>
      <c r="D27" s="15">
        <f>'B) D RI'!Z29</f>
        <v>186981.25</v>
      </c>
      <c r="E27" s="10">
        <f t="shared" si="0"/>
        <v>918618.14999999991</v>
      </c>
      <c r="F27" s="15">
        <f>'B) D RI'!U29</f>
        <v>62694.643076923086</v>
      </c>
      <c r="G27" s="280">
        <f t="shared" si="1"/>
        <v>14.652259027504199</v>
      </c>
      <c r="H27" s="59">
        <f t="shared" si="2"/>
        <v>421912.82499999995</v>
      </c>
    </row>
    <row r="28" spans="1:8" x14ac:dyDescent="0.25">
      <c r="A28" s="51">
        <f>'A) Base RI'!A30</f>
        <v>5429</v>
      </c>
      <c r="B28" s="58" t="str">
        <f>'A) Base RI'!B30</f>
        <v>Longirod</v>
      </c>
      <c r="C28" s="33">
        <f>'B) D RI'!Y30</f>
        <v>83077.299999999988</v>
      </c>
      <c r="D28" s="15">
        <f>'B) D RI'!Z30</f>
        <v>0</v>
      </c>
      <c r="E28" s="10">
        <f t="shared" si="0"/>
        <v>83077.299999999988</v>
      </c>
      <c r="F28" s="15">
        <f>'B) D RI'!U30</f>
        <v>14895.063209876542</v>
      </c>
      <c r="G28" s="280">
        <f t="shared" si="1"/>
        <v>5.5775057030247126</v>
      </c>
      <c r="H28" s="59">
        <f t="shared" si="2"/>
        <v>41538.649999999994</v>
      </c>
    </row>
    <row r="29" spans="1:8" x14ac:dyDescent="0.25">
      <c r="A29" s="51">
        <f>'A) Base RI'!A31</f>
        <v>5430</v>
      </c>
      <c r="B29" s="58" t="str">
        <f>'A) Base RI'!B31</f>
        <v>Marchissy</v>
      </c>
      <c r="C29" s="33">
        <f>'B) D RI'!Y31</f>
        <v>98846.65</v>
      </c>
      <c r="D29" s="15">
        <f>'B) D RI'!Z31</f>
        <v>8851.6</v>
      </c>
      <c r="E29" s="10">
        <f t="shared" si="0"/>
        <v>107698.25</v>
      </c>
      <c r="F29" s="15">
        <f>'B) D RI'!U31</f>
        <v>13624.129113924049</v>
      </c>
      <c r="G29" s="280">
        <f t="shared" si="1"/>
        <v>7.9049639870141055</v>
      </c>
      <c r="H29" s="59">
        <f t="shared" si="2"/>
        <v>52078.805</v>
      </c>
    </row>
    <row r="30" spans="1:8" x14ac:dyDescent="0.25">
      <c r="A30" s="51">
        <f>'A) Base RI'!A32</f>
        <v>5431</v>
      </c>
      <c r="B30" s="58" t="str">
        <f>'A) Base RI'!B32</f>
        <v>Mollens</v>
      </c>
      <c r="C30" s="33">
        <f>'B) D RI'!Y32</f>
        <v>28987.600000000002</v>
      </c>
      <c r="D30" s="15">
        <f>'B) D RI'!Z32</f>
        <v>0</v>
      </c>
      <c r="E30" s="10">
        <f t="shared" si="0"/>
        <v>28987.600000000002</v>
      </c>
      <c r="F30" s="15">
        <f>'B) D RI'!U32</f>
        <v>8975.9641891891897</v>
      </c>
      <c r="G30" s="280">
        <f t="shared" si="1"/>
        <v>3.2294692123341111</v>
      </c>
      <c r="H30" s="59">
        <f t="shared" si="2"/>
        <v>14493.800000000001</v>
      </c>
    </row>
    <row r="31" spans="1:8" x14ac:dyDescent="0.25">
      <c r="A31" s="51">
        <f>'A) Base RI'!A33</f>
        <v>5432</v>
      </c>
      <c r="B31" s="58" t="str">
        <f>'A) Base RI'!B33</f>
        <v>Montherod</v>
      </c>
      <c r="C31" s="33">
        <f>'B) D RI'!Y33</f>
        <v>111180.9</v>
      </c>
      <c r="D31" s="15">
        <f>'B) D RI'!Z33</f>
        <v>15156.3</v>
      </c>
      <c r="E31" s="10">
        <f t="shared" si="0"/>
        <v>126337.2</v>
      </c>
      <c r="F31" s="15">
        <f>'B) D RI'!U33</f>
        <v>18019.761538461538</v>
      </c>
      <c r="G31" s="280">
        <f t="shared" si="1"/>
        <v>7.0110361743880327</v>
      </c>
      <c r="H31" s="59">
        <f t="shared" si="2"/>
        <v>60137.34</v>
      </c>
    </row>
    <row r="32" spans="1:8" x14ac:dyDescent="0.25">
      <c r="A32" s="51">
        <f>'A) Base RI'!A34</f>
        <v>5434</v>
      </c>
      <c r="B32" s="58" t="str">
        <f>'A) Base RI'!B34</f>
        <v>Saint-George</v>
      </c>
      <c r="C32" s="33">
        <f>'B) D RI'!Y34</f>
        <v>428900.15</v>
      </c>
      <c r="D32" s="15">
        <f>'B) D RI'!Z34</f>
        <v>34774.9</v>
      </c>
      <c r="E32" s="10">
        <f t="shared" si="0"/>
        <v>463675.05000000005</v>
      </c>
      <c r="F32" s="15">
        <f>'B) D RI'!U34</f>
        <v>37243.682394366202</v>
      </c>
      <c r="G32" s="280">
        <f t="shared" si="1"/>
        <v>12.449763830821935</v>
      </c>
      <c r="H32" s="59">
        <f t="shared" si="2"/>
        <v>224882.54500000001</v>
      </c>
    </row>
    <row r="33" spans="1:8" x14ac:dyDescent="0.25">
      <c r="A33" s="51">
        <f>'A) Base RI'!A35</f>
        <v>5435</v>
      </c>
      <c r="B33" s="58" t="str">
        <f>'A) Base RI'!B35</f>
        <v>Saint-Livres</v>
      </c>
      <c r="C33" s="33">
        <f>'B) D RI'!Y35</f>
        <v>6406.25</v>
      </c>
      <c r="D33" s="15">
        <f>'B) D RI'!Z35</f>
        <v>4006.05</v>
      </c>
      <c r="E33" s="10">
        <f t="shared" si="0"/>
        <v>10412.299999999999</v>
      </c>
      <c r="F33" s="15">
        <f>'B) D RI'!U35</f>
        <v>25784.308260869562</v>
      </c>
      <c r="G33" s="280">
        <f t="shared" si="1"/>
        <v>0.40382312740969573</v>
      </c>
      <c r="H33" s="59">
        <f t="shared" si="2"/>
        <v>4404.9400000000005</v>
      </c>
    </row>
    <row r="34" spans="1:8" x14ac:dyDescent="0.25">
      <c r="A34" s="51">
        <f>'A) Base RI'!A36</f>
        <v>5436</v>
      </c>
      <c r="B34" s="58" t="str">
        <f>'A) Base RI'!B36</f>
        <v>Saint-Oyens</v>
      </c>
      <c r="C34" s="33">
        <f>'B) D RI'!Y36</f>
        <v>172568.45</v>
      </c>
      <c r="D34" s="15">
        <f>'B) D RI'!Z36</f>
        <v>0</v>
      </c>
      <c r="E34" s="10">
        <f t="shared" si="0"/>
        <v>172568.45</v>
      </c>
      <c r="F34" s="15">
        <f>'B) D RI'!U36</f>
        <v>11330.196234567902</v>
      </c>
      <c r="G34" s="280">
        <f t="shared" si="1"/>
        <v>15.230843881900446</v>
      </c>
      <c r="H34" s="59">
        <f t="shared" si="2"/>
        <v>86284.225000000006</v>
      </c>
    </row>
    <row r="35" spans="1:8" x14ac:dyDescent="0.25">
      <c r="A35" s="51">
        <f>'A) Base RI'!A37</f>
        <v>5437</v>
      </c>
      <c r="B35" s="58" t="str">
        <f>'A) Base RI'!B37</f>
        <v>Saubraz</v>
      </c>
      <c r="C35" s="33">
        <f>'B) D RI'!Y37</f>
        <v>44601.2</v>
      </c>
      <c r="D35" s="15">
        <f>'B) D RI'!Z37</f>
        <v>0</v>
      </c>
      <c r="E35" s="10">
        <f t="shared" si="0"/>
        <v>44601.2</v>
      </c>
      <c r="F35" s="15">
        <f>'B) D RI'!U37</f>
        <v>9948.7022499999985</v>
      </c>
      <c r="G35" s="280">
        <f t="shared" si="1"/>
        <v>4.48311738347582</v>
      </c>
      <c r="H35" s="59">
        <f t="shared" si="2"/>
        <v>22300.6</v>
      </c>
    </row>
    <row r="36" spans="1:8" x14ac:dyDescent="0.25">
      <c r="A36" s="51">
        <f>'A) Base RI'!A38</f>
        <v>5451</v>
      </c>
      <c r="B36" s="58" t="str">
        <f>'A) Base RI'!B38</f>
        <v>Avenches</v>
      </c>
      <c r="C36" s="33">
        <f>'B) D RI'!Y38</f>
        <v>586370.45000000007</v>
      </c>
      <c r="D36" s="15">
        <f>'B) D RI'!Z38</f>
        <v>533739.30000000005</v>
      </c>
      <c r="E36" s="10">
        <f t="shared" si="0"/>
        <v>1120109.75</v>
      </c>
      <c r="F36" s="15">
        <f>'B) D RI'!U38</f>
        <v>97584.0206372549</v>
      </c>
      <c r="G36" s="280">
        <f t="shared" si="1"/>
        <v>11.478413603839282</v>
      </c>
      <c r="H36" s="59">
        <f t="shared" si="2"/>
        <v>453307.01500000001</v>
      </c>
    </row>
    <row r="37" spans="1:8" x14ac:dyDescent="0.25">
      <c r="A37" s="51">
        <f>'A) Base RI'!A39</f>
        <v>5456</v>
      </c>
      <c r="B37" s="58" t="str">
        <f>'A) Base RI'!B39</f>
        <v>Cudrefin</v>
      </c>
      <c r="C37" s="33">
        <f>'B) D RI'!Y39</f>
        <v>374581.60000000003</v>
      </c>
      <c r="D37" s="15">
        <f>'B) D RI'!Z39</f>
        <v>4370.3</v>
      </c>
      <c r="E37" s="10">
        <f t="shared" si="0"/>
        <v>378951.9</v>
      </c>
      <c r="F37" s="15">
        <f>'B) D RI'!U39</f>
        <v>55901.49875706216</v>
      </c>
      <c r="G37" s="280">
        <f t="shared" si="1"/>
        <v>6.7789220043429728</v>
      </c>
      <c r="H37" s="59">
        <f t="shared" si="2"/>
        <v>188601.89</v>
      </c>
    </row>
    <row r="38" spans="1:8" x14ac:dyDescent="0.25">
      <c r="A38" s="51">
        <f>'A) Base RI'!A40</f>
        <v>5458</v>
      </c>
      <c r="B38" s="58" t="str">
        <f>'A) Base RI'!B40</f>
        <v>Faoug</v>
      </c>
      <c r="C38" s="33">
        <f>'B) D RI'!Y40</f>
        <v>259383.90000000002</v>
      </c>
      <c r="D38" s="15">
        <f>'B) D RI'!Z40</f>
        <v>0</v>
      </c>
      <c r="E38" s="10">
        <f t="shared" si="0"/>
        <v>259383.90000000002</v>
      </c>
      <c r="F38" s="15">
        <f>'B) D RI'!U40</f>
        <v>34800.236562500002</v>
      </c>
      <c r="G38" s="280">
        <f t="shared" si="1"/>
        <v>7.4535096775608309</v>
      </c>
      <c r="H38" s="59">
        <f t="shared" si="2"/>
        <v>129691.95000000001</v>
      </c>
    </row>
    <row r="39" spans="1:8" x14ac:dyDescent="0.25">
      <c r="A39" s="51">
        <f>'A) Base RI'!A41</f>
        <v>5464</v>
      </c>
      <c r="B39" s="58" t="str">
        <f>'A) Base RI'!B41</f>
        <v>Vully-les-Lacs</v>
      </c>
      <c r="C39" s="33">
        <f>'B) D RI'!Y41</f>
        <v>601769.1</v>
      </c>
      <c r="D39" s="15">
        <f>'B) D RI'!Z41</f>
        <v>0</v>
      </c>
      <c r="E39" s="10">
        <f t="shared" si="0"/>
        <v>601769.1</v>
      </c>
      <c r="F39" s="15">
        <f>'B) D RI'!U41</f>
        <v>98954.06119402984</v>
      </c>
      <c r="G39" s="280">
        <f t="shared" si="1"/>
        <v>6.0812976520493356</v>
      </c>
      <c r="H39" s="59">
        <f t="shared" si="2"/>
        <v>300884.55</v>
      </c>
    </row>
    <row r="40" spans="1:8" x14ac:dyDescent="0.25">
      <c r="A40" s="51">
        <f>'A) Base RI'!A42</f>
        <v>5471</v>
      </c>
      <c r="B40" s="58" t="str">
        <f>'A) Base RI'!B42</f>
        <v>Bettens</v>
      </c>
      <c r="C40" s="33">
        <f>'B) D RI'!Y42</f>
        <v>213796.25</v>
      </c>
      <c r="D40" s="15">
        <f>'B) D RI'!Z42</f>
        <v>1531.2</v>
      </c>
      <c r="E40" s="10">
        <f t="shared" si="0"/>
        <v>215327.45</v>
      </c>
      <c r="F40" s="15">
        <f>'B) D RI'!U42</f>
        <v>19215.411857142855</v>
      </c>
      <c r="G40" s="280">
        <f t="shared" si="1"/>
        <v>11.20597630697972</v>
      </c>
      <c r="H40" s="59">
        <f t="shared" si="2"/>
        <v>107357.485</v>
      </c>
    </row>
    <row r="41" spans="1:8" x14ac:dyDescent="0.25">
      <c r="A41" s="51">
        <f>'A) Base RI'!A43</f>
        <v>5472</v>
      </c>
      <c r="B41" s="58" t="str">
        <f>'A) Base RI'!B43</f>
        <v>Bournens</v>
      </c>
      <c r="C41" s="33">
        <f>'B) D RI'!Y43</f>
        <v>50692.100000000006</v>
      </c>
      <c r="D41" s="15">
        <f>'B) D RI'!Z43</f>
        <v>0</v>
      </c>
      <c r="E41" s="10">
        <f t="shared" si="0"/>
        <v>50692.100000000006</v>
      </c>
      <c r="F41" s="15">
        <f>'B) D RI'!U43</f>
        <v>15134.969000000003</v>
      </c>
      <c r="G41" s="280">
        <f t="shared" si="1"/>
        <v>3.3493362292317874</v>
      </c>
      <c r="H41" s="59">
        <f t="shared" si="2"/>
        <v>25346.050000000003</v>
      </c>
    </row>
    <row r="42" spans="1:8" x14ac:dyDescent="0.25">
      <c r="A42" s="51">
        <f>'A) Base RI'!A44</f>
        <v>5473</v>
      </c>
      <c r="B42" s="58" t="str">
        <f>'A) Base RI'!B44</f>
        <v>Boussens</v>
      </c>
      <c r="C42" s="33">
        <f>'B) D RI'!Y44</f>
        <v>93742.5</v>
      </c>
      <c r="D42" s="15">
        <f>'B) D RI'!Z44</f>
        <v>0</v>
      </c>
      <c r="E42" s="10">
        <f t="shared" si="0"/>
        <v>93742.5</v>
      </c>
      <c r="F42" s="15">
        <f>'B) D RI'!U44</f>
        <v>33278.780724637691</v>
      </c>
      <c r="G42" s="280">
        <f t="shared" si="1"/>
        <v>2.8168850528408469</v>
      </c>
      <c r="H42" s="59">
        <f t="shared" si="2"/>
        <v>46871.25</v>
      </c>
    </row>
    <row r="43" spans="1:8" x14ac:dyDescent="0.25">
      <c r="A43" s="51">
        <f>'A) Base RI'!A45</f>
        <v>5474</v>
      </c>
      <c r="B43" s="58" t="str">
        <f>'A) Base RI'!B45</f>
        <v>La Chaux (Cossonay)</v>
      </c>
      <c r="C43" s="33">
        <f>'B) D RI'!Y45</f>
        <v>212227.25</v>
      </c>
      <c r="D43" s="15">
        <f>'B) D RI'!Z45</f>
        <v>5919.6</v>
      </c>
      <c r="E43" s="10">
        <f t="shared" si="0"/>
        <v>218146.85</v>
      </c>
      <c r="F43" s="15">
        <f>'B) D RI'!U45</f>
        <v>13413.30380952381</v>
      </c>
      <c r="G43" s="280">
        <f t="shared" si="1"/>
        <v>16.263468948277293</v>
      </c>
      <c r="H43" s="59">
        <f t="shared" si="2"/>
        <v>107889.505</v>
      </c>
    </row>
    <row r="44" spans="1:8" x14ac:dyDescent="0.25">
      <c r="A44" s="51">
        <f>'A) Base RI'!A46</f>
        <v>5475</v>
      </c>
      <c r="B44" s="58" t="str">
        <f>'A) Base RI'!B46</f>
        <v>Chavannes-le-Veyron</v>
      </c>
      <c r="C44" s="33">
        <f>'B) D RI'!Y46</f>
        <v>5500</v>
      </c>
      <c r="D44" s="15">
        <f>'B) D RI'!Z46</f>
        <v>0</v>
      </c>
      <c r="E44" s="10">
        <f t="shared" si="0"/>
        <v>5500</v>
      </c>
      <c r="F44" s="15">
        <f>'B) D RI'!U46</f>
        <v>3783.0914285714284</v>
      </c>
      <c r="G44" s="280">
        <f t="shared" si="1"/>
        <v>1.453837451154838</v>
      </c>
      <c r="H44" s="59">
        <f t="shared" si="2"/>
        <v>2750</v>
      </c>
    </row>
    <row r="45" spans="1:8" x14ac:dyDescent="0.25">
      <c r="A45" s="51">
        <f>'A) Base RI'!A47</f>
        <v>5476</v>
      </c>
      <c r="B45" s="58" t="str">
        <f>'A) Base RI'!B47</f>
        <v>Chevilly</v>
      </c>
      <c r="C45" s="33">
        <f>'B) D RI'!Y47</f>
        <v>4409.2</v>
      </c>
      <c r="D45" s="15">
        <f>'B) D RI'!Z47</f>
        <v>0</v>
      </c>
      <c r="E45" s="10">
        <f t="shared" si="0"/>
        <v>4409.2</v>
      </c>
      <c r="F45" s="15">
        <f>'B) D RI'!U47</f>
        <v>10089.483198198201</v>
      </c>
      <c r="G45" s="280">
        <f t="shared" si="1"/>
        <v>0.4370094992365321</v>
      </c>
      <c r="H45" s="59">
        <f t="shared" si="2"/>
        <v>2204.6</v>
      </c>
    </row>
    <row r="46" spans="1:8" x14ac:dyDescent="0.25">
      <c r="A46" s="51">
        <f>'A) Base RI'!A48</f>
        <v>5477</v>
      </c>
      <c r="B46" s="58" t="str">
        <f>'A) Base RI'!B48</f>
        <v>Cossonay</v>
      </c>
      <c r="C46" s="33">
        <f>'B) D RI'!Y48</f>
        <v>1129832.75</v>
      </c>
      <c r="D46" s="15">
        <f>'B) D RI'!Z48</f>
        <v>77640.55</v>
      </c>
      <c r="E46" s="10">
        <f t="shared" si="0"/>
        <v>1207473.3</v>
      </c>
      <c r="F46" s="15">
        <f>'B) D RI'!U48</f>
        <v>126013.2271830986</v>
      </c>
      <c r="G46" s="280">
        <f t="shared" si="1"/>
        <v>9.5821155206629864</v>
      </c>
      <c r="H46" s="59">
        <f t="shared" si="2"/>
        <v>588208.54</v>
      </c>
    </row>
    <row r="47" spans="1:8" x14ac:dyDescent="0.25">
      <c r="A47" s="51">
        <f>'A) Base RI'!A49</f>
        <v>5478</v>
      </c>
      <c r="B47" s="58" t="str">
        <f>'A) Base RI'!B49</f>
        <v>Cottens</v>
      </c>
      <c r="C47" s="33">
        <f>'B) D RI'!Y49</f>
        <v>80708.899999999994</v>
      </c>
      <c r="D47" s="15">
        <f>'B) D RI'!Z49</f>
        <v>0</v>
      </c>
      <c r="E47" s="10">
        <f t="shared" si="0"/>
        <v>80708.899999999994</v>
      </c>
      <c r="F47" s="15">
        <f>'B) D RI'!U49</f>
        <v>17030.362972972973</v>
      </c>
      <c r="G47" s="280">
        <f t="shared" si="1"/>
        <v>4.7391180169256675</v>
      </c>
      <c r="H47" s="59">
        <f t="shared" si="2"/>
        <v>40354.449999999997</v>
      </c>
    </row>
    <row r="48" spans="1:8" x14ac:dyDescent="0.25">
      <c r="A48" s="51">
        <f>'A) Base RI'!A50</f>
        <v>5479</v>
      </c>
      <c r="B48" s="58" t="str">
        <f>'A) Base RI'!B50</f>
        <v>Cuarnens</v>
      </c>
      <c r="C48" s="33">
        <f>'B) D RI'!Y50</f>
        <v>119482.95000000001</v>
      </c>
      <c r="D48" s="15">
        <f>'B) D RI'!Z50</f>
        <v>9702.0499999999993</v>
      </c>
      <c r="E48" s="10">
        <f t="shared" si="0"/>
        <v>129185.00000000001</v>
      </c>
      <c r="F48" s="15">
        <f>'B) D RI'!U50</f>
        <v>19628.392987012987</v>
      </c>
      <c r="G48" s="280">
        <f t="shared" si="1"/>
        <v>6.58153727029383</v>
      </c>
      <c r="H48" s="59">
        <f t="shared" si="2"/>
        <v>62652.090000000004</v>
      </c>
    </row>
    <row r="49" spans="1:8" x14ac:dyDescent="0.25">
      <c r="A49" s="51">
        <f>'A) Base RI'!A51</f>
        <v>5480</v>
      </c>
      <c r="B49" s="58" t="str">
        <f>'A) Base RI'!B51</f>
        <v>Daillens</v>
      </c>
      <c r="C49" s="33">
        <f>'B) D RI'!Y51</f>
        <v>75527.100000000006</v>
      </c>
      <c r="D49" s="15">
        <f>'B) D RI'!Z51</f>
        <v>129347.4</v>
      </c>
      <c r="E49" s="10">
        <f t="shared" si="0"/>
        <v>204874.5</v>
      </c>
      <c r="F49" s="15">
        <f>'B) D RI'!U51</f>
        <v>41809.315211267603</v>
      </c>
      <c r="G49" s="280">
        <f t="shared" si="1"/>
        <v>4.9002118060232274</v>
      </c>
      <c r="H49" s="59">
        <f t="shared" si="2"/>
        <v>76567.76999999999</v>
      </c>
    </row>
    <row r="50" spans="1:8" x14ac:dyDescent="0.25">
      <c r="A50" s="51">
        <f>'A) Base RI'!A52</f>
        <v>5481</v>
      </c>
      <c r="B50" s="58" t="str">
        <f>'A) Base RI'!B52</f>
        <v>Dizy</v>
      </c>
      <c r="C50" s="33">
        <f>'B) D RI'!Y52</f>
        <v>17623.45</v>
      </c>
      <c r="D50" s="15">
        <f>'B) D RI'!Z52</f>
        <v>0</v>
      </c>
      <c r="E50" s="10">
        <f t="shared" si="0"/>
        <v>17623.45</v>
      </c>
      <c r="F50" s="15">
        <f>'B) D RI'!U52</f>
        <v>8477.634430379745</v>
      </c>
      <c r="G50" s="280">
        <f t="shared" si="1"/>
        <v>2.0788169323326886</v>
      </c>
      <c r="H50" s="59">
        <f t="shared" si="2"/>
        <v>8811.7250000000004</v>
      </c>
    </row>
    <row r="51" spans="1:8" x14ac:dyDescent="0.25">
      <c r="A51" s="51">
        <f>'A) Base RI'!A53</f>
        <v>5482</v>
      </c>
      <c r="B51" s="58" t="str">
        <f>'A) Base RI'!B53</f>
        <v>Eclépens</v>
      </c>
      <c r="C51" s="33">
        <f>'B) D RI'!Y53</f>
        <v>257061.09999999998</v>
      </c>
      <c r="D51" s="15">
        <f>'B) D RI'!Z53</f>
        <v>456709</v>
      </c>
      <c r="E51" s="10">
        <f t="shared" si="0"/>
        <v>713770.1</v>
      </c>
      <c r="F51" s="15">
        <f>'B) D RI'!U53</f>
        <v>50368.719782608692</v>
      </c>
      <c r="G51" s="280">
        <f t="shared" si="1"/>
        <v>14.170900175359439</v>
      </c>
      <c r="H51" s="59">
        <f t="shared" si="2"/>
        <v>265543.25</v>
      </c>
    </row>
    <row r="52" spans="1:8" x14ac:dyDescent="0.25">
      <c r="A52" s="51">
        <f>'A) Base RI'!A54</f>
        <v>5483</v>
      </c>
      <c r="B52" s="58" t="str">
        <f>'A) Base RI'!B54</f>
        <v>Ferreyres</v>
      </c>
      <c r="C52" s="33">
        <f>'B) D RI'!Y54</f>
        <v>26102.6</v>
      </c>
      <c r="D52" s="15">
        <f>'B) D RI'!Z54</f>
        <v>163.95</v>
      </c>
      <c r="E52" s="10">
        <f t="shared" si="0"/>
        <v>26266.55</v>
      </c>
      <c r="F52" s="15">
        <f>'B) D RI'!U54</f>
        <v>12305.209605263159</v>
      </c>
      <c r="G52" s="280">
        <f t="shared" si="1"/>
        <v>2.1345877756332836</v>
      </c>
      <c r="H52" s="59">
        <f t="shared" si="2"/>
        <v>13100.484999999999</v>
      </c>
    </row>
    <row r="53" spans="1:8" x14ac:dyDescent="0.25">
      <c r="A53" s="51">
        <f>'A) Base RI'!A55</f>
        <v>5484</v>
      </c>
      <c r="B53" s="58" t="str">
        <f>'A) Base RI'!B55</f>
        <v>Gollion</v>
      </c>
      <c r="C53" s="33">
        <f>'B) D RI'!Y55</f>
        <v>334825.40000000002</v>
      </c>
      <c r="D53" s="15">
        <f>'B) D RI'!Z55</f>
        <v>26602.55</v>
      </c>
      <c r="E53" s="10">
        <f t="shared" si="0"/>
        <v>361427.95</v>
      </c>
      <c r="F53" s="15">
        <f>'B) D RI'!U55</f>
        <v>34769.525540540541</v>
      </c>
      <c r="G53" s="280">
        <f t="shared" si="1"/>
        <v>10.394963531457527</v>
      </c>
      <c r="H53" s="59">
        <f t="shared" si="2"/>
        <v>175393.46500000003</v>
      </c>
    </row>
    <row r="54" spans="1:8" x14ac:dyDescent="0.25">
      <c r="A54" s="51">
        <f>'A) Base RI'!A56</f>
        <v>5485</v>
      </c>
      <c r="B54" s="58" t="str">
        <f>'A) Base RI'!B56</f>
        <v>Grancy</v>
      </c>
      <c r="C54" s="33">
        <f>'B) D RI'!Y56</f>
        <v>82850.149999999994</v>
      </c>
      <c r="D54" s="15">
        <f>'B) D RI'!Z56</f>
        <v>9944.15</v>
      </c>
      <c r="E54" s="10">
        <f t="shared" si="0"/>
        <v>92794.299999999988</v>
      </c>
      <c r="F54" s="15">
        <f>'B) D RI'!U56</f>
        <v>17864.595714285719</v>
      </c>
      <c r="G54" s="280">
        <f t="shared" si="1"/>
        <v>5.1943129015674003</v>
      </c>
      <c r="H54" s="59">
        <f t="shared" si="2"/>
        <v>44408.32</v>
      </c>
    </row>
    <row r="55" spans="1:8" x14ac:dyDescent="0.25">
      <c r="A55" s="51">
        <f>'A) Base RI'!A57</f>
        <v>5486</v>
      </c>
      <c r="B55" s="58" t="str">
        <f>'A) Base RI'!B57</f>
        <v>L'Isle</v>
      </c>
      <c r="C55" s="33">
        <f>'B) D RI'!Y57</f>
        <v>187426.6</v>
      </c>
      <c r="D55" s="15">
        <f>'B) D RI'!Z57</f>
        <v>45799.5</v>
      </c>
      <c r="E55" s="10">
        <f t="shared" si="0"/>
        <v>233226.1</v>
      </c>
      <c r="F55" s="15">
        <f>'B) D RI'!U57</f>
        <v>26187.199605263158</v>
      </c>
      <c r="G55" s="280">
        <f t="shared" si="1"/>
        <v>8.9061107531759802</v>
      </c>
      <c r="H55" s="59">
        <f t="shared" si="2"/>
        <v>107453.15000000001</v>
      </c>
    </row>
    <row r="56" spans="1:8" x14ac:dyDescent="0.25">
      <c r="A56" s="51">
        <f>'A) Base RI'!A58</f>
        <v>5487</v>
      </c>
      <c r="B56" s="58" t="str">
        <f>'A) Base RI'!B58</f>
        <v>Lussery-Villars</v>
      </c>
      <c r="C56" s="33">
        <f>'B) D RI'!Y58</f>
        <v>88628.1</v>
      </c>
      <c r="D56" s="15">
        <f>'B) D RI'!Z58</f>
        <v>2834.85</v>
      </c>
      <c r="E56" s="10">
        <f t="shared" si="0"/>
        <v>91462.950000000012</v>
      </c>
      <c r="F56" s="15">
        <f>'B) D RI'!U58</f>
        <v>14370.481805555557</v>
      </c>
      <c r="G56" s="280">
        <f t="shared" si="1"/>
        <v>6.364640464917529</v>
      </c>
      <c r="H56" s="59">
        <f t="shared" si="2"/>
        <v>45164.505000000005</v>
      </c>
    </row>
    <row r="57" spans="1:8" x14ac:dyDescent="0.25">
      <c r="A57" s="51">
        <f>'A) Base RI'!A59</f>
        <v>5488</v>
      </c>
      <c r="B57" s="58" t="str">
        <f>'A) Base RI'!B59</f>
        <v>Mauraz</v>
      </c>
      <c r="C57" s="33">
        <f>'B) D RI'!Y59</f>
        <v>0</v>
      </c>
      <c r="D57" s="15">
        <f>'B) D RI'!Z59</f>
        <v>0</v>
      </c>
      <c r="E57" s="10">
        <f t="shared" si="0"/>
        <v>0</v>
      </c>
      <c r="F57" s="15">
        <f>'B) D RI'!U59</f>
        <v>1634.9372972972974</v>
      </c>
      <c r="G57" s="280">
        <f t="shared" si="1"/>
        <v>0</v>
      </c>
      <c r="H57" s="59">
        <f t="shared" si="2"/>
        <v>0</v>
      </c>
    </row>
    <row r="58" spans="1:8" x14ac:dyDescent="0.25">
      <c r="A58" s="51">
        <f>'A) Base RI'!A60</f>
        <v>5489</v>
      </c>
      <c r="B58" s="58" t="str">
        <f>'A) Base RI'!B60</f>
        <v>Mex</v>
      </c>
      <c r="C58" s="33">
        <f>'B) D RI'!Y60</f>
        <v>197540.3</v>
      </c>
      <c r="D58" s="15">
        <f>'B) D RI'!Z60</f>
        <v>193594.5</v>
      </c>
      <c r="E58" s="10">
        <f t="shared" si="0"/>
        <v>391134.8</v>
      </c>
      <c r="F58" s="15">
        <f>'B) D RI'!U60</f>
        <v>57398.642786885255</v>
      </c>
      <c r="G58" s="280">
        <f t="shared" si="1"/>
        <v>6.8143562462311138</v>
      </c>
      <c r="H58" s="59">
        <f t="shared" si="2"/>
        <v>156848.5</v>
      </c>
    </row>
    <row r="59" spans="1:8" x14ac:dyDescent="0.25">
      <c r="A59" s="51">
        <f>'A) Base RI'!A61</f>
        <v>5490</v>
      </c>
      <c r="B59" s="58" t="str">
        <f>'A) Base RI'!B61</f>
        <v>Moiry</v>
      </c>
      <c r="C59" s="33">
        <f>'B) D RI'!Y61</f>
        <v>13202.75</v>
      </c>
      <c r="D59" s="15">
        <f>'B) D RI'!Z61</f>
        <v>0</v>
      </c>
      <c r="E59" s="10">
        <f t="shared" si="0"/>
        <v>13202.75</v>
      </c>
      <c r="F59" s="15">
        <f>'B) D RI'!U61</f>
        <v>8164.7235802469131</v>
      </c>
      <c r="G59" s="280">
        <f t="shared" si="1"/>
        <v>1.6170480078396885</v>
      </c>
      <c r="H59" s="59">
        <f t="shared" si="2"/>
        <v>6601.375</v>
      </c>
    </row>
    <row r="60" spans="1:8" x14ac:dyDescent="0.25">
      <c r="A60" s="51">
        <f>'A) Base RI'!A62</f>
        <v>5491</v>
      </c>
      <c r="B60" s="58" t="str">
        <f>'A) Base RI'!B62</f>
        <v>Mont-la-Ville</v>
      </c>
      <c r="C60" s="33">
        <f>'B) D RI'!Y62</f>
        <v>45849.549999999996</v>
      </c>
      <c r="D60" s="15">
        <f>'B) D RI'!Z62</f>
        <v>2655.6</v>
      </c>
      <c r="E60" s="10">
        <f t="shared" si="0"/>
        <v>48505.149999999994</v>
      </c>
      <c r="F60" s="15">
        <f>'B) D RI'!U62</f>
        <v>10538.480394736844</v>
      </c>
      <c r="G60" s="280">
        <f t="shared" si="1"/>
        <v>4.6026702316801353</v>
      </c>
      <c r="H60" s="59">
        <f t="shared" si="2"/>
        <v>23721.454999999998</v>
      </c>
    </row>
    <row r="61" spans="1:8" x14ac:dyDescent="0.25">
      <c r="A61" s="51">
        <f>'A) Base RI'!A63</f>
        <v>5492</v>
      </c>
      <c r="B61" s="58" t="str">
        <f>'A) Base RI'!B63</f>
        <v>Montricher</v>
      </c>
      <c r="C61" s="33">
        <f>'B) D RI'!Y63</f>
        <v>161392.15</v>
      </c>
      <c r="D61" s="15">
        <f>'B) D RI'!Z63</f>
        <v>3107.05</v>
      </c>
      <c r="E61" s="10">
        <f t="shared" si="0"/>
        <v>164499.19999999998</v>
      </c>
      <c r="F61" s="15">
        <f>'B) D RI'!U63</f>
        <v>223685.74057291666</v>
      </c>
      <c r="G61" s="280">
        <f t="shared" si="1"/>
        <v>0.73540315792448485</v>
      </c>
      <c r="H61" s="59">
        <f t="shared" si="2"/>
        <v>81628.19</v>
      </c>
    </row>
    <row r="62" spans="1:8" x14ac:dyDescent="0.25">
      <c r="A62" s="51">
        <f>'A) Base RI'!A64</f>
        <v>5493</v>
      </c>
      <c r="B62" s="58" t="str">
        <f>'A) Base RI'!B64</f>
        <v>Orny</v>
      </c>
      <c r="C62" s="33">
        <f>'B) D RI'!Y64</f>
        <v>71654.25</v>
      </c>
      <c r="D62" s="15">
        <f>'B) D RI'!Z64</f>
        <v>65376.6</v>
      </c>
      <c r="E62" s="10">
        <f t="shared" si="0"/>
        <v>137030.85</v>
      </c>
      <c r="F62" s="15">
        <f>'B) D RI'!U64</f>
        <v>9903.4061011591148</v>
      </c>
      <c r="G62" s="280">
        <f t="shared" si="1"/>
        <v>13.836739461180093</v>
      </c>
      <c r="H62" s="59">
        <f t="shared" si="2"/>
        <v>55440.104999999996</v>
      </c>
    </row>
    <row r="63" spans="1:8" x14ac:dyDescent="0.25">
      <c r="A63" s="51">
        <f>'A) Base RI'!A65</f>
        <v>5494</v>
      </c>
      <c r="B63" s="58" t="str">
        <f>'A) Base RI'!B65</f>
        <v>Pampigny</v>
      </c>
      <c r="C63" s="33">
        <f>'B) D RI'!Y65</f>
        <v>36739.65</v>
      </c>
      <c r="D63" s="15">
        <f>'B) D RI'!Z65</f>
        <v>37615.550000000003</v>
      </c>
      <c r="E63" s="10">
        <f t="shared" si="0"/>
        <v>74355.200000000012</v>
      </c>
      <c r="F63" s="15">
        <f>'B) D RI'!U65</f>
        <v>37200.871473015875</v>
      </c>
      <c r="G63" s="280">
        <f t="shared" si="1"/>
        <v>1.9987488748465072</v>
      </c>
      <c r="H63" s="59">
        <f t="shared" si="2"/>
        <v>29654.49</v>
      </c>
    </row>
    <row r="64" spans="1:8" x14ac:dyDescent="0.25">
      <c r="A64" s="51">
        <f>'A) Base RI'!A66</f>
        <v>5495</v>
      </c>
      <c r="B64" s="58" t="str">
        <f>'A) Base RI'!B66</f>
        <v>Penthalaz</v>
      </c>
      <c r="C64" s="33">
        <f>'B) D RI'!Y66</f>
        <v>653821.75</v>
      </c>
      <c r="D64" s="15">
        <f>'B) D RI'!Z66</f>
        <v>175056.8</v>
      </c>
      <c r="E64" s="10">
        <f t="shared" si="0"/>
        <v>828878.55</v>
      </c>
      <c r="F64" s="15">
        <f>'B) D RI'!U66</f>
        <v>93529.013513513521</v>
      </c>
      <c r="G64" s="280">
        <f t="shared" si="1"/>
        <v>8.8622612263545335</v>
      </c>
      <c r="H64" s="59">
        <f t="shared" si="2"/>
        <v>379427.91499999998</v>
      </c>
    </row>
    <row r="65" spans="1:8" x14ac:dyDescent="0.25">
      <c r="A65" s="51">
        <f>'A) Base RI'!A67</f>
        <v>5496</v>
      </c>
      <c r="B65" s="58" t="str">
        <f>'A) Base RI'!B67</f>
        <v>Penthaz</v>
      </c>
      <c r="C65" s="33">
        <f>'B) D RI'!Y67</f>
        <v>232143.84999999998</v>
      </c>
      <c r="D65" s="15">
        <f>'B) D RI'!Z67</f>
        <v>97292.1</v>
      </c>
      <c r="E65" s="10">
        <f t="shared" si="0"/>
        <v>329435.94999999995</v>
      </c>
      <c r="F65" s="15">
        <f>'B) D RI'!U67</f>
        <v>55364.179859154945</v>
      </c>
      <c r="G65" s="280">
        <f t="shared" si="1"/>
        <v>5.9503446242331517</v>
      </c>
      <c r="H65" s="59">
        <f t="shared" si="2"/>
        <v>145259.55499999999</v>
      </c>
    </row>
    <row r="66" spans="1:8" x14ac:dyDescent="0.25">
      <c r="A66" s="51">
        <f>'A) Base RI'!A68</f>
        <v>5497</v>
      </c>
      <c r="B66" s="58" t="str">
        <f>'A) Base RI'!B68</f>
        <v>Pompaples</v>
      </c>
      <c r="C66" s="33">
        <f>'B) D RI'!Y68</f>
        <v>358248.4</v>
      </c>
      <c r="D66" s="15">
        <f>'B) D RI'!Z68</f>
        <v>241839.6</v>
      </c>
      <c r="E66" s="10">
        <f t="shared" si="0"/>
        <v>600088</v>
      </c>
      <c r="F66" s="15">
        <f>'B) D RI'!U68</f>
        <v>21756.171818181818</v>
      </c>
      <c r="G66" s="280">
        <f t="shared" si="1"/>
        <v>27.582426035930702</v>
      </c>
      <c r="H66" s="59">
        <f t="shared" si="2"/>
        <v>251676.08000000002</v>
      </c>
    </row>
    <row r="67" spans="1:8" x14ac:dyDescent="0.25">
      <c r="A67" s="51">
        <f>'A) Base RI'!A69</f>
        <v>5498</v>
      </c>
      <c r="B67" s="58" t="str">
        <f>'A) Base RI'!B69</f>
        <v>La Sarraz</v>
      </c>
      <c r="C67" s="33">
        <f>'B) D RI'!Y69</f>
        <v>823011.8</v>
      </c>
      <c r="D67" s="15">
        <f>'B) D RI'!Z69</f>
        <v>66652.55</v>
      </c>
      <c r="E67" s="10">
        <f t="shared" si="0"/>
        <v>889664.35000000009</v>
      </c>
      <c r="F67" s="15">
        <f>'B) D RI'!U69</f>
        <v>71866.729696969705</v>
      </c>
      <c r="G67" s="280">
        <f t="shared" si="1"/>
        <v>12.379363215097197</v>
      </c>
      <c r="H67" s="59">
        <f t="shared" si="2"/>
        <v>431501.66500000004</v>
      </c>
    </row>
    <row r="68" spans="1:8" x14ac:dyDescent="0.25">
      <c r="A68" s="51">
        <f>'A) Base RI'!A70</f>
        <v>5499</v>
      </c>
      <c r="B68" s="58" t="str">
        <f>'A) Base RI'!B70</f>
        <v>Senarclens</v>
      </c>
      <c r="C68" s="33">
        <f>'B) D RI'!Y70</f>
        <v>344620.6</v>
      </c>
      <c r="D68" s="15">
        <f>'B) D RI'!Z70</f>
        <v>17109.55</v>
      </c>
      <c r="E68" s="10">
        <f t="shared" si="0"/>
        <v>361730.14999999997</v>
      </c>
      <c r="F68" s="15">
        <f>'B) D RI'!U70</f>
        <v>20247.622335766424</v>
      </c>
      <c r="G68" s="280">
        <f t="shared" si="1"/>
        <v>17.865314949154378</v>
      </c>
      <c r="H68" s="59">
        <f t="shared" si="2"/>
        <v>177443.16499999998</v>
      </c>
    </row>
    <row r="69" spans="1:8" x14ac:dyDescent="0.25">
      <c r="A69" s="51">
        <f>'A) Base RI'!A71</f>
        <v>5500</v>
      </c>
      <c r="B69" s="58" t="str">
        <f>'A) Base RI'!B71</f>
        <v>Sévery</v>
      </c>
      <c r="C69" s="33">
        <f>'B) D RI'!Y71</f>
        <v>30856.25</v>
      </c>
      <c r="D69" s="15">
        <f>'B) D RI'!Z71</f>
        <v>3276.4</v>
      </c>
      <c r="E69" s="10">
        <f t="shared" si="0"/>
        <v>34132.65</v>
      </c>
      <c r="F69" s="15">
        <f>'B) D RI'!U71</f>
        <v>8952.9604888888862</v>
      </c>
      <c r="G69" s="280">
        <f t="shared" si="1"/>
        <v>3.8124428274156341</v>
      </c>
      <c r="H69" s="59">
        <f t="shared" si="2"/>
        <v>16411.044999999998</v>
      </c>
    </row>
    <row r="70" spans="1:8" x14ac:dyDescent="0.25">
      <c r="A70" s="51">
        <f>'A) Base RI'!A72</f>
        <v>5501</v>
      </c>
      <c r="B70" s="58" t="str">
        <f>'A) Base RI'!B72</f>
        <v>Sullens</v>
      </c>
      <c r="C70" s="33">
        <f>'B) D RI'!Y72</f>
        <v>180944.05</v>
      </c>
      <c r="D70" s="15">
        <f>'B) D RI'!Z72</f>
        <v>62.3</v>
      </c>
      <c r="E70" s="10">
        <f t="shared" ref="E70:E133" si="3">C70+D70</f>
        <v>181006.34999999998</v>
      </c>
      <c r="F70" s="15">
        <f>'B) D RI'!U72</f>
        <v>34510.891142857145</v>
      </c>
      <c r="G70" s="280">
        <f t="shared" ref="G70:G133" si="4">E70/F70</f>
        <v>5.2449051301146588</v>
      </c>
      <c r="H70" s="59">
        <f t="shared" ref="H70:H133" si="5">(C70*$C$4)+(D70*$D$4)</f>
        <v>90490.714999999997</v>
      </c>
    </row>
    <row r="71" spans="1:8" x14ac:dyDescent="0.25">
      <c r="A71" s="51">
        <f>'A) Base RI'!A73</f>
        <v>5503</v>
      </c>
      <c r="B71" s="58" t="str">
        <f>'A) Base RI'!B73</f>
        <v>Vufflens-la-Ville</v>
      </c>
      <c r="C71" s="33">
        <f>'B) D RI'!Y73</f>
        <v>224494.25</v>
      </c>
      <c r="D71" s="15">
        <f>'B) D RI'!Z73</f>
        <v>101099.1</v>
      </c>
      <c r="E71" s="10">
        <f t="shared" si="3"/>
        <v>325593.34999999998</v>
      </c>
      <c r="F71" s="15">
        <f>'B) D RI'!U73</f>
        <v>69488.630199004954</v>
      </c>
      <c r="G71" s="280">
        <f t="shared" si="4"/>
        <v>4.6855629340735279</v>
      </c>
      <c r="H71" s="59">
        <f t="shared" si="5"/>
        <v>142576.85500000001</v>
      </c>
    </row>
    <row r="72" spans="1:8" x14ac:dyDescent="0.25">
      <c r="A72" s="51">
        <f>'A) Base RI'!A74</f>
        <v>5511</v>
      </c>
      <c r="B72" s="58" t="str">
        <f>'A) Base RI'!B74</f>
        <v>Assens</v>
      </c>
      <c r="C72" s="33">
        <f>'B) D RI'!Y74</f>
        <v>79445.100000000006</v>
      </c>
      <c r="D72" s="15">
        <f>'B) D RI'!Z74</f>
        <v>15581.15</v>
      </c>
      <c r="E72" s="10">
        <f t="shared" si="3"/>
        <v>95026.25</v>
      </c>
      <c r="F72" s="15">
        <f>'B) D RI'!U74</f>
        <v>49567.304285714286</v>
      </c>
      <c r="G72" s="280">
        <f t="shared" si="4"/>
        <v>1.9171155536773332</v>
      </c>
      <c r="H72" s="59">
        <f t="shared" si="5"/>
        <v>44396.895000000004</v>
      </c>
    </row>
    <row r="73" spans="1:8" x14ac:dyDescent="0.25">
      <c r="A73" s="51">
        <f>'A) Base RI'!A75</f>
        <v>5512</v>
      </c>
      <c r="B73" s="58" t="str">
        <f>'A) Base RI'!B75</f>
        <v>Bercher</v>
      </c>
      <c r="C73" s="33">
        <f>'B) D RI'!Y75</f>
        <v>224938.55</v>
      </c>
      <c r="D73" s="15">
        <f>'B) D RI'!Z75</f>
        <v>24678.6</v>
      </c>
      <c r="E73" s="10">
        <f t="shared" si="3"/>
        <v>249617.15</v>
      </c>
      <c r="F73" s="15">
        <f>'B) D RI'!U75</f>
        <v>38296.029873417712</v>
      </c>
      <c r="G73" s="280">
        <f t="shared" si="4"/>
        <v>6.5180947170000474</v>
      </c>
      <c r="H73" s="59">
        <f t="shared" si="5"/>
        <v>119872.855</v>
      </c>
    </row>
    <row r="74" spans="1:8" x14ac:dyDescent="0.25">
      <c r="A74" s="51">
        <f>'A) Base RI'!A76</f>
        <v>5513</v>
      </c>
      <c r="B74" s="58" t="str">
        <f>'A) Base RI'!B76</f>
        <v>Bioley-Orjulaz</v>
      </c>
      <c r="C74" s="33">
        <f>'B) D RI'!Y76</f>
        <v>370792.55</v>
      </c>
      <c r="D74" s="15">
        <f>'B) D RI'!Z76</f>
        <v>94419.55</v>
      </c>
      <c r="E74" s="10">
        <f t="shared" si="3"/>
        <v>465212.1</v>
      </c>
      <c r="F74" s="15">
        <f>'B) D RI'!U76</f>
        <v>23261.0975</v>
      </c>
      <c r="G74" s="280">
        <f t="shared" si="4"/>
        <v>19.999576546205525</v>
      </c>
      <c r="H74" s="59">
        <f t="shared" si="5"/>
        <v>213722.13999999998</v>
      </c>
    </row>
    <row r="75" spans="1:8" x14ac:dyDescent="0.25">
      <c r="A75" s="51">
        <f>'A) Base RI'!A77</f>
        <v>5514</v>
      </c>
      <c r="B75" s="58" t="str">
        <f>'A) Base RI'!B77</f>
        <v>Bottens</v>
      </c>
      <c r="C75" s="33">
        <f>'B) D RI'!Y77</f>
        <v>119336.04999999999</v>
      </c>
      <c r="D75" s="15">
        <f>'B) D RI'!Z77</f>
        <v>8743.1</v>
      </c>
      <c r="E75" s="10">
        <f t="shared" si="3"/>
        <v>128079.15</v>
      </c>
      <c r="F75" s="15">
        <f>'B) D RI'!U77</f>
        <v>41051.716376811593</v>
      </c>
      <c r="G75" s="280">
        <f t="shared" si="4"/>
        <v>3.1199462849340587</v>
      </c>
      <c r="H75" s="59">
        <f t="shared" si="5"/>
        <v>62290.954999999994</v>
      </c>
    </row>
    <row r="76" spans="1:8" x14ac:dyDescent="0.25">
      <c r="A76" s="51">
        <f>'A) Base RI'!A78</f>
        <v>5515</v>
      </c>
      <c r="B76" s="58" t="str">
        <f>'A) Base RI'!B78</f>
        <v>Bretigny-sur-Morrens</v>
      </c>
      <c r="C76" s="33">
        <f>'B) D RI'!Y78</f>
        <v>105537.15</v>
      </c>
      <c r="D76" s="15">
        <f>'B) D RI'!Z78</f>
        <v>9818.5</v>
      </c>
      <c r="E76" s="10">
        <f t="shared" si="3"/>
        <v>115355.65</v>
      </c>
      <c r="F76" s="15">
        <f>'B) D RI'!U78</f>
        <v>27741.095753424659</v>
      </c>
      <c r="G76" s="280">
        <f t="shared" si="4"/>
        <v>4.1582946479595799</v>
      </c>
      <c r="H76" s="59">
        <f t="shared" si="5"/>
        <v>55714.125</v>
      </c>
    </row>
    <row r="77" spans="1:8" x14ac:dyDescent="0.25">
      <c r="A77" s="51">
        <f>'A) Base RI'!A79</f>
        <v>5516</v>
      </c>
      <c r="B77" s="58" t="str">
        <f>'A) Base RI'!B79</f>
        <v>Cugy</v>
      </c>
      <c r="C77" s="33">
        <f>'B) D RI'!Y79</f>
        <v>552115.60000000009</v>
      </c>
      <c r="D77" s="15">
        <f>'B) D RI'!Z79</f>
        <v>100206.7</v>
      </c>
      <c r="E77" s="10">
        <f t="shared" si="3"/>
        <v>652322.30000000005</v>
      </c>
      <c r="F77" s="15">
        <f>'B) D RI'!U79</f>
        <v>111403.80442857141</v>
      </c>
      <c r="G77" s="280">
        <f t="shared" si="4"/>
        <v>5.8554759718125107</v>
      </c>
      <c r="H77" s="59">
        <f t="shared" si="5"/>
        <v>306119.81000000006</v>
      </c>
    </row>
    <row r="78" spans="1:8" x14ac:dyDescent="0.25">
      <c r="A78" s="51">
        <f>'A) Base RI'!A80</f>
        <v>5518</v>
      </c>
      <c r="B78" s="58" t="str">
        <f>'A) Base RI'!B80</f>
        <v>Echallens</v>
      </c>
      <c r="C78" s="33">
        <f>'B) D RI'!Y80</f>
        <v>547971.80000000005</v>
      </c>
      <c r="D78" s="15">
        <f>'B) D RI'!Z80</f>
        <v>149387.6</v>
      </c>
      <c r="E78" s="10">
        <f t="shared" si="3"/>
        <v>697359.4</v>
      </c>
      <c r="F78" s="15">
        <f>'B) D RI'!U80</f>
        <v>193638.72135135136</v>
      </c>
      <c r="G78" s="280">
        <f t="shared" si="4"/>
        <v>3.6013427228465495</v>
      </c>
      <c r="H78" s="59">
        <f t="shared" si="5"/>
        <v>318802.18000000005</v>
      </c>
    </row>
    <row r="79" spans="1:8" x14ac:dyDescent="0.25">
      <c r="A79" s="51">
        <f>'A) Base RI'!A81</f>
        <v>5520</v>
      </c>
      <c r="B79" s="58" t="str">
        <f>'A) Base RI'!B81</f>
        <v>Essertines-sur-Yverdon</v>
      </c>
      <c r="C79" s="33">
        <f>'B) D RI'!Y81</f>
        <v>196342.15</v>
      </c>
      <c r="D79" s="15">
        <f>'B) D RI'!Z81</f>
        <v>11219.05</v>
      </c>
      <c r="E79" s="10">
        <f t="shared" si="3"/>
        <v>207561.19999999998</v>
      </c>
      <c r="F79" s="15">
        <f>'B) D RI'!U81</f>
        <v>32024.354520547942</v>
      </c>
      <c r="G79" s="280">
        <f t="shared" si="4"/>
        <v>6.481354678571944</v>
      </c>
      <c r="H79" s="59">
        <f t="shared" si="5"/>
        <v>101536.79</v>
      </c>
    </row>
    <row r="80" spans="1:8" x14ac:dyDescent="0.25">
      <c r="A80" s="51">
        <f>'A) Base RI'!A82</f>
        <v>5521</v>
      </c>
      <c r="B80" s="58" t="str">
        <f>'A) Base RI'!B82</f>
        <v>Etagnières</v>
      </c>
      <c r="C80" s="33">
        <f>'B) D RI'!Y82</f>
        <v>147954.70000000001</v>
      </c>
      <c r="D80" s="15">
        <f>'B) D RI'!Z82</f>
        <v>49840.9</v>
      </c>
      <c r="E80" s="10">
        <f t="shared" si="3"/>
        <v>197795.6</v>
      </c>
      <c r="F80" s="15">
        <f>'B) D RI'!U82</f>
        <v>41782.284931506838</v>
      </c>
      <c r="G80" s="280">
        <f t="shared" si="4"/>
        <v>4.7339584305703672</v>
      </c>
      <c r="H80" s="59">
        <f t="shared" si="5"/>
        <v>88929.62000000001</v>
      </c>
    </row>
    <row r="81" spans="1:8" x14ac:dyDescent="0.25">
      <c r="A81" s="51">
        <f>'A) Base RI'!A83</f>
        <v>5522</v>
      </c>
      <c r="B81" s="58" t="str">
        <f>'A) Base RI'!B83</f>
        <v>Fey</v>
      </c>
      <c r="C81" s="33">
        <f>'B) D RI'!Y83</f>
        <v>134162</v>
      </c>
      <c r="D81" s="15">
        <f>'B) D RI'!Z83</f>
        <v>6207.7</v>
      </c>
      <c r="E81" s="10">
        <f t="shared" si="3"/>
        <v>140369.70000000001</v>
      </c>
      <c r="F81" s="15">
        <f>'B) D RI'!U83</f>
        <v>20521.084933333332</v>
      </c>
      <c r="G81" s="280">
        <f t="shared" si="4"/>
        <v>6.8402669964096843</v>
      </c>
      <c r="H81" s="59">
        <f t="shared" si="5"/>
        <v>68943.31</v>
      </c>
    </row>
    <row r="82" spans="1:8" x14ac:dyDescent="0.25">
      <c r="A82" s="51">
        <f>'A) Base RI'!A84</f>
        <v>5523</v>
      </c>
      <c r="B82" s="58" t="str">
        <f>'A) Base RI'!B84</f>
        <v>Froideville</v>
      </c>
      <c r="C82" s="33">
        <f>'B) D RI'!Y84</f>
        <v>287828.40000000002</v>
      </c>
      <c r="D82" s="15">
        <f>'B) D RI'!Z84</f>
        <v>1694.9</v>
      </c>
      <c r="E82" s="10">
        <f t="shared" si="3"/>
        <v>289523.30000000005</v>
      </c>
      <c r="F82" s="15">
        <f>'B) D RI'!U84</f>
        <v>83854.770526315799</v>
      </c>
      <c r="G82" s="280">
        <f t="shared" si="4"/>
        <v>3.4526753598251174</v>
      </c>
      <c r="H82" s="59">
        <f t="shared" si="5"/>
        <v>144422.67000000001</v>
      </c>
    </row>
    <row r="83" spans="1:8" x14ac:dyDescent="0.25">
      <c r="A83" s="51">
        <f>'A) Base RI'!A85</f>
        <v>5527</v>
      </c>
      <c r="B83" s="58" t="str">
        <f>'A) Base RI'!B85</f>
        <v>Morrens</v>
      </c>
      <c r="C83" s="33">
        <f>'B) D RI'!Y85</f>
        <v>157148.70000000001</v>
      </c>
      <c r="D83" s="15">
        <f>'B) D RI'!Z85</f>
        <v>10589.6</v>
      </c>
      <c r="E83" s="10">
        <f t="shared" si="3"/>
        <v>167738.30000000002</v>
      </c>
      <c r="F83" s="15">
        <f>'B) D RI'!U85</f>
        <v>39746.766619718313</v>
      </c>
      <c r="G83" s="280">
        <f t="shared" si="4"/>
        <v>4.2201747277924566</v>
      </c>
      <c r="H83" s="59">
        <f t="shared" si="5"/>
        <v>81751.23000000001</v>
      </c>
    </row>
    <row r="84" spans="1:8" x14ac:dyDescent="0.25">
      <c r="A84" s="51">
        <f>'A) Base RI'!A86</f>
        <v>5529</v>
      </c>
      <c r="B84" s="58" t="str">
        <f>'A) Base RI'!B86</f>
        <v>Oulens-sous-Echallens</v>
      </c>
      <c r="C84" s="33">
        <f>'B) D RI'!Y86</f>
        <v>105682.70000000001</v>
      </c>
      <c r="D84" s="15">
        <f>'B) D RI'!Z86</f>
        <v>0</v>
      </c>
      <c r="E84" s="10">
        <f t="shared" si="3"/>
        <v>105682.70000000001</v>
      </c>
      <c r="F84" s="15">
        <f>'B) D RI'!U86</f>
        <v>20201.042816901412</v>
      </c>
      <c r="G84" s="280">
        <f t="shared" si="4"/>
        <v>5.2315467551793651</v>
      </c>
      <c r="H84" s="59">
        <f t="shared" si="5"/>
        <v>52841.350000000006</v>
      </c>
    </row>
    <row r="85" spans="1:8" x14ac:dyDescent="0.25">
      <c r="A85" s="51">
        <f>'A) Base RI'!A87</f>
        <v>5530</v>
      </c>
      <c r="B85" s="58" t="str">
        <f>'A) Base RI'!B87</f>
        <v>Pailly</v>
      </c>
      <c r="C85" s="33">
        <f>'B) D RI'!Y87</f>
        <v>100463.25</v>
      </c>
      <c r="D85" s="15">
        <f>'B) D RI'!Z87</f>
        <v>2846.5</v>
      </c>
      <c r="E85" s="10">
        <f t="shared" si="3"/>
        <v>103309.75</v>
      </c>
      <c r="F85" s="15">
        <f>'B) D RI'!U87</f>
        <v>17056.622387096773</v>
      </c>
      <c r="G85" s="280">
        <f t="shared" si="4"/>
        <v>6.0568703261058987</v>
      </c>
      <c r="H85" s="59">
        <f t="shared" si="5"/>
        <v>51085.574999999997</v>
      </c>
    </row>
    <row r="86" spans="1:8" x14ac:dyDescent="0.25">
      <c r="A86" s="51">
        <f>'A) Base RI'!A88</f>
        <v>5531</v>
      </c>
      <c r="B86" s="58" t="str">
        <f>'A) Base RI'!B88</f>
        <v>Penthéréaz</v>
      </c>
      <c r="C86" s="33">
        <f>'B) D RI'!Y88</f>
        <v>48649.4</v>
      </c>
      <c r="D86" s="15">
        <f>'B) D RI'!Z88</f>
        <v>14930.3</v>
      </c>
      <c r="E86" s="10">
        <f t="shared" si="3"/>
        <v>63579.7</v>
      </c>
      <c r="F86" s="15">
        <f>'B) D RI'!U88</f>
        <v>13134.769871794872</v>
      </c>
      <c r="G86" s="280">
        <f t="shared" si="4"/>
        <v>4.840564442360634</v>
      </c>
      <c r="H86" s="59">
        <f t="shared" si="5"/>
        <v>28803.79</v>
      </c>
    </row>
    <row r="87" spans="1:8" x14ac:dyDescent="0.25">
      <c r="A87" s="51">
        <f>'A) Base RI'!A89</f>
        <v>5533</v>
      </c>
      <c r="B87" s="58" t="str">
        <f>'A) Base RI'!B89</f>
        <v>Poliez-Pittet</v>
      </c>
      <c r="C87" s="33">
        <f>'B) D RI'!Y89</f>
        <v>35868.800000000003</v>
      </c>
      <c r="D87" s="15">
        <f>'B) D RI'!Z89</f>
        <v>2712.4</v>
      </c>
      <c r="E87" s="10">
        <f t="shared" si="3"/>
        <v>38581.200000000004</v>
      </c>
      <c r="F87" s="15">
        <f>'B) D RI'!U89</f>
        <v>28042.897605633803</v>
      </c>
      <c r="G87" s="280">
        <f t="shared" si="4"/>
        <v>1.375792207444678</v>
      </c>
      <c r="H87" s="59">
        <f t="shared" si="5"/>
        <v>18748.120000000003</v>
      </c>
    </row>
    <row r="88" spans="1:8" x14ac:dyDescent="0.25">
      <c r="A88" s="51">
        <f>'A) Base RI'!A90</f>
        <v>5534</v>
      </c>
      <c r="B88" s="58" t="str">
        <f>'A) Base RI'!B90</f>
        <v>Rueyres</v>
      </c>
      <c r="C88" s="33">
        <f>'B) D RI'!Y90</f>
        <v>7428.3</v>
      </c>
      <c r="D88" s="15">
        <f>'B) D RI'!Z90</f>
        <v>26152.25</v>
      </c>
      <c r="E88" s="10">
        <f t="shared" si="3"/>
        <v>33580.550000000003</v>
      </c>
      <c r="F88" s="15">
        <f>'B) D RI'!U90</f>
        <v>9722.0657534246584</v>
      </c>
      <c r="G88" s="280">
        <f t="shared" si="4"/>
        <v>3.4540550179030669</v>
      </c>
      <c r="H88" s="59">
        <f t="shared" si="5"/>
        <v>11559.824999999999</v>
      </c>
    </row>
    <row r="89" spans="1:8" x14ac:dyDescent="0.25">
      <c r="A89" s="51">
        <f>'A) Base RI'!A91</f>
        <v>5535</v>
      </c>
      <c r="B89" s="58" t="str">
        <f>'A) Base RI'!B91</f>
        <v>Saint-Barthélemy</v>
      </c>
      <c r="C89" s="33">
        <f>'B) D RI'!Y91</f>
        <v>32102.300000000003</v>
      </c>
      <c r="D89" s="15">
        <f>'B) D RI'!Z91</f>
        <v>34037.4</v>
      </c>
      <c r="E89" s="10">
        <f t="shared" si="3"/>
        <v>66139.700000000012</v>
      </c>
      <c r="F89" s="15">
        <f>'B) D RI'!U91</f>
        <v>23314.139350649355</v>
      </c>
      <c r="G89" s="280">
        <f t="shared" si="4"/>
        <v>2.8368921968443952</v>
      </c>
      <c r="H89" s="59">
        <f t="shared" si="5"/>
        <v>26262.370000000003</v>
      </c>
    </row>
    <row r="90" spans="1:8" x14ac:dyDescent="0.25">
      <c r="A90" s="51">
        <f>'A) Base RI'!A92</f>
        <v>5537</v>
      </c>
      <c r="B90" s="58" t="str">
        <f>'A) Base RI'!B92</f>
        <v>Villars-le-Terroir</v>
      </c>
      <c r="C90" s="33">
        <f>'B) D RI'!Y92</f>
        <v>144629.70000000001</v>
      </c>
      <c r="D90" s="15">
        <f>'B) D RI'!Z92</f>
        <v>954.05</v>
      </c>
      <c r="E90" s="10">
        <f t="shared" si="3"/>
        <v>145583.75</v>
      </c>
      <c r="F90" s="15">
        <f>'B) D RI'!U92</f>
        <v>33778.811643835616</v>
      </c>
      <c r="G90" s="280">
        <f t="shared" si="4"/>
        <v>4.3099133129678338</v>
      </c>
      <c r="H90" s="59">
        <f t="shared" si="5"/>
        <v>72601.065000000002</v>
      </c>
    </row>
    <row r="91" spans="1:8" x14ac:dyDescent="0.25">
      <c r="A91" s="51">
        <f>'A) Base RI'!A93</f>
        <v>5539</v>
      </c>
      <c r="B91" s="58" t="str">
        <f>'A) Base RI'!B93</f>
        <v>Vuarrens</v>
      </c>
      <c r="C91" s="33">
        <f>'B) D RI'!Y93</f>
        <v>74660</v>
      </c>
      <c r="D91" s="15">
        <f>'B) D RI'!Z93</f>
        <v>34768.85</v>
      </c>
      <c r="E91" s="10">
        <f t="shared" si="3"/>
        <v>109428.85</v>
      </c>
      <c r="F91" s="15">
        <f>'B) D RI'!U93</f>
        <v>26961.993700000003</v>
      </c>
      <c r="G91" s="280">
        <f t="shared" si="4"/>
        <v>4.0586334681919309</v>
      </c>
      <c r="H91" s="59">
        <f t="shared" si="5"/>
        <v>47760.654999999999</v>
      </c>
    </row>
    <row r="92" spans="1:8" x14ac:dyDescent="0.25">
      <c r="A92" s="51">
        <f>'A) Base RI'!A94</f>
        <v>5540</v>
      </c>
      <c r="B92" s="58" t="str">
        <f>'A) Base RI'!B94</f>
        <v>Montilliez</v>
      </c>
      <c r="C92" s="33">
        <f>'B) D RI'!Y94</f>
        <v>209733.65000000002</v>
      </c>
      <c r="D92" s="15">
        <f>'B) D RI'!Z94</f>
        <v>2349.8000000000002</v>
      </c>
      <c r="E92" s="10">
        <f t="shared" si="3"/>
        <v>212083.45</v>
      </c>
      <c r="F92" s="15">
        <f>'B) D RI'!U94</f>
        <v>57534.065472972972</v>
      </c>
      <c r="G92" s="280">
        <f t="shared" si="4"/>
        <v>3.686223948481925</v>
      </c>
      <c r="H92" s="59">
        <f t="shared" si="5"/>
        <v>105571.76500000001</v>
      </c>
    </row>
    <row r="93" spans="1:8" x14ac:dyDescent="0.25">
      <c r="A93" s="51">
        <f>'A) Base RI'!A95</f>
        <v>5541</v>
      </c>
      <c r="B93" s="58" t="str">
        <f>'A) Base RI'!B95</f>
        <v>Goumoëns</v>
      </c>
      <c r="C93" s="33">
        <f>'B) D RI'!Y95</f>
        <v>139880.75</v>
      </c>
      <c r="D93" s="15">
        <f>'B) D RI'!Z95</f>
        <v>7197</v>
      </c>
      <c r="E93" s="10">
        <f t="shared" si="3"/>
        <v>147077.75</v>
      </c>
      <c r="F93" s="15">
        <f>'B) D RI'!U95</f>
        <v>38967.18311688312</v>
      </c>
      <c r="G93" s="280">
        <f t="shared" si="4"/>
        <v>3.7744003603964984</v>
      </c>
      <c r="H93" s="59">
        <f t="shared" si="5"/>
        <v>72099.475000000006</v>
      </c>
    </row>
    <row r="94" spans="1:8" x14ac:dyDescent="0.25">
      <c r="A94" s="51">
        <f>'A) Base RI'!A96</f>
        <v>5551</v>
      </c>
      <c r="B94" s="58" t="str">
        <f>'A) Base RI'!B96</f>
        <v>Bonvillars</v>
      </c>
      <c r="C94" s="33">
        <f>'B) D RI'!Y96</f>
        <v>115829.9</v>
      </c>
      <c r="D94" s="15">
        <f>'B) D RI'!Z96</f>
        <v>10619.35</v>
      </c>
      <c r="E94" s="10">
        <f t="shared" si="3"/>
        <v>126449.25</v>
      </c>
      <c r="F94" s="15">
        <f>'B) D RI'!U96</f>
        <v>18919.686363636367</v>
      </c>
      <c r="G94" s="280">
        <f t="shared" si="4"/>
        <v>6.6834749567009437</v>
      </c>
      <c r="H94" s="59">
        <f t="shared" si="5"/>
        <v>61100.754999999997</v>
      </c>
    </row>
    <row r="95" spans="1:8" x14ac:dyDescent="0.25">
      <c r="A95" s="51">
        <f>'A) Base RI'!A97</f>
        <v>5552</v>
      </c>
      <c r="B95" s="58" t="str">
        <f>'A) Base RI'!B97</f>
        <v>Bullet</v>
      </c>
      <c r="C95" s="33">
        <f>'B) D RI'!Y97</f>
        <v>91560.949999999983</v>
      </c>
      <c r="D95" s="15">
        <f>'B) D RI'!Z97</f>
        <v>44648.35</v>
      </c>
      <c r="E95" s="10">
        <f t="shared" si="3"/>
        <v>136209.29999999999</v>
      </c>
      <c r="F95" s="15">
        <f>'B) D RI'!U97</f>
        <v>17961.232428571428</v>
      </c>
      <c r="G95" s="280">
        <f t="shared" si="4"/>
        <v>7.583516361790859</v>
      </c>
      <c r="H95" s="59">
        <f t="shared" si="5"/>
        <v>59174.979999999989</v>
      </c>
    </row>
    <row r="96" spans="1:8" x14ac:dyDescent="0.25">
      <c r="A96" s="51">
        <f>'A) Base RI'!A98</f>
        <v>5553</v>
      </c>
      <c r="B96" s="58" t="str">
        <f>'A) Base RI'!B98</f>
        <v>Champagne</v>
      </c>
      <c r="C96" s="33">
        <f>'B) D RI'!Y98</f>
        <v>134620.6</v>
      </c>
      <c r="D96" s="15">
        <f>'B) D RI'!Z98</f>
        <v>128249.75</v>
      </c>
      <c r="E96" s="10">
        <f t="shared" si="3"/>
        <v>262870.34999999998</v>
      </c>
      <c r="F96" s="15">
        <f>'B) D RI'!U98</f>
        <v>34503.509846153851</v>
      </c>
      <c r="G96" s="280">
        <f t="shared" si="4"/>
        <v>7.6186553533858081</v>
      </c>
      <c r="H96" s="59">
        <f t="shared" si="5"/>
        <v>105785.22500000001</v>
      </c>
    </row>
    <row r="97" spans="1:8" x14ac:dyDescent="0.25">
      <c r="A97" s="51">
        <f>'A) Base RI'!A99</f>
        <v>5554</v>
      </c>
      <c r="B97" s="58" t="str">
        <f>'A) Base RI'!B99</f>
        <v>Concise</v>
      </c>
      <c r="C97" s="33">
        <f>'B) D RI'!Y99</f>
        <v>117254.1</v>
      </c>
      <c r="D97" s="15">
        <f>'B) D RI'!Z99</f>
        <v>1585.3</v>
      </c>
      <c r="E97" s="10">
        <f t="shared" si="3"/>
        <v>118839.40000000001</v>
      </c>
      <c r="F97" s="15">
        <f>'B) D RI'!U99</f>
        <v>31707.482800000005</v>
      </c>
      <c r="G97" s="280">
        <f t="shared" si="4"/>
        <v>3.7479922562632435</v>
      </c>
      <c r="H97" s="59">
        <f t="shared" si="5"/>
        <v>59102.64</v>
      </c>
    </row>
    <row r="98" spans="1:8" x14ac:dyDescent="0.25">
      <c r="A98" s="51">
        <f>'A) Base RI'!A100</f>
        <v>5555</v>
      </c>
      <c r="B98" s="58" t="str">
        <f>'A) Base RI'!B100</f>
        <v>Corcelles-près-Concise</v>
      </c>
      <c r="C98" s="33">
        <f>'B) D RI'!Y100</f>
        <v>119210.70000000001</v>
      </c>
      <c r="D98" s="15">
        <f>'B) D RI'!Z100</f>
        <v>7825.5</v>
      </c>
      <c r="E98" s="10">
        <f t="shared" si="3"/>
        <v>127036.20000000001</v>
      </c>
      <c r="F98" s="15">
        <f>'B) D RI'!U100</f>
        <v>13647.491690140843</v>
      </c>
      <c r="G98" s="280">
        <f t="shared" si="4"/>
        <v>9.3083918191188868</v>
      </c>
      <c r="H98" s="59">
        <f t="shared" si="5"/>
        <v>61953.000000000007</v>
      </c>
    </row>
    <row r="99" spans="1:8" x14ac:dyDescent="0.25">
      <c r="A99" s="51">
        <f>'A) Base RI'!A101</f>
        <v>5556</v>
      </c>
      <c r="B99" s="58" t="str">
        <f>'A) Base RI'!B101</f>
        <v>Fiez</v>
      </c>
      <c r="C99" s="33">
        <f>'B) D RI'!Y101</f>
        <v>474546.05</v>
      </c>
      <c r="D99" s="15">
        <f>'B) D RI'!Z101</f>
        <v>0</v>
      </c>
      <c r="E99" s="10">
        <f t="shared" si="3"/>
        <v>474546.05</v>
      </c>
      <c r="F99" s="15">
        <f>'B) D RI'!U101</f>
        <v>12912.419806763286</v>
      </c>
      <c r="G99" s="280">
        <f t="shared" si="4"/>
        <v>36.751132405983391</v>
      </c>
      <c r="H99" s="59">
        <f t="shared" si="5"/>
        <v>237273.02499999999</v>
      </c>
    </row>
    <row r="100" spans="1:8" x14ac:dyDescent="0.25">
      <c r="A100" s="51">
        <f>'A) Base RI'!A102</f>
        <v>5557</v>
      </c>
      <c r="B100" s="58" t="str">
        <f>'A) Base RI'!B102</f>
        <v>Fontaines-sur-Grandson</v>
      </c>
      <c r="C100" s="33">
        <f>'B) D RI'!Y102</f>
        <v>30627.399999999998</v>
      </c>
      <c r="D100" s="15">
        <f>'B) D RI'!Z102</f>
        <v>0</v>
      </c>
      <c r="E100" s="10">
        <f t="shared" si="3"/>
        <v>30627.399999999998</v>
      </c>
      <c r="F100" s="15">
        <f>'B) D RI'!U102</f>
        <v>4472.1762318840592</v>
      </c>
      <c r="G100" s="280">
        <f t="shared" si="4"/>
        <v>6.8484331591506056</v>
      </c>
      <c r="H100" s="59">
        <f t="shared" si="5"/>
        <v>15313.699999999999</v>
      </c>
    </row>
    <row r="101" spans="1:8" x14ac:dyDescent="0.25">
      <c r="A101" s="51">
        <f>'A) Base RI'!A103</f>
        <v>5559</v>
      </c>
      <c r="B101" s="58" t="str">
        <f>'A) Base RI'!B103</f>
        <v>Giez</v>
      </c>
      <c r="C101" s="33">
        <f>'B) D RI'!Y103</f>
        <v>57097.899999999994</v>
      </c>
      <c r="D101" s="15">
        <f>'B) D RI'!Z103</f>
        <v>18858.099999999999</v>
      </c>
      <c r="E101" s="10">
        <f t="shared" si="3"/>
        <v>75956</v>
      </c>
      <c r="F101" s="15">
        <f>'B) D RI'!U103</f>
        <v>14390.805000000002</v>
      </c>
      <c r="G101" s="280">
        <f t="shared" si="4"/>
        <v>5.2780925042066782</v>
      </c>
      <c r="H101" s="59">
        <f t="shared" si="5"/>
        <v>34206.379999999997</v>
      </c>
    </row>
    <row r="102" spans="1:8" x14ac:dyDescent="0.25">
      <c r="A102" s="51">
        <f>'A) Base RI'!A104</f>
        <v>5560</v>
      </c>
      <c r="B102" s="58" t="str">
        <f>'A) Base RI'!B104</f>
        <v>Grandevent</v>
      </c>
      <c r="C102" s="33">
        <f>'B) D RI'!Y104</f>
        <v>27367.05</v>
      </c>
      <c r="D102" s="15">
        <f>'B) D RI'!Z104</f>
        <v>0</v>
      </c>
      <c r="E102" s="10">
        <f t="shared" si="3"/>
        <v>27367.05</v>
      </c>
      <c r="F102" s="15">
        <f>'B) D RI'!U104</f>
        <v>6268.2104411764703</v>
      </c>
      <c r="G102" s="280">
        <f t="shared" si="4"/>
        <v>4.3660068941245571</v>
      </c>
      <c r="H102" s="59">
        <f t="shared" si="5"/>
        <v>13683.525</v>
      </c>
    </row>
    <row r="103" spans="1:8" x14ac:dyDescent="0.25">
      <c r="A103" s="51">
        <f>'A) Base RI'!A105</f>
        <v>5561</v>
      </c>
      <c r="B103" s="58" t="str">
        <f>'A) Base RI'!B105</f>
        <v>Grandson</v>
      </c>
      <c r="C103" s="33">
        <f>'B) D RI'!Y105</f>
        <v>385213.9</v>
      </c>
      <c r="D103" s="15">
        <f>'B) D RI'!Z105</f>
        <v>286091.09999999998</v>
      </c>
      <c r="E103" s="10">
        <f t="shared" si="3"/>
        <v>671305</v>
      </c>
      <c r="F103" s="15">
        <f>'B) D RI'!U105</f>
        <v>116951.12594202899</v>
      </c>
      <c r="G103" s="280">
        <f t="shared" si="4"/>
        <v>5.7400473453565244</v>
      </c>
      <c r="H103" s="59">
        <f t="shared" si="5"/>
        <v>278434.28000000003</v>
      </c>
    </row>
    <row r="104" spans="1:8" x14ac:dyDescent="0.25">
      <c r="A104" s="51">
        <f>'A) Base RI'!A106</f>
        <v>5562</v>
      </c>
      <c r="B104" s="58" t="str">
        <f>'A) Base RI'!B106</f>
        <v>Mauborget</v>
      </c>
      <c r="C104" s="33">
        <f>'B) D RI'!Y106</f>
        <v>13105.45</v>
      </c>
      <c r="D104" s="15">
        <f>'B) D RI'!Z106</f>
        <v>0</v>
      </c>
      <c r="E104" s="10">
        <f t="shared" si="3"/>
        <v>13105.45</v>
      </c>
      <c r="F104" s="15">
        <f>'B) D RI'!U106</f>
        <v>5914.7906428571432</v>
      </c>
      <c r="G104" s="280">
        <f t="shared" si="4"/>
        <v>2.2157081782474393</v>
      </c>
      <c r="H104" s="59">
        <f t="shared" si="5"/>
        <v>6552.7250000000004</v>
      </c>
    </row>
    <row r="105" spans="1:8" x14ac:dyDescent="0.25">
      <c r="A105" s="51">
        <f>'A) Base RI'!A107</f>
        <v>5563</v>
      </c>
      <c r="B105" s="58" t="str">
        <f>'A) Base RI'!B107</f>
        <v>Mutrux</v>
      </c>
      <c r="C105" s="33">
        <f>'B) D RI'!Y107</f>
        <v>12243</v>
      </c>
      <c r="D105" s="15">
        <f>'B) D RI'!Z107</f>
        <v>0</v>
      </c>
      <c r="E105" s="10">
        <f t="shared" si="3"/>
        <v>12243</v>
      </c>
      <c r="F105" s="15">
        <f>'B) D RI'!U107</f>
        <v>3113.0356687898088</v>
      </c>
      <c r="G105" s="280">
        <f t="shared" si="4"/>
        <v>3.9328171285488227</v>
      </c>
      <c r="H105" s="59">
        <f t="shared" si="5"/>
        <v>6121.5</v>
      </c>
    </row>
    <row r="106" spans="1:8" x14ac:dyDescent="0.25">
      <c r="A106" s="51">
        <f>'A) Base RI'!A108</f>
        <v>5564</v>
      </c>
      <c r="B106" s="58" t="str">
        <f>'A) Base RI'!B108</f>
        <v>Novalles</v>
      </c>
      <c r="C106" s="33">
        <f>'B) D RI'!Y108</f>
        <v>16852.2</v>
      </c>
      <c r="D106" s="15">
        <f>'B) D RI'!Z108</f>
        <v>0</v>
      </c>
      <c r="E106" s="10">
        <f t="shared" si="3"/>
        <v>16852.2</v>
      </c>
      <c r="F106" s="15">
        <f>'B) D RI'!U108</f>
        <v>2626.7922039473683</v>
      </c>
      <c r="G106" s="280">
        <f t="shared" si="4"/>
        <v>6.4155055640395302</v>
      </c>
      <c r="H106" s="59">
        <f t="shared" si="5"/>
        <v>8426.1</v>
      </c>
    </row>
    <row r="107" spans="1:8" x14ac:dyDescent="0.25">
      <c r="A107" s="51">
        <f>'A) Base RI'!A109</f>
        <v>5565</v>
      </c>
      <c r="B107" s="58" t="str">
        <f>'A) Base RI'!B109</f>
        <v>Onnens</v>
      </c>
      <c r="C107" s="33">
        <f>'B) D RI'!Y109</f>
        <v>79821.8</v>
      </c>
      <c r="D107" s="15">
        <f>'B) D RI'!Z109</f>
        <v>31110.9</v>
      </c>
      <c r="E107" s="10">
        <f t="shared" si="3"/>
        <v>110932.70000000001</v>
      </c>
      <c r="F107" s="15">
        <f>'B) D RI'!U109</f>
        <v>19016.562615384613</v>
      </c>
      <c r="G107" s="280">
        <f t="shared" si="4"/>
        <v>5.833478018275196</v>
      </c>
      <c r="H107" s="59">
        <f t="shared" si="5"/>
        <v>49244.17</v>
      </c>
    </row>
    <row r="108" spans="1:8" x14ac:dyDescent="0.25">
      <c r="A108" s="51">
        <f>'A) Base RI'!A110</f>
        <v>5566</v>
      </c>
      <c r="B108" s="58" t="str">
        <f>'A) Base RI'!B110</f>
        <v>Provence</v>
      </c>
      <c r="C108" s="33">
        <f>'B) D RI'!Y110</f>
        <v>9207.7000000000007</v>
      </c>
      <c r="D108" s="15">
        <f>'B) D RI'!Z110</f>
        <v>50657.7</v>
      </c>
      <c r="E108" s="10">
        <f t="shared" si="3"/>
        <v>59865.399999999994</v>
      </c>
      <c r="F108" s="15">
        <f>'B) D RI'!U110</f>
        <v>7944.5948559670787</v>
      </c>
      <c r="G108" s="280">
        <f t="shared" si="4"/>
        <v>7.535362228702688</v>
      </c>
      <c r="H108" s="59">
        <f t="shared" si="5"/>
        <v>19801.159999999996</v>
      </c>
    </row>
    <row r="109" spans="1:8" x14ac:dyDescent="0.25">
      <c r="A109" s="51">
        <f>'A) Base RI'!A111</f>
        <v>5568</v>
      </c>
      <c r="B109" s="58" t="str">
        <f>'A) Base RI'!B111</f>
        <v>Sainte-Croix</v>
      </c>
      <c r="C109" s="33">
        <f>'B) D RI'!Y111</f>
        <v>816797.55</v>
      </c>
      <c r="D109" s="15">
        <f>'B) D RI'!Z111</f>
        <v>1743574.2</v>
      </c>
      <c r="E109" s="10">
        <f t="shared" si="3"/>
        <v>2560371.75</v>
      </c>
      <c r="F109" s="15">
        <f>'B) D RI'!U111</f>
        <v>100789.16114285712</v>
      </c>
      <c r="G109" s="280">
        <f t="shared" si="4"/>
        <v>25.403244961737162</v>
      </c>
      <c r="H109" s="59">
        <f t="shared" si="5"/>
        <v>931471.03499999992</v>
      </c>
    </row>
    <row r="110" spans="1:8" x14ac:dyDescent="0.25">
      <c r="A110" s="51">
        <f>'A) Base RI'!A112</f>
        <v>5571</v>
      </c>
      <c r="B110" s="58" t="str">
        <f>'A) Base RI'!B112</f>
        <v>Tévenon</v>
      </c>
      <c r="C110" s="33">
        <f>'B) D RI'!Y112</f>
        <v>82385.600000000006</v>
      </c>
      <c r="D110" s="15">
        <f>'B) D RI'!Z112</f>
        <v>63422.35</v>
      </c>
      <c r="E110" s="10">
        <f t="shared" si="3"/>
        <v>145807.95000000001</v>
      </c>
      <c r="F110" s="15">
        <f>'B) D RI'!U112</f>
        <v>21355.706643835612</v>
      </c>
      <c r="G110" s="280">
        <f t="shared" si="4"/>
        <v>6.827587231447942</v>
      </c>
      <c r="H110" s="59">
        <f t="shared" si="5"/>
        <v>60219.505000000005</v>
      </c>
    </row>
    <row r="111" spans="1:8" x14ac:dyDescent="0.25">
      <c r="A111" s="51">
        <f>'A) Base RI'!A113</f>
        <v>5581</v>
      </c>
      <c r="B111" s="58" t="str">
        <f>'A) Base RI'!B113</f>
        <v>Belmont-sur-Lausanne</v>
      </c>
      <c r="C111" s="33">
        <f>'B) D RI'!Y113</f>
        <v>1008665.4500000001</v>
      </c>
      <c r="D111" s="15">
        <f>'B) D RI'!Z113</f>
        <v>1995.25</v>
      </c>
      <c r="E111" s="10">
        <f t="shared" si="3"/>
        <v>1010660.7000000001</v>
      </c>
      <c r="F111" s="15">
        <f>'B) D RI'!U113</f>
        <v>192798.41534772189</v>
      </c>
      <c r="G111" s="280">
        <f t="shared" si="4"/>
        <v>5.2420591641130523</v>
      </c>
      <c r="H111" s="59">
        <f t="shared" si="5"/>
        <v>504931.30000000005</v>
      </c>
    </row>
    <row r="112" spans="1:8" x14ac:dyDescent="0.25">
      <c r="A112" s="51">
        <f>'A) Base RI'!A114</f>
        <v>5582</v>
      </c>
      <c r="B112" s="58" t="str">
        <f>'A) Base RI'!B114</f>
        <v>Cheseaux-sur-Lausanne</v>
      </c>
      <c r="C112" s="33">
        <f>'B) D RI'!Y114</f>
        <v>183367.9</v>
      </c>
      <c r="D112" s="15">
        <f>'B) D RI'!Z114</f>
        <v>427863.35</v>
      </c>
      <c r="E112" s="10">
        <f t="shared" si="3"/>
        <v>611231.25</v>
      </c>
      <c r="F112" s="15">
        <f>'B) D RI'!U114</f>
        <v>181145.82187919464</v>
      </c>
      <c r="G112" s="280">
        <f t="shared" si="4"/>
        <v>3.3742497820768258</v>
      </c>
      <c r="H112" s="59">
        <f t="shared" si="5"/>
        <v>220042.95499999999</v>
      </c>
    </row>
    <row r="113" spans="1:8" x14ac:dyDescent="0.25">
      <c r="A113" s="51">
        <f>'A) Base RI'!A115</f>
        <v>5583</v>
      </c>
      <c r="B113" s="58" t="str">
        <f>'A) Base RI'!B115</f>
        <v>Crissier</v>
      </c>
      <c r="C113" s="33">
        <f>'B) D RI'!Y115</f>
        <v>1086683.55</v>
      </c>
      <c r="D113" s="15">
        <f>'B) D RI'!Z115</f>
        <v>1504095.45</v>
      </c>
      <c r="E113" s="10">
        <f t="shared" si="3"/>
        <v>2590779</v>
      </c>
      <c r="F113" s="15">
        <f>'B) D RI'!U115</f>
        <v>315798.9015384615</v>
      </c>
      <c r="G113" s="280">
        <f t="shared" si="4"/>
        <v>8.2038885739584053</v>
      </c>
      <c r="H113" s="59">
        <f t="shared" si="5"/>
        <v>994570.40999999992</v>
      </c>
    </row>
    <row r="114" spans="1:8" x14ac:dyDescent="0.25">
      <c r="A114" s="51">
        <f>'A) Base RI'!A116</f>
        <v>5584</v>
      </c>
      <c r="B114" s="58" t="str">
        <f>'A) Base RI'!B116</f>
        <v>Epalinges</v>
      </c>
      <c r="C114" s="33">
        <f>'B) D RI'!Y116</f>
        <v>2783697.0999999996</v>
      </c>
      <c r="D114" s="15">
        <f>'B) D RI'!Z116</f>
        <v>219156.75</v>
      </c>
      <c r="E114" s="10">
        <f t="shared" si="3"/>
        <v>3002853.8499999996</v>
      </c>
      <c r="F114" s="15">
        <f>'B) D RI'!U116</f>
        <v>424408.2359090909</v>
      </c>
      <c r="G114" s="280">
        <f t="shared" si="4"/>
        <v>7.0753901454523538</v>
      </c>
      <c r="H114" s="59">
        <f t="shared" si="5"/>
        <v>1457595.5749999997</v>
      </c>
    </row>
    <row r="115" spans="1:8" x14ac:dyDescent="0.25">
      <c r="A115" s="51">
        <f>'A) Base RI'!A117</f>
        <v>5585</v>
      </c>
      <c r="B115" s="58" t="str">
        <f>'A) Base RI'!B117</f>
        <v>Jouxtens-Mézery</v>
      </c>
      <c r="C115" s="33">
        <f>'B) D RI'!Y117</f>
        <v>359477.1</v>
      </c>
      <c r="D115" s="15">
        <f>'B) D RI'!Z117</f>
        <v>2700.5</v>
      </c>
      <c r="E115" s="10">
        <f t="shared" si="3"/>
        <v>362177.6</v>
      </c>
      <c r="F115" s="15">
        <f>'B) D RI'!U117</f>
        <v>171676.58132075472</v>
      </c>
      <c r="G115" s="280">
        <f t="shared" si="4"/>
        <v>2.1096505837527113</v>
      </c>
      <c r="H115" s="59">
        <f t="shared" si="5"/>
        <v>180548.69999999998</v>
      </c>
    </row>
    <row r="116" spans="1:8" x14ac:dyDescent="0.25">
      <c r="A116" s="51">
        <f>'A) Base RI'!A118</f>
        <v>5586</v>
      </c>
      <c r="B116" s="58" t="str">
        <f>'A) Base RI'!B118</f>
        <v>Lausanne</v>
      </c>
      <c r="C116" s="33">
        <f>'B) D RI'!Y118</f>
        <v>33529428.100000001</v>
      </c>
      <c r="D116" s="15">
        <f>'B) D RI'!Z118</f>
        <v>11465768.75</v>
      </c>
      <c r="E116" s="10">
        <f t="shared" si="3"/>
        <v>44995196.850000001</v>
      </c>
      <c r="F116" s="15">
        <f>'B) D RI'!U118</f>
        <v>6228304.1083544316</v>
      </c>
      <c r="G116" s="280">
        <f t="shared" si="4"/>
        <v>7.2243095499535741</v>
      </c>
      <c r="H116" s="59">
        <f t="shared" si="5"/>
        <v>20204444.675000001</v>
      </c>
    </row>
    <row r="117" spans="1:8" x14ac:dyDescent="0.25">
      <c r="A117" s="51">
        <f>'A) Base RI'!A119</f>
        <v>5587</v>
      </c>
      <c r="B117" s="58" t="str">
        <f>'A) Base RI'!B119</f>
        <v>Le Mont-sur-Lausanne</v>
      </c>
      <c r="C117" s="33">
        <f>'B) D RI'!Y119</f>
        <v>1920004.75</v>
      </c>
      <c r="D117" s="15">
        <f>'B) D RI'!Z119</f>
        <v>355226.65</v>
      </c>
      <c r="E117" s="10">
        <f t="shared" si="3"/>
        <v>2275231.4</v>
      </c>
      <c r="F117" s="15">
        <f>'B) D RI'!U119</f>
        <v>419199.48633333331</v>
      </c>
      <c r="G117" s="280">
        <f t="shared" si="4"/>
        <v>5.4275624712736708</v>
      </c>
      <c r="H117" s="59">
        <f t="shared" si="5"/>
        <v>1066570.3700000001</v>
      </c>
    </row>
    <row r="118" spans="1:8" x14ac:dyDescent="0.25">
      <c r="A118" s="51">
        <f>'A) Base RI'!A120</f>
        <v>5588</v>
      </c>
      <c r="B118" s="58" t="str">
        <f>'A) Base RI'!B120</f>
        <v>Paudex</v>
      </c>
      <c r="C118" s="33">
        <f>'B) D RI'!Y120</f>
        <v>13906.800000000001</v>
      </c>
      <c r="D118" s="15">
        <f>'B) D RI'!Z120</f>
        <v>20053.349999999999</v>
      </c>
      <c r="E118" s="10">
        <f t="shared" si="3"/>
        <v>33960.15</v>
      </c>
      <c r="F118" s="15">
        <f>'B) D RI'!U120</f>
        <v>145215.51428571431</v>
      </c>
      <c r="G118" s="280">
        <f t="shared" si="4"/>
        <v>0.23386034313925133</v>
      </c>
      <c r="H118" s="59">
        <f t="shared" si="5"/>
        <v>12969.404999999999</v>
      </c>
    </row>
    <row r="119" spans="1:8" x14ac:dyDescent="0.25">
      <c r="A119" s="51">
        <f>'A) Base RI'!A121</f>
        <v>5589</v>
      </c>
      <c r="B119" s="58" t="str">
        <f>'A) Base RI'!B121</f>
        <v>Prilly</v>
      </c>
      <c r="C119" s="33">
        <f>'B) D RI'!Y121</f>
        <v>1669742.9500000002</v>
      </c>
      <c r="D119" s="15">
        <f>'B) D RI'!Z121</f>
        <v>1032878.5</v>
      </c>
      <c r="E119" s="10">
        <f t="shared" si="3"/>
        <v>2702621.45</v>
      </c>
      <c r="F119" s="15">
        <f>'B) D RI'!U121</f>
        <v>433086.92517006805</v>
      </c>
      <c r="G119" s="280">
        <f t="shared" si="4"/>
        <v>6.24036721713248</v>
      </c>
      <c r="H119" s="59">
        <f t="shared" si="5"/>
        <v>1144735.0250000001</v>
      </c>
    </row>
    <row r="120" spans="1:8" x14ac:dyDescent="0.25">
      <c r="A120" s="51">
        <f>'A) Base RI'!A122</f>
        <v>5590</v>
      </c>
      <c r="B120" s="58" t="str">
        <f>'A) Base RI'!B122</f>
        <v>Pully</v>
      </c>
      <c r="C120" s="33">
        <f>'B) D RI'!Y122</f>
        <v>10333521</v>
      </c>
      <c r="D120" s="15">
        <f>'B) D RI'!Z122</f>
        <v>168670.35</v>
      </c>
      <c r="E120" s="10">
        <f t="shared" si="3"/>
        <v>10502191.35</v>
      </c>
      <c r="F120" s="15">
        <f>'B) D RI'!U122</f>
        <v>1436772.8338407492</v>
      </c>
      <c r="G120" s="280">
        <f t="shared" si="4"/>
        <v>7.3095698238710254</v>
      </c>
      <c r="H120" s="59">
        <f t="shared" si="5"/>
        <v>5217361.6050000004</v>
      </c>
    </row>
    <row r="121" spans="1:8" x14ac:dyDescent="0.25">
      <c r="A121" s="51">
        <f>'A) Base RI'!A123</f>
        <v>5591</v>
      </c>
      <c r="B121" s="58" t="str">
        <f>'A) Base RI'!B123</f>
        <v>Renens</v>
      </c>
      <c r="C121" s="33">
        <f>'B) D RI'!Y123</f>
        <v>2212481.6999999997</v>
      </c>
      <c r="D121" s="15">
        <f>'B) D RI'!Z123</f>
        <v>2159436.0499999998</v>
      </c>
      <c r="E121" s="10">
        <f t="shared" si="3"/>
        <v>4371917.75</v>
      </c>
      <c r="F121" s="15">
        <f>'B) D RI'!U123</f>
        <v>547576.12760691531</v>
      </c>
      <c r="G121" s="280">
        <f t="shared" si="4"/>
        <v>7.9841277396563903</v>
      </c>
      <c r="H121" s="59">
        <f t="shared" si="5"/>
        <v>1754071.6649999998</v>
      </c>
    </row>
    <row r="122" spans="1:8" x14ac:dyDescent="0.25">
      <c r="A122" s="51">
        <f>'A) Base RI'!A124</f>
        <v>5592</v>
      </c>
      <c r="B122" s="58" t="str">
        <f>'A) Base RI'!B124</f>
        <v>Romanel-sur-Lausanne</v>
      </c>
      <c r="C122" s="33">
        <f>'B) D RI'!Y124</f>
        <v>339526.3</v>
      </c>
      <c r="D122" s="15">
        <f>'B) D RI'!Z124</f>
        <v>179138.3</v>
      </c>
      <c r="E122" s="10">
        <f t="shared" si="3"/>
        <v>518664.6</v>
      </c>
      <c r="F122" s="15">
        <f>'B) D RI'!U124</f>
        <v>115829.88928571428</v>
      </c>
      <c r="G122" s="280">
        <f t="shared" si="4"/>
        <v>4.4778131378561952</v>
      </c>
      <c r="H122" s="59">
        <f t="shared" si="5"/>
        <v>223504.63999999998</v>
      </c>
    </row>
    <row r="123" spans="1:8" x14ac:dyDescent="0.25">
      <c r="A123" s="51">
        <f>'A) Base RI'!A125</f>
        <v>5601</v>
      </c>
      <c r="B123" s="58" t="str">
        <f>'A) Base RI'!B125</f>
        <v>Chexbres</v>
      </c>
      <c r="C123" s="33">
        <f>'B) D RI'!Y125</f>
        <v>1156142.9500000002</v>
      </c>
      <c r="D123" s="15">
        <f>'B) D RI'!Z125</f>
        <v>58889.4</v>
      </c>
      <c r="E123" s="10">
        <f t="shared" si="3"/>
        <v>1215032.3500000001</v>
      </c>
      <c r="F123" s="15">
        <f>'B) D RI'!U125</f>
        <v>117508.63062500001</v>
      </c>
      <c r="G123" s="280">
        <f t="shared" si="4"/>
        <v>10.339941360371036</v>
      </c>
      <c r="H123" s="59">
        <f t="shared" si="5"/>
        <v>595738.29500000004</v>
      </c>
    </row>
    <row r="124" spans="1:8" x14ac:dyDescent="0.25">
      <c r="A124" s="51">
        <f>'A) Base RI'!A126</f>
        <v>5604</v>
      </c>
      <c r="B124" s="58" t="str">
        <f>'A) Base RI'!B126</f>
        <v>Forel (Lavaux)</v>
      </c>
      <c r="C124" s="33">
        <f>'B) D RI'!Y126</f>
        <v>310682.05</v>
      </c>
      <c r="D124" s="15">
        <f>'B) D RI'!Z126</f>
        <v>62723.199999999997</v>
      </c>
      <c r="E124" s="10">
        <f t="shared" si="3"/>
        <v>373405.25</v>
      </c>
      <c r="F124" s="15">
        <f>'B) D RI'!U126</f>
        <v>71631.535147058821</v>
      </c>
      <c r="G124" s="280">
        <f t="shared" si="4"/>
        <v>5.2128611963069442</v>
      </c>
      <c r="H124" s="59">
        <f t="shared" si="5"/>
        <v>174157.98499999999</v>
      </c>
    </row>
    <row r="125" spans="1:8" x14ac:dyDescent="0.25">
      <c r="A125" s="51">
        <f>'A) Base RI'!A127</f>
        <v>5606</v>
      </c>
      <c r="B125" s="58" t="str">
        <f>'A) Base RI'!B127</f>
        <v>Lutry</v>
      </c>
      <c r="C125" s="33">
        <f>'B) D RI'!Y127</f>
        <v>6274232.8999999994</v>
      </c>
      <c r="D125" s="15">
        <f>'B) D RI'!Z127</f>
        <v>101865.55</v>
      </c>
      <c r="E125" s="10">
        <f t="shared" si="3"/>
        <v>6376098.4499999993</v>
      </c>
      <c r="F125" s="15">
        <f>'B) D RI'!U127</f>
        <v>832533.93371943373</v>
      </c>
      <c r="G125" s="280">
        <f t="shared" si="4"/>
        <v>7.6586649405557594</v>
      </c>
      <c r="H125" s="59">
        <f t="shared" si="5"/>
        <v>3167676.1149999998</v>
      </c>
    </row>
    <row r="126" spans="1:8" x14ac:dyDescent="0.25">
      <c r="A126" s="51">
        <f>'A) Base RI'!A128</f>
        <v>5607</v>
      </c>
      <c r="B126" s="58" t="str">
        <f>'A) Base RI'!B128</f>
        <v>Puidoux</v>
      </c>
      <c r="C126" s="33">
        <f>'B) D RI'!Y128</f>
        <v>673075.9</v>
      </c>
      <c r="D126" s="15">
        <f>'B) D RI'!Z128</f>
        <v>145055.75</v>
      </c>
      <c r="E126" s="10">
        <f t="shared" si="3"/>
        <v>818131.65</v>
      </c>
      <c r="F126" s="15">
        <f>'B) D RI'!U128</f>
        <v>108525.10310559007</v>
      </c>
      <c r="G126" s="280">
        <f t="shared" si="4"/>
        <v>7.5386396933803832</v>
      </c>
      <c r="H126" s="59">
        <f t="shared" si="5"/>
        <v>380054.67499999999</v>
      </c>
    </row>
    <row r="127" spans="1:8" x14ac:dyDescent="0.25">
      <c r="A127" s="51">
        <f>'A) Base RI'!A129</f>
        <v>5609</v>
      </c>
      <c r="B127" s="58" t="str">
        <f>'A) Base RI'!B129</f>
        <v>Rivaz</v>
      </c>
      <c r="C127" s="33">
        <f>'B) D RI'!Y129</f>
        <v>73817.25</v>
      </c>
      <c r="D127" s="15">
        <f>'B) D RI'!Z129</f>
        <v>0</v>
      </c>
      <c r="E127" s="10">
        <f t="shared" si="3"/>
        <v>73817.25</v>
      </c>
      <c r="F127" s="15">
        <f>'B) D RI'!U129</f>
        <v>15580.699212598427</v>
      </c>
      <c r="G127" s="280">
        <f t="shared" si="4"/>
        <v>4.7377366697581822</v>
      </c>
      <c r="H127" s="59">
        <f t="shared" si="5"/>
        <v>36908.625</v>
      </c>
    </row>
    <row r="128" spans="1:8" x14ac:dyDescent="0.25">
      <c r="A128" s="51">
        <f>'A) Base RI'!A130</f>
        <v>5610</v>
      </c>
      <c r="B128" s="58" t="str">
        <f>'A) Base RI'!B130</f>
        <v>St-Saphorin (Lavaux)</v>
      </c>
      <c r="C128" s="33">
        <f>'B) D RI'!Y130</f>
        <v>234826.4</v>
      </c>
      <c r="D128" s="15">
        <f>'B) D RI'!Z130</f>
        <v>0</v>
      </c>
      <c r="E128" s="10">
        <f t="shared" si="3"/>
        <v>234826.4</v>
      </c>
      <c r="F128" s="15">
        <f>'B) D RI'!U130</f>
        <v>22074.868656716415</v>
      </c>
      <c r="G128" s="280">
        <f t="shared" si="4"/>
        <v>10.637725807195352</v>
      </c>
      <c r="H128" s="59">
        <f t="shared" si="5"/>
        <v>117413.2</v>
      </c>
    </row>
    <row r="129" spans="1:8" x14ac:dyDescent="0.25">
      <c r="A129" s="51">
        <f>'A) Base RI'!A131</f>
        <v>5611</v>
      </c>
      <c r="B129" s="58" t="str">
        <f>'A) Base RI'!B131</f>
        <v>Savigny</v>
      </c>
      <c r="C129" s="33">
        <f>'B) D RI'!Y131</f>
        <v>1147172.05</v>
      </c>
      <c r="D129" s="15">
        <f>'B) D RI'!Z131</f>
        <v>134342.79999999999</v>
      </c>
      <c r="E129" s="10">
        <f t="shared" si="3"/>
        <v>1281514.8500000001</v>
      </c>
      <c r="F129" s="15">
        <f>'B) D RI'!U131</f>
        <v>134510.93620772948</v>
      </c>
      <c r="G129" s="280">
        <f t="shared" si="4"/>
        <v>9.5272167909151744</v>
      </c>
      <c r="H129" s="59">
        <f t="shared" si="5"/>
        <v>613888.86499999999</v>
      </c>
    </row>
    <row r="130" spans="1:8" x14ac:dyDescent="0.25">
      <c r="A130" s="51">
        <f>'A) Base RI'!A132</f>
        <v>5613</v>
      </c>
      <c r="B130" s="58" t="str">
        <f>'A) Base RI'!B132</f>
        <v>Bourg-en-Lavaux</v>
      </c>
      <c r="C130" s="33">
        <f>'B) D RI'!Y132</f>
        <v>1600855.45</v>
      </c>
      <c r="D130" s="15">
        <f>'B) D RI'!Z132</f>
        <v>18736</v>
      </c>
      <c r="E130" s="10">
        <f t="shared" si="3"/>
        <v>1619591.45</v>
      </c>
      <c r="F130" s="15">
        <f>'B) D RI'!U132</f>
        <v>330680.25306010921</v>
      </c>
      <c r="G130" s="280">
        <f t="shared" si="4"/>
        <v>4.8977567756536091</v>
      </c>
      <c r="H130" s="59">
        <f t="shared" si="5"/>
        <v>806048.52500000002</v>
      </c>
    </row>
    <row r="131" spans="1:8" x14ac:dyDescent="0.25">
      <c r="A131" s="51">
        <f>'A) Base RI'!A133</f>
        <v>5621</v>
      </c>
      <c r="B131" s="58" t="str">
        <f>'A) Base RI'!B133</f>
        <v>Aclens</v>
      </c>
      <c r="C131" s="33">
        <f>'B) D RI'!Y133</f>
        <v>583694.69999999995</v>
      </c>
      <c r="D131" s="15">
        <f>'B) D RI'!Z133</f>
        <v>167208.75</v>
      </c>
      <c r="E131" s="10">
        <f t="shared" si="3"/>
        <v>750903.45</v>
      </c>
      <c r="F131" s="15">
        <f>'B) D RI'!U133</f>
        <v>33113.551554252197</v>
      </c>
      <c r="G131" s="280">
        <f t="shared" si="4"/>
        <v>22.676620741503474</v>
      </c>
      <c r="H131" s="59">
        <f t="shared" si="5"/>
        <v>342009.97499999998</v>
      </c>
    </row>
    <row r="132" spans="1:8" x14ac:dyDescent="0.25">
      <c r="A132" s="51">
        <f>'A) Base RI'!A134</f>
        <v>5622</v>
      </c>
      <c r="B132" s="58" t="str">
        <f>'A) Base RI'!B134</f>
        <v>Bremblens</v>
      </c>
      <c r="C132" s="33">
        <f>'B) D RI'!Y134</f>
        <v>62197.3</v>
      </c>
      <c r="D132" s="15">
        <f>'B) D RI'!Z134</f>
        <v>17319.55</v>
      </c>
      <c r="E132" s="10">
        <f t="shared" si="3"/>
        <v>79516.850000000006</v>
      </c>
      <c r="F132" s="15">
        <f>'B) D RI'!U134</f>
        <v>31245.381060606058</v>
      </c>
      <c r="G132" s="280">
        <f t="shared" si="4"/>
        <v>2.544915353913038</v>
      </c>
      <c r="H132" s="59">
        <f t="shared" si="5"/>
        <v>36294.514999999999</v>
      </c>
    </row>
    <row r="133" spans="1:8" x14ac:dyDescent="0.25">
      <c r="A133" s="51">
        <f>'A) Base RI'!A135</f>
        <v>5623</v>
      </c>
      <c r="B133" s="58" t="str">
        <f>'A) Base RI'!B135</f>
        <v>Buchillon</v>
      </c>
      <c r="C133" s="33">
        <f>'B) D RI'!Y135</f>
        <v>141914.4</v>
      </c>
      <c r="D133" s="15">
        <f>'B) D RI'!Z135</f>
        <v>1757.1</v>
      </c>
      <c r="E133" s="10">
        <f t="shared" si="3"/>
        <v>143671.5</v>
      </c>
      <c r="F133" s="15">
        <f>'B) D RI'!U135</f>
        <v>74216.162452830191</v>
      </c>
      <c r="G133" s="280">
        <f t="shared" si="4"/>
        <v>1.93585191219384</v>
      </c>
      <c r="H133" s="59">
        <f t="shared" si="5"/>
        <v>71484.33</v>
      </c>
    </row>
    <row r="134" spans="1:8" x14ac:dyDescent="0.25">
      <c r="A134" s="51">
        <f>'A) Base RI'!A136</f>
        <v>5624</v>
      </c>
      <c r="B134" s="58" t="str">
        <f>'A) Base RI'!B136</f>
        <v>Bussigny</v>
      </c>
      <c r="C134" s="33">
        <f>'B) D RI'!Y136</f>
        <v>1915538.1</v>
      </c>
      <c r="D134" s="15">
        <f>'B) D RI'!Z136</f>
        <v>1222764.6000000001</v>
      </c>
      <c r="E134" s="10">
        <f t="shared" ref="E134:E197" si="6">C134+D134</f>
        <v>3138302.7</v>
      </c>
      <c r="F134" s="15">
        <f>'B) D RI'!U136</f>
        <v>336696.75822580646</v>
      </c>
      <c r="G134" s="280">
        <f t="shared" ref="G134:G197" si="7">E134/F134</f>
        <v>9.3208580817261399</v>
      </c>
      <c r="H134" s="59">
        <f t="shared" ref="H134:H197" si="8">(C134*$C$4)+(D134*$D$4)</f>
        <v>1324598.4300000002</v>
      </c>
    </row>
    <row r="135" spans="1:8" x14ac:dyDescent="0.25">
      <c r="A135" s="51">
        <f>'A) Base RI'!A137</f>
        <v>5625</v>
      </c>
      <c r="B135" s="58" t="str">
        <f>'A) Base RI'!B137</f>
        <v>Bussy-Chardonney</v>
      </c>
      <c r="C135" s="33">
        <f>'B) D RI'!Y137</f>
        <v>80997.75</v>
      </c>
      <c r="D135" s="15">
        <f>'B) D RI'!Z137</f>
        <v>0</v>
      </c>
      <c r="E135" s="10">
        <f t="shared" si="6"/>
        <v>80997.75</v>
      </c>
      <c r="F135" s="15">
        <f>'B) D RI'!U137</f>
        <v>13792.360683760684</v>
      </c>
      <c r="G135" s="280">
        <f t="shared" si="7"/>
        <v>5.8726531198801863</v>
      </c>
      <c r="H135" s="59">
        <f t="shared" si="8"/>
        <v>40498.875</v>
      </c>
    </row>
    <row r="136" spans="1:8" x14ac:dyDescent="0.25">
      <c r="A136" s="51">
        <f>'A) Base RI'!A138</f>
        <v>5627</v>
      </c>
      <c r="B136" s="58" t="str">
        <f>'A) Base RI'!B138</f>
        <v>Chavannes-près-Renens</v>
      </c>
      <c r="C136" s="33">
        <f>'B) D RI'!Y138</f>
        <v>2539629.65</v>
      </c>
      <c r="D136" s="15">
        <f>'B) D RI'!Z138</f>
        <v>382133.95</v>
      </c>
      <c r="E136" s="10">
        <f t="shared" si="6"/>
        <v>2921763.6</v>
      </c>
      <c r="F136" s="15">
        <f>'B) D RI'!U138</f>
        <v>175193.96054852317</v>
      </c>
      <c r="G136" s="280">
        <f t="shared" si="7"/>
        <v>16.677307772780011</v>
      </c>
      <c r="H136" s="59">
        <f t="shared" si="8"/>
        <v>1384455.01</v>
      </c>
    </row>
    <row r="137" spans="1:8" x14ac:dyDescent="0.25">
      <c r="A137" s="51">
        <f>'A) Base RI'!A139</f>
        <v>5628</v>
      </c>
      <c r="B137" s="58" t="str">
        <f>'A) Base RI'!B139</f>
        <v>Chigny</v>
      </c>
      <c r="C137" s="33">
        <f>'B) D RI'!Y139</f>
        <v>103660.3</v>
      </c>
      <c r="D137" s="15">
        <f>'B) D RI'!Z139</f>
        <v>16284.8</v>
      </c>
      <c r="E137" s="10">
        <f t="shared" si="6"/>
        <v>119945.1</v>
      </c>
      <c r="F137" s="15">
        <f>'B) D RI'!U139</f>
        <v>19494.348064516129</v>
      </c>
      <c r="G137" s="280">
        <f t="shared" si="7"/>
        <v>6.1528141183816079</v>
      </c>
      <c r="H137" s="59">
        <f t="shared" si="8"/>
        <v>56715.590000000004</v>
      </c>
    </row>
    <row r="138" spans="1:8" x14ac:dyDescent="0.25">
      <c r="A138" s="51">
        <f>'A) Base RI'!A140</f>
        <v>5629</v>
      </c>
      <c r="B138" s="58" t="str">
        <f>'A) Base RI'!B140</f>
        <v>Clarmont</v>
      </c>
      <c r="C138" s="33">
        <f>'B) D RI'!Y140</f>
        <v>24134.6</v>
      </c>
      <c r="D138" s="15">
        <f>'B) D RI'!Z140</f>
        <v>0</v>
      </c>
      <c r="E138" s="10">
        <f t="shared" si="6"/>
        <v>24134.6</v>
      </c>
      <c r="F138" s="15">
        <f>'B) D RI'!U140</f>
        <v>7511.8584000000001</v>
      </c>
      <c r="G138" s="280">
        <f t="shared" si="7"/>
        <v>3.2128667388086014</v>
      </c>
      <c r="H138" s="59">
        <f t="shared" si="8"/>
        <v>12067.3</v>
      </c>
    </row>
    <row r="139" spans="1:8" x14ac:dyDescent="0.25">
      <c r="A139" s="51">
        <f>'A) Base RI'!A141</f>
        <v>5631</v>
      </c>
      <c r="B139" s="58" t="str">
        <f>'A) Base RI'!B141</f>
        <v>Denens</v>
      </c>
      <c r="C139" s="33">
        <f>'B) D RI'!Y141</f>
        <v>211844.45</v>
      </c>
      <c r="D139" s="15">
        <f>'B) D RI'!Z141</f>
        <v>0</v>
      </c>
      <c r="E139" s="10">
        <f t="shared" si="6"/>
        <v>211844.45</v>
      </c>
      <c r="F139" s="15">
        <f>'B) D RI'!U141</f>
        <v>45432.172571428571</v>
      </c>
      <c r="G139" s="280">
        <f t="shared" si="7"/>
        <v>4.6628729820687678</v>
      </c>
      <c r="H139" s="59">
        <f t="shared" si="8"/>
        <v>105922.22500000001</v>
      </c>
    </row>
    <row r="140" spans="1:8" x14ac:dyDescent="0.25">
      <c r="A140" s="51">
        <f>'A) Base RI'!A142</f>
        <v>5632</v>
      </c>
      <c r="B140" s="58" t="str">
        <f>'A) Base RI'!B142</f>
        <v>Denges</v>
      </c>
      <c r="C140" s="33">
        <f>'B) D RI'!Y142</f>
        <v>252980.45</v>
      </c>
      <c r="D140" s="15">
        <f>'B) D RI'!Z142</f>
        <v>63037.35</v>
      </c>
      <c r="E140" s="10">
        <f t="shared" si="6"/>
        <v>316017.8</v>
      </c>
      <c r="F140" s="15">
        <f>'B) D RI'!U142</f>
        <v>67894.99080645162</v>
      </c>
      <c r="G140" s="280">
        <f t="shared" si="7"/>
        <v>4.654508325965792</v>
      </c>
      <c r="H140" s="59">
        <f t="shared" si="8"/>
        <v>145401.43</v>
      </c>
    </row>
    <row r="141" spans="1:8" x14ac:dyDescent="0.25">
      <c r="A141" s="51">
        <f>'A) Base RI'!A143</f>
        <v>5633</v>
      </c>
      <c r="B141" s="58" t="str">
        <f>'A) Base RI'!B143</f>
        <v>Echandens</v>
      </c>
      <c r="C141" s="33">
        <f>'B) D RI'!Y143</f>
        <v>605949.34000000008</v>
      </c>
      <c r="D141" s="15">
        <f>'B) D RI'!Z143</f>
        <v>159886.15</v>
      </c>
      <c r="E141" s="10">
        <f t="shared" si="6"/>
        <v>765835.49000000011</v>
      </c>
      <c r="F141" s="15">
        <f>'B) D RI'!U143</f>
        <v>131889.87370967743</v>
      </c>
      <c r="G141" s="280">
        <f t="shared" si="7"/>
        <v>5.806628427636495</v>
      </c>
      <c r="H141" s="59">
        <f t="shared" si="8"/>
        <v>350940.51500000001</v>
      </c>
    </row>
    <row r="142" spans="1:8" x14ac:dyDescent="0.25">
      <c r="A142" s="51">
        <f>'A) Base RI'!A144</f>
        <v>5634</v>
      </c>
      <c r="B142" s="58" t="str">
        <f>'A) Base RI'!B144</f>
        <v>Echichens</v>
      </c>
      <c r="C142" s="33">
        <f>'B) D RI'!Y144</f>
        <v>1035969.1</v>
      </c>
      <c r="D142" s="15">
        <f>'B) D RI'!Z144</f>
        <v>28133.7</v>
      </c>
      <c r="E142" s="10">
        <f t="shared" si="6"/>
        <v>1064102.8</v>
      </c>
      <c r="F142" s="15">
        <f>'B) D RI'!U144</f>
        <v>127167.81867647056</v>
      </c>
      <c r="G142" s="280">
        <f t="shared" si="7"/>
        <v>8.3677050615077313</v>
      </c>
      <c r="H142" s="59">
        <f t="shared" si="8"/>
        <v>526424.66</v>
      </c>
    </row>
    <row r="143" spans="1:8" x14ac:dyDescent="0.25">
      <c r="A143" s="51">
        <f>'A) Base RI'!A145</f>
        <v>5635</v>
      </c>
      <c r="B143" s="58" t="str">
        <f>'A) Base RI'!B145</f>
        <v>Ecublens</v>
      </c>
      <c r="C143" s="33">
        <f>'B) D RI'!Y145</f>
        <v>1470350.15</v>
      </c>
      <c r="D143" s="15">
        <f>'B) D RI'!Z145</f>
        <v>2168934.3999999999</v>
      </c>
      <c r="E143" s="10">
        <f t="shared" si="6"/>
        <v>3639284.55</v>
      </c>
      <c r="F143" s="15">
        <f>'B) D RI'!U145</f>
        <v>453953.99228353141</v>
      </c>
      <c r="G143" s="280">
        <f t="shared" si="7"/>
        <v>8.0168576813109489</v>
      </c>
      <c r="H143" s="59">
        <f t="shared" si="8"/>
        <v>1385855.395</v>
      </c>
    </row>
    <row r="144" spans="1:8" x14ac:dyDescent="0.25">
      <c r="A144" s="51">
        <f>'A) Base RI'!A146</f>
        <v>5636</v>
      </c>
      <c r="B144" s="58" t="str">
        <f>'A) Base RI'!B146</f>
        <v>Etoy</v>
      </c>
      <c r="C144" s="33">
        <f>'B) D RI'!Y146</f>
        <v>1097695.7</v>
      </c>
      <c r="D144" s="15">
        <f>'B) D RI'!Z146</f>
        <v>560619.75</v>
      </c>
      <c r="E144" s="10">
        <f t="shared" si="6"/>
        <v>1658315.45</v>
      </c>
      <c r="F144" s="15">
        <f>'B) D RI'!U146</f>
        <v>157303.40508196724</v>
      </c>
      <c r="G144" s="280">
        <f t="shared" si="7"/>
        <v>10.54214591944713</v>
      </c>
      <c r="H144" s="59">
        <f t="shared" si="8"/>
        <v>717033.77499999991</v>
      </c>
    </row>
    <row r="145" spans="1:8" x14ac:dyDescent="0.25">
      <c r="A145" s="51">
        <f>'A) Base RI'!A147</f>
        <v>5637</v>
      </c>
      <c r="B145" s="58" t="str">
        <f>'A) Base RI'!B147</f>
        <v>Lavigny</v>
      </c>
      <c r="C145" s="33">
        <f>'B) D RI'!Y147</f>
        <v>107276.15</v>
      </c>
      <c r="D145" s="15">
        <f>'B) D RI'!Z147</f>
        <v>214244</v>
      </c>
      <c r="E145" s="10">
        <f t="shared" si="6"/>
        <v>321520.15000000002</v>
      </c>
      <c r="F145" s="15">
        <f>'B) D RI'!U147</f>
        <v>36259.562058165546</v>
      </c>
      <c r="G145" s="280">
        <f t="shared" si="7"/>
        <v>8.867182385827924</v>
      </c>
      <c r="H145" s="59">
        <f t="shared" si="8"/>
        <v>117911.27499999999</v>
      </c>
    </row>
    <row r="146" spans="1:8" x14ac:dyDescent="0.25">
      <c r="A146" s="51">
        <f>'A) Base RI'!A148</f>
        <v>5638</v>
      </c>
      <c r="B146" s="58" t="str">
        <f>'A) Base RI'!B148</f>
        <v>Lonay</v>
      </c>
      <c r="C146" s="33">
        <f>'B) D RI'!Y148</f>
        <v>5912682.8500000006</v>
      </c>
      <c r="D146" s="15">
        <f>'B) D RI'!Z148</f>
        <v>195178.05</v>
      </c>
      <c r="E146" s="10">
        <f t="shared" si="6"/>
        <v>6107860.9000000004</v>
      </c>
      <c r="F146" s="15">
        <f>'B) D RI'!U148</f>
        <v>153961.25072727271</v>
      </c>
      <c r="G146" s="280">
        <f t="shared" si="7"/>
        <v>39.671416484005306</v>
      </c>
      <c r="H146" s="59">
        <f t="shared" si="8"/>
        <v>3014894.8400000003</v>
      </c>
    </row>
    <row r="147" spans="1:8" x14ac:dyDescent="0.25">
      <c r="A147" s="51">
        <f>'A) Base RI'!A149</f>
        <v>5639</v>
      </c>
      <c r="B147" s="58" t="str">
        <f>'A) Base RI'!B149</f>
        <v>Lully</v>
      </c>
      <c r="C147" s="33">
        <f>'B) D RI'!Y149</f>
        <v>182401.05</v>
      </c>
      <c r="D147" s="15">
        <f>'B) D RI'!Z149</f>
        <v>7673.95</v>
      </c>
      <c r="E147" s="10">
        <f t="shared" si="6"/>
        <v>190075</v>
      </c>
      <c r="F147" s="15">
        <f>'B) D RI'!U149</f>
        <v>51753.051967213112</v>
      </c>
      <c r="G147" s="280">
        <f t="shared" si="7"/>
        <v>3.6727302598582474</v>
      </c>
      <c r="H147" s="59">
        <f t="shared" si="8"/>
        <v>93502.709999999992</v>
      </c>
    </row>
    <row r="148" spans="1:8" x14ac:dyDescent="0.25">
      <c r="A148" s="51">
        <f>'A) Base RI'!A150</f>
        <v>5640</v>
      </c>
      <c r="B148" s="58" t="str">
        <f>'A) Base RI'!B150</f>
        <v>Lussy-sur-Morges</v>
      </c>
      <c r="C148" s="33">
        <f>'B) D RI'!Y150</f>
        <v>1445146.3</v>
      </c>
      <c r="D148" s="15">
        <f>'B) D RI'!Z150</f>
        <v>20858.45</v>
      </c>
      <c r="E148" s="10">
        <f t="shared" si="6"/>
        <v>1466004.75</v>
      </c>
      <c r="F148" s="15">
        <f>'B) D RI'!U150</f>
        <v>55596.399848484849</v>
      </c>
      <c r="G148" s="280">
        <f t="shared" si="7"/>
        <v>26.368699304186197</v>
      </c>
      <c r="H148" s="59">
        <f t="shared" si="8"/>
        <v>728830.68500000006</v>
      </c>
    </row>
    <row r="149" spans="1:8" x14ac:dyDescent="0.25">
      <c r="A149" s="51">
        <f>'A) Base RI'!A151</f>
        <v>5642</v>
      </c>
      <c r="B149" s="58" t="str">
        <f>'A) Base RI'!B151</f>
        <v>Morges</v>
      </c>
      <c r="C149" s="33">
        <f>'B) D RI'!Y151</f>
        <v>5926237.3000000007</v>
      </c>
      <c r="D149" s="15">
        <f>'B) D RI'!Z151</f>
        <v>1182879.75</v>
      </c>
      <c r="E149" s="10">
        <f t="shared" si="6"/>
        <v>7109117.0500000007</v>
      </c>
      <c r="F149" s="15">
        <f>'B) D RI'!U151</f>
        <v>777988.51795620425</v>
      </c>
      <c r="G149" s="280">
        <f t="shared" si="7"/>
        <v>9.1378174432134713</v>
      </c>
      <c r="H149" s="59">
        <f t="shared" si="8"/>
        <v>3317982.5750000002</v>
      </c>
    </row>
    <row r="150" spans="1:8" x14ac:dyDescent="0.25">
      <c r="A150" s="51">
        <f>'A) Base RI'!A152</f>
        <v>5643</v>
      </c>
      <c r="B150" s="58" t="str">
        <f>'A) Base RI'!B152</f>
        <v>Préverenges</v>
      </c>
      <c r="C150" s="33">
        <f>'B) D RI'!Y152</f>
        <v>611429.69999999995</v>
      </c>
      <c r="D150" s="15">
        <f>'B) D RI'!Z152</f>
        <v>146777.79999999999</v>
      </c>
      <c r="E150" s="10">
        <f t="shared" si="6"/>
        <v>758207.5</v>
      </c>
      <c r="F150" s="15">
        <f>'B) D RI'!U152</f>
        <v>264736.09703124996</v>
      </c>
      <c r="G150" s="280">
        <f t="shared" si="7"/>
        <v>2.8640125336232471</v>
      </c>
      <c r="H150" s="59">
        <f t="shared" si="8"/>
        <v>349748.18999999994</v>
      </c>
    </row>
    <row r="151" spans="1:8" x14ac:dyDescent="0.25">
      <c r="A151" s="51">
        <f>'A) Base RI'!A153</f>
        <v>5644</v>
      </c>
      <c r="B151" s="58" t="str">
        <f>'A) Base RI'!B153</f>
        <v>Reverolle</v>
      </c>
      <c r="C151" s="33">
        <f>'B) D RI'!Y153</f>
        <v>44218.100000000006</v>
      </c>
      <c r="D151" s="15">
        <f>'B) D RI'!Z153</f>
        <v>11543.65</v>
      </c>
      <c r="E151" s="10">
        <f t="shared" si="6"/>
        <v>55761.750000000007</v>
      </c>
      <c r="F151" s="15">
        <f>'B) D RI'!U153</f>
        <v>15137.442236842104</v>
      </c>
      <c r="G151" s="280">
        <f t="shared" si="7"/>
        <v>3.6836969633010299</v>
      </c>
      <c r="H151" s="59">
        <f t="shared" si="8"/>
        <v>25572.145000000004</v>
      </c>
    </row>
    <row r="152" spans="1:8" x14ac:dyDescent="0.25">
      <c r="A152" s="51">
        <f>'A) Base RI'!A154</f>
        <v>5645</v>
      </c>
      <c r="B152" s="58" t="str">
        <f>'A) Base RI'!B154</f>
        <v>Romanel-sur-Morges</v>
      </c>
      <c r="C152" s="33">
        <f>'B) D RI'!Y154</f>
        <v>23643.9</v>
      </c>
      <c r="D152" s="15">
        <f>'B) D RI'!Z154</f>
        <v>64803.7</v>
      </c>
      <c r="E152" s="10">
        <f t="shared" si="6"/>
        <v>88447.6</v>
      </c>
      <c r="F152" s="15">
        <f>'B) D RI'!U154</f>
        <v>26934.860133928574</v>
      </c>
      <c r="G152" s="280">
        <f t="shared" si="7"/>
        <v>3.283759394339187</v>
      </c>
      <c r="H152" s="59">
        <f t="shared" si="8"/>
        <v>31263.059999999998</v>
      </c>
    </row>
    <row r="153" spans="1:8" x14ac:dyDescent="0.25">
      <c r="A153" s="51">
        <f>'A) Base RI'!A155</f>
        <v>5646</v>
      </c>
      <c r="B153" s="58" t="str">
        <f>'A) Base RI'!B155</f>
        <v>Saint-Prex</v>
      </c>
      <c r="C153" s="33">
        <f>'B) D RI'!Y155</f>
        <v>1880955.9000000001</v>
      </c>
      <c r="D153" s="15">
        <f>'B) D RI'!Z155</f>
        <v>442944.65</v>
      </c>
      <c r="E153" s="10">
        <f t="shared" si="6"/>
        <v>2323900.5500000003</v>
      </c>
      <c r="F153" s="15">
        <f>'B) D RI'!U155</f>
        <v>386152.86527272721</v>
      </c>
      <c r="G153" s="280">
        <f t="shared" si="7"/>
        <v>6.0180844401056168</v>
      </c>
      <c r="H153" s="59">
        <f t="shared" si="8"/>
        <v>1073361.345</v>
      </c>
    </row>
    <row r="154" spans="1:8" x14ac:dyDescent="0.25">
      <c r="A154" s="51">
        <f>'A) Base RI'!A156</f>
        <v>5648</v>
      </c>
      <c r="B154" s="58" t="str">
        <f>'A) Base RI'!B156</f>
        <v>Saint-Sulpice</v>
      </c>
      <c r="C154" s="33">
        <f>'B) D RI'!Y156</f>
        <v>2395025.2000000002</v>
      </c>
      <c r="D154" s="15">
        <f>'B) D RI'!Z156</f>
        <v>51473.55</v>
      </c>
      <c r="E154" s="10">
        <f t="shared" si="6"/>
        <v>2446498.75</v>
      </c>
      <c r="F154" s="15">
        <f>'B) D RI'!U156</f>
        <v>363756.87836363638</v>
      </c>
      <c r="G154" s="280">
        <f t="shared" si="7"/>
        <v>6.7256425803014279</v>
      </c>
      <c r="H154" s="59">
        <f t="shared" si="8"/>
        <v>1212954.665</v>
      </c>
    </row>
    <row r="155" spans="1:8" x14ac:dyDescent="0.25">
      <c r="A155" s="51">
        <f>'A) Base RI'!A157</f>
        <v>5649</v>
      </c>
      <c r="B155" s="58" t="str">
        <f>'A) Base RI'!B157</f>
        <v>Tolochenaz</v>
      </c>
      <c r="C155" s="33">
        <f>'B) D RI'!Y157</f>
        <v>390743.1</v>
      </c>
      <c r="D155" s="15">
        <f>'B) D RI'!Z157</f>
        <v>610323.6</v>
      </c>
      <c r="E155" s="10">
        <f t="shared" si="6"/>
        <v>1001066.7</v>
      </c>
      <c r="F155" s="15">
        <f>'B) D RI'!U157</f>
        <v>238285.06261538458</v>
      </c>
      <c r="G155" s="280">
        <f t="shared" si="7"/>
        <v>4.2011307339722741</v>
      </c>
      <c r="H155" s="59">
        <f t="shared" si="8"/>
        <v>378468.63</v>
      </c>
    </row>
    <row r="156" spans="1:8" x14ac:dyDescent="0.25">
      <c r="A156" s="51">
        <f>'A) Base RI'!A158</f>
        <v>5650</v>
      </c>
      <c r="B156" s="58" t="str">
        <f>'A) Base RI'!B158</f>
        <v>Vaux-sur-Morges</v>
      </c>
      <c r="C156" s="33">
        <f>'B) D RI'!Y158</f>
        <v>22100.5</v>
      </c>
      <c r="D156" s="15">
        <f>'B) D RI'!Z158</f>
        <v>93.95</v>
      </c>
      <c r="E156" s="10">
        <f t="shared" si="6"/>
        <v>22194.45</v>
      </c>
      <c r="F156" s="15">
        <f>'B) D RI'!U158</f>
        <v>169784.43892857147</v>
      </c>
      <c r="G156" s="280">
        <f t="shared" si="7"/>
        <v>0.13072134372300889</v>
      </c>
      <c r="H156" s="59">
        <f t="shared" si="8"/>
        <v>11078.434999999999</v>
      </c>
    </row>
    <row r="157" spans="1:8" x14ac:dyDescent="0.25">
      <c r="A157" s="51">
        <f>'A) Base RI'!A159</f>
        <v>5651</v>
      </c>
      <c r="B157" s="58" t="str">
        <f>'A) Base RI'!B159</f>
        <v>Villars-Sainte-Croix</v>
      </c>
      <c r="C157" s="33">
        <f>'B) D RI'!Y159</f>
        <v>274584.39999999997</v>
      </c>
      <c r="D157" s="15">
        <f>'B) D RI'!Z159</f>
        <v>166753.75</v>
      </c>
      <c r="E157" s="10">
        <f t="shared" si="6"/>
        <v>441338.14999999997</v>
      </c>
      <c r="F157" s="15">
        <f>'B) D RI'!U159</f>
        <v>53160.152372881355</v>
      </c>
      <c r="G157" s="280">
        <f t="shared" si="7"/>
        <v>8.30204825043241</v>
      </c>
      <c r="H157" s="59">
        <f t="shared" si="8"/>
        <v>187318.32499999998</v>
      </c>
    </row>
    <row r="158" spans="1:8" x14ac:dyDescent="0.25">
      <c r="A158" s="51">
        <f>'A) Base RI'!A160</f>
        <v>5652</v>
      </c>
      <c r="B158" s="58" t="str">
        <f>'A) Base RI'!B160</f>
        <v>Villars-sous-Yens</v>
      </c>
      <c r="C158" s="33">
        <f>'B) D RI'!Y160</f>
        <v>53242.95</v>
      </c>
      <c r="D158" s="15">
        <f>'B) D RI'!Z160</f>
        <v>7470.6</v>
      </c>
      <c r="E158" s="10">
        <f t="shared" si="6"/>
        <v>60713.549999999996</v>
      </c>
      <c r="F158" s="15">
        <f>'B) D RI'!U160</f>
        <v>25892.335109649121</v>
      </c>
      <c r="G158" s="280">
        <f t="shared" si="7"/>
        <v>2.3448464475254798</v>
      </c>
      <c r="H158" s="59">
        <f t="shared" si="8"/>
        <v>28862.654999999999</v>
      </c>
    </row>
    <row r="159" spans="1:8" x14ac:dyDescent="0.25">
      <c r="A159" s="51">
        <f>'A) Base RI'!A161</f>
        <v>5653</v>
      </c>
      <c r="B159" s="58" t="str">
        <f>'A) Base RI'!B161</f>
        <v>Vufflens-le-Château</v>
      </c>
      <c r="C159" s="33">
        <f>'B) D RI'!Y161</f>
        <v>76101.650000000009</v>
      </c>
      <c r="D159" s="15">
        <f>'B) D RI'!Z161</f>
        <v>406.8</v>
      </c>
      <c r="E159" s="10">
        <f t="shared" si="6"/>
        <v>76508.450000000012</v>
      </c>
      <c r="F159" s="15">
        <f>'B) D RI'!U161</f>
        <v>58132.597454545445</v>
      </c>
      <c r="G159" s="280">
        <f t="shared" si="7"/>
        <v>1.3161023823135181</v>
      </c>
      <c r="H159" s="59">
        <f t="shared" si="8"/>
        <v>38172.865000000005</v>
      </c>
    </row>
    <row r="160" spans="1:8" x14ac:dyDescent="0.25">
      <c r="A160" s="51">
        <f>'A) Base RI'!A162</f>
        <v>5654</v>
      </c>
      <c r="B160" s="58" t="str">
        <f>'A) Base RI'!B162</f>
        <v>Vullierens</v>
      </c>
      <c r="C160" s="33">
        <f>'B) D RI'!Y162</f>
        <v>35714.75</v>
      </c>
      <c r="D160" s="15">
        <f>'B) D RI'!Z162</f>
        <v>2445.85</v>
      </c>
      <c r="E160" s="10">
        <f t="shared" si="6"/>
        <v>38160.6</v>
      </c>
      <c r="F160" s="15">
        <f>'B) D RI'!U162</f>
        <v>18691.767368421053</v>
      </c>
      <c r="G160" s="280">
        <f t="shared" si="7"/>
        <v>2.0415725943856282</v>
      </c>
      <c r="H160" s="59">
        <f t="shared" si="8"/>
        <v>18591.13</v>
      </c>
    </row>
    <row r="161" spans="1:8" x14ac:dyDescent="0.25">
      <c r="A161" s="51">
        <f>'A) Base RI'!A163</f>
        <v>5655</v>
      </c>
      <c r="B161" s="58" t="str">
        <f>'A) Base RI'!B163</f>
        <v>Yens</v>
      </c>
      <c r="C161" s="33">
        <f>'B) D RI'!Y163</f>
        <v>776864.45</v>
      </c>
      <c r="D161" s="15">
        <f>'B) D RI'!Z163</f>
        <v>60612.05</v>
      </c>
      <c r="E161" s="10">
        <f t="shared" si="6"/>
        <v>837476.5</v>
      </c>
      <c r="F161" s="15">
        <f>'B) D RI'!U163</f>
        <v>72322.592328767118</v>
      </c>
      <c r="G161" s="280">
        <f t="shared" si="7"/>
        <v>11.57973564046161</v>
      </c>
      <c r="H161" s="59">
        <f t="shared" si="8"/>
        <v>406615.83999999997</v>
      </c>
    </row>
    <row r="162" spans="1:8" x14ac:dyDescent="0.25">
      <c r="A162" s="51">
        <f>'A) Base RI'!A164</f>
        <v>5661</v>
      </c>
      <c r="B162" s="58" t="str">
        <f>'A) Base RI'!B164</f>
        <v>Boulens</v>
      </c>
      <c r="C162" s="33">
        <f>'B) D RI'!Y164</f>
        <v>15658.8</v>
      </c>
      <c r="D162" s="15">
        <f>'B) D RI'!Z164</f>
        <v>13524.6</v>
      </c>
      <c r="E162" s="10">
        <f t="shared" si="6"/>
        <v>29183.4</v>
      </c>
      <c r="F162" s="15">
        <f>'B) D RI'!U164</f>
        <v>9059.2982278481013</v>
      </c>
      <c r="G162" s="280">
        <f t="shared" si="7"/>
        <v>3.221375350056455</v>
      </c>
      <c r="H162" s="59">
        <f t="shared" si="8"/>
        <v>11886.779999999999</v>
      </c>
    </row>
    <row r="163" spans="1:8" x14ac:dyDescent="0.25">
      <c r="A163" s="51">
        <f>'A) Base RI'!A165</f>
        <v>5663</v>
      </c>
      <c r="B163" s="58" t="str">
        <f>'A) Base RI'!B165</f>
        <v>Bussy-sur-Moudon</v>
      </c>
      <c r="C163" s="33">
        <f>'B) D RI'!Y165</f>
        <v>28493.4</v>
      </c>
      <c r="D163" s="15">
        <f>'B) D RI'!Z165</f>
        <v>0</v>
      </c>
      <c r="E163" s="10">
        <f t="shared" si="6"/>
        <v>28493.4</v>
      </c>
      <c r="F163" s="15">
        <f>'B) D RI'!U165</f>
        <v>5679.6416249999993</v>
      </c>
      <c r="G163" s="280">
        <f t="shared" si="7"/>
        <v>5.0167601903931756</v>
      </c>
      <c r="H163" s="59">
        <f t="shared" si="8"/>
        <v>14246.7</v>
      </c>
    </row>
    <row r="164" spans="1:8" x14ac:dyDescent="0.25">
      <c r="A164" s="51">
        <f>'A) Base RI'!A166</f>
        <v>5665</v>
      </c>
      <c r="B164" s="58" t="str">
        <f>'A) Base RI'!B166</f>
        <v>Chavannes-sur-Moudon</v>
      </c>
      <c r="C164" s="33">
        <f>'B) D RI'!Y166</f>
        <v>3091.35</v>
      </c>
      <c r="D164" s="15">
        <f>'B) D RI'!Z166</f>
        <v>0</v>
      </c>
      <c r="E164" s="10">
        <f t="shared" si="6"/>
        <v>3091.35</v>
      </c>
      <c r="F164" s="15">
        <f>'B) D RI'!U166</f>
        <v>5041.8972602739723</v>
      </c>
      <c r="G164" s="280">
        <f t="shared" si="7"/>
        <v>0.61313228739453107</v>
      </c>
      <c r="H164" s="59">
        <f t="shared" si="8"/>
        <v>1545.675</v>
      </c>
    </row>
    <row r="165" spans="1:8" x14ac:dyDescent="0.25">
      <c r="A165" s="51">
        <f>'A) Base RI'!A167</f>
        <v>5669</v>
      </c>
      <c r="B165" s="58" t="str">
        <f>'A) Base RI'!B167</f>
        <v>Curtilles</v>
      </c>
      <c r="C165" s="33">
        <f>'B) D RI'!Y167</f>
        <v>65672.2</v>
      </c>
      <c r="D165" s="15">
        <f>'B) D RI'!Z167</f>
        <v>0</v>
      </c>
      <c r="E165" s="10">
        <f t="shared" si="6"/>
        <v>65672.2</v>
      </c>
      <c r="F165" s="15">
        <f>'B) D RI'!U167</f>
        <v>9002.5637333333325</v>
      </c>
      <c r="G165" s="280">
        <f t="shared" si="7"/>
        <v>7.294833110354876</v>
      </c>
      <c r="H165" s="59">
        <f t="shared" si="8"/>
        <v>32836.1</v>
      </c>
    </row>
    <row r="166" spans="1:8" x14ac:dyDescent="0.25">
      <c r="A166" s="51">
        <f>'A) Base RI'!A168</f>
        <v>5671</v>
      </c>
      <c r="B166" s="58" t="str">
        <f>'A) Base RI'!B168</f>
        <v>Dompierre</v>
      </c>
      <c r="C166" s="33">
        <f>'B) D RI'!Y168</f>
        <v>55</v>
      </c>
      <c r="D166" s="15">
        <f>'B) D RI'!Z168</f>
        <v>0</v>
      </c>
      <c r="E166" s="10">
        <f t="shared" si="6"/>
        <v>55</v>
      </c>
      <c r="F166" s="15">
        <f>'B) D RI'!U168</f>
        <v>6375.2653750000009</v>
      </c>
      <c r="G166" s="280">
        <f t="shared" si="7"/>
        <v>8.6270918565487936E-3</v>
      </c>
      <c r="H166" s="59">
        <f t="shared" si="8"/>
        <v>27.5</v>
      </c>
    </row>
    <row r="167" spans="1:8" x14ac:dyDescent="0.25">
      <c r="A167" s="51">
        <f>'A) Base RI'!A169</f>
        <v>5673</v>
      </c>
      <c r="B167" s="58" t="str">
        <f>'A) Base RI'!B169</f>
        <v>Hermenches</v>
      </c>
      <c r="C167" s="33">
        <f>'B) D RI'!Y169</f>
        <v>0</v>
      </c>
      <c r="D167" s="15">
        <f>'B) D RI'!Z169</f>
        <v>17820.650000000001</v>
      </c>
      <c r="E167" s="10">
        <f t="shared" si="6"/>
        <v>17820.650000000001</v>
      </c>
      <c r="F167" s="15">
        <f>'B) D RI'!U169</f>
        <v>8890.2024444444451</v>
      </c>
      <c r="G167" s="280">
        <f t="shared" si="7"/>
        <v>2.0045269060364603</v>
      </c>
      <c r="H167" s="59">
        <f t="shared" si="8"/>
        <v>5346.1950000000006</v>
      </c>
    </row>
    <row r="168" spans="1:8" x14ac:dyDescent="0.25">
      <c r="A168" s="51">
        <f>'A) Base RI'!A170</f>
        <v>5674</v>
      </c>
      <c r="B168" s="58" t="str">
        <f>'A) Base RI'!B170</f>
        <v>Lovatens</v>
      </c>
      <c r="C168" s="33">
        <f>'B) D RI'!Y170</f>
        <v>4985.75</v>
      </c>
      <c r="D168" s="15">
        <f>'B) D RI'!Z170</f>
        <v>0</v>
      </c>
      <c r="E168" s="10">
        <f t="shared" si="6"/>
        <v>4985.75</v>
      </c>
      <c r="F168" s="15">
        <f>'B) D RI'!U170</f>
        <v>3625.6310666666668</v>
      </c>
      <c r="G168" s="280">
        <f t="shared" si="7"/>
        <v>1.3751399158723008</v>
      </c>
      <c r="H168" s="59">
        <f t="shared" si="8"/>
        <v>2492.875</v>
      </c>
    </row>
    <row r="169" spans="1:8" x14ac:dyDescent="0.25">
      <c r="A169" s="51">
        <f>'A) Base RI'!A171</f>
        <v>5675</v>
      </c>
      <c r="B169" s="58" t="str">
        <f>'A) Base RI'!B171</f>
        <v>Lucens</v>
      </c>
      <c r="C169" s="33">
        <f>'B) D RI'!Y171</f>
        <v>626263.55000000005</v>
      </c>
      <c r="D169" s="15">
        <f>'B) D RI'!Z171</f>
        <v>31940.15</v>
      </c>
      <c r="E169" s="10">
        <f t="shared" si="6"/>
        <v>658203.70000000007</v>
      </c>
      <c r="F169" s="15">
        <f>'B) D RI'!U171</f>
        <v>86340.116763085374</v>
      </c>
      <c r="G169" s="280">
        <f t="shared" si="7"/>
        <v>7.6233820925455866</v>
      </c>
      <c r="H169" s="59">
        <f t="shared" si="8"/>
        <v>322713.82</v>
      </c>
    </row>
    <row r="170" spans="1:8" x14ac:dyDescent="0.25">
      <c r="A170" s="51">
        <f>'A) Base RI'!A172</f>
        <v>5678</v>
      </c>
      <c r="B170" s="58" t="str">
        <f>'A) Base RI'!B172</f>
        <v>Moudon</v>
      </c>
      <c r="C170" s="33">
        <f>'B) D RI'!Y172</f>
        <v>1329147.1499999999</v>
      </c>
      <c r="D170" s="15">
        <f>'B) D RI'!Z172</f>
        <v>155146.65</v>
      </c>
      <c r="E170" s="10">
        <f t="shared" si="6"/>
        <v>1484293.7999999998</v>
      </c>
      <c r="F170" s="15">
        <f>'B) D RI'!U172</f>
        <v>119887.03426666667</v>
      </c>
      <c r="G170" s="280">
        <f t="shared" si="7"/>
        <v>12.3807700230407</v>
      </c>
      <c r="H170" s="59">
        <f t="shared" si="8"/>
        <v>711117.57</v>
      </c>
    </row>
    <row r="171" spans="1:8" x14ac:dyDescent="0.25">
      <c r="A171" s="51">
        <f>'A) Base RI'!A173</f>
        <v>5680</v>
      </c>
      <c r="B171" s="58" t="str">
        <f>'A) Base RI'!B173</f>
        <v>Ogens</v>
      </c>
      <c r="C171" s="33">
        <f>'B) D RI'!Y173</f>
        <v>36075.75</v>
      </c>
      <c r="D171" s="15">
        <f>'B) D RI'!Z173</f>
        <v>0</v>
      </c>
      <c r="E171" s="10">
        <f t="shared" si="6"/>
        <v>36075.75</v>
      </c>
      <c r="F171" s="15">
        <f>'B) D RI'!U173</f>
        <v>7440.7528632478625</v>
      </c>
      <c r="G171" s="280">
        <f t="shared" si="7"/>
        <v>4.8484005130971468</v>
      </c>
      <c r="H171" s="59">
        <f t="shared" si="8"/>
        <v>18037.875</v>
      </c>
    </row>
    <row r="172" spans="1:8" x14ac:dyDescent="0.25">
      <c r="A172" s="51">
        <f>'A) Base RI'!A174</f>
        <v>5683</v>
      </c>
      <c r="B172" s="58" t="str">
        <f>'A) Base RI'!B174</f>
        <v>Prévonloup</v>
      </c>
      <c r="C172" s="33">
        <f>'B) D RI'!Y174</f>
        <v>24906</v>
      </c>
      <c r="D172" s="15">
        <f>'B) D RI'!Z174</f>
        <v>0</v>
      </c>
      <c r="E172" s="10">
        <f t="shared" si="6"/>
        <v>24906</v>
      </c>
      <c r="F172" s="15">
        <f>'B) D RI'!U174</f>
        <v>3896.046081081081</v>
      </c>
      <c r="G172" s="280">
        <f t="shared" si="7"/>
        <v>6.3926348615181281</v>
      </c>
      <c r="H172" s="59">
        <f t="shared" si="8"/>
        <v>12453</v>
      </c>
    </row>
    <row r="173" spans="1:8" x14ac:dyDescent="0.25">
      <c r="A173" s="51">
        <f>'A) Base RI'!A175</f>
        <v>5684</v>
      </c>
      <c r="B173" s="58" t="str">
        <f>'A) Base RI'!B175</f>
        <v>Rossenges</v>
      </c>
      <c r="C173" s="33">
        <f>'B) D RI'!Y175</f>
        <v>0</v>
      </c>
      <c r="D173" s="15">
        <f>'B) D RI'!Z175</f>
        <v>0</v>
      </c>
      <c r="E173" s="10">
        <f t="shared" si="6"/>
        <v>0</v>
      </c>
      <c r="F173" s="15">
        <f>'B) D RI'!U175</f>
        <v>2935.9523333333332</v>
      </c>
      <c r="G173" s="280">
        <f t="shared" si="7"/>
        <v>0</v>
      </c>
      <c r="H173" s="59">
        <f t="shared" si="8"/>
        <v>0</v>
      </c>
    </row>
    <row r="174" spans="1:8" x14ac:dyDescent="0.25">
      <c r="A174" s="51">
        <f>'A) Base RI'!A176</f>
        <v>5688</v>
      </c>
      <c r="B174" s="58" t="str">
        <f>'A) Base RI'!B176</f>
        <v>Syens</v>
      </c>
      <c r="C174" s="33">
        <f>'B) D RI'!Y176</f>
        <v>30882.799999999999</v>
      </c>
      <c r="D174" s="15">
        <f>'B) D RI'!Z176</f>
        <v>0</v>
      </c>
      <c r="E174" s="10">
        <f t="shared" si="6"/>
        <v>30882.799999999999</v>
      </c>
      <c r="F174" s="15">
        <f>'B) D RI'!U176</f>
        <v>6288.5417989418002</v>
      </c>
      <c r="G174" s="280">
        <f t="shared" si="7"/>
        <v>4.9109636204050959</v>
      </c>
      <c r="H174" s="59">
        <f t="shared" si="8"/>
        <v>15441.4</v>
      </c>
    </row>
    <row r="175" spans="1:8" x14ac:dyDescent="0.25">
      <c r="A175" s="51">
        <f>'A) Base RI'!A177</f>
        <v>5690</v>
      </c>
      <c r="B175" s="58" t="str">
        <f>'A) Base RI'!B177</f>
        <v>Villars-le-Comte</v>
      </c>
      <c r="C175" s="33">
        <f>'B) D RI'!Y177</f>
        <v>23671.599999999999</v>
      </c>
      <c r="D175" s="15">
        <f>'B) D RI'!Z177</f>
        <v>0</v>
      </c>
      <c r="E175" s="10">
        <f t="shared" si="6"/>
        <v>23671.599999999999</v>
      </c>
      <c r="F175" s="15">
        <f>'B) D RI'!U177</f>
        <v>3582.5831666666668</v>
      </c>
      <c r="G175" s="280">
        <f t="shared" si="7"/>
        <v>6.6074111608202246</v>
      </c>
      <c r="H175" s="59">
        <f t="shared" si="8"/>
        <v>11835.8</v>
      </c>
    </row>
    <row r="176" spans="1:8" x14ac:dyDescent="0.25">
      <c r="A176" s="51">
        <f>'A) Base RI'!A178</f>
        <v>5692</v>
      </c>
      <c r="B176" s="58" t="str">
        <f>'A) Base RI'!B178</f>
        <v>Vucherens</v>
      </c>
      <c r="C176" s="33">
        <f>'B) D RI'!Y178</f>
        <v>85806.65</v>
      </c>
      <c r="D176" s="15">
        <f>'B) D RI'!Z178</f>
        <v>2838.25</v>
      </c>
      <c r="E176" s="10">
        <f t="shared" si="6"/>
        <v>88644.9</v>
      </c>
      <c r="F176" s="15">
        <f>'B) D RI'!U178</f>
        <v>17338.328227848098</v>
      </c>
      <c r="G176" s="280">
        <f t="shared" si="7"/>
        <v>5.1126555475874689</v>
      </c>
      <c r="H176" s="59">
        <f t="shared" si="8"/>
        <v>43754.799999999996</v>
      </c>
    </row>
    <row r="177" spans="1:8" x14ac:dyDescent="0.25">
      <c r="A177" s="51">
        <f>'A) Base RI'!A179</f>
        <v>5693</v>
      </c>
      <c r="B177" s="58" t="str">
        <f>'A) Base RI'!B179</f>
        <v>Montanaire</v>
      </c>
      <c r="C177" s="33">
        <f>'B) D RI'!Y179</f>
        <v>422168.4</v>
      </c>
      <c r="D177" s="15">
        <f>'B) D RI'!Z179</f>
        <v>57935.15</v>
      </c>
      <c r="E177" s="10">
        <f t="shared" si="6"/>
        <v>480103.55000000005</v>
      </c>
      <c r="F177" s="15">
        <f>'B) D RI'!U179</f>
        <v>71023.934305555566</v>
      </c>
      <c r="G177" s="280">
        <f t="shared" si="7"/>
        <v>6.7597431020157641</v>
      </c>
      <c r="H177" s="59">
        <f t="shared" si="8"/>
        <v>228464.745</v>
      </c>
    </row>
    <row r="178" spans="1:8" x14ac:dyDescent="0.25">
      <c r="A178" s="51">
        <f>'A) Base RI'!A180</f>
        <v>5701</v>
      </c>
      <c r="B178" s="58" t="str">
        <f>'A) Base RI'!B180</f>
        <v>Arnex-sur-Nyon</v>
      </c>
      <c r="C178" s="33">
        <f>'B) D RI'!Y180</f>
        <v>32364.65</v>
      </c>
      <c r="D178" s="15">
        <f>'B) D RI'!Z180</f>
        <v>0</v>
      </c>
      <c r="E178" s="10">
        <f t="shared" si="6"/>
        <v>32364.65</v>
      </c>
      <c r="F178" s="15">
        <f>'B) D RI'!U180</f>
        <v>14557.077428571431</v>
      </c>
      <c r="G178" s="280">
        <f t="shared" si="7"/>
        <v>2.2232931135254757</v>
      </c>
      <c r="H178" s="59">
        <f t="shared" si="8"/>
        <v>16182.325000000001</v>
      </c>
    </row>
    <row r="179" spans="1:8" x14ac:dyDescent="0.25">
      <c r="A179" s="51">
        <f>'A) Base RI'!A181</f>
        <v>5702</v>
      </c>
      <c r="B179" s="58" t="str">
        <f>'A) Base RI'!B181</f>
        <v>Arzier-Le Muids</v>
      </c>
      <c r="C179" s="33">
        <f>'B) D RI'!Y181</f>
        <v>1135901.05</v>
      </c>
      <c r="D179" s="15">
        <f>'B) D RI'!Z181</f>
        <v>59677.1</v>
      </c>
      <c r="E179" s="10">
        <f t="shared" si="6"/>
        <v>1195578.1500000001</v>
      </c>
      <c r="F179" s="15">
        <f>'B) D RI'!U181</f>
        <v>156245.38328125002</v>
      </c>
      <c r="G179" s="280">
        <f t="shared" si="7"/>
        <v>7.6519262514649524</v>
      </c>
      <c r="H179" s="59">
        <f t="shared" si="8"/>
        <v>585853.65500000003</v>
      </c>
    </row>
    <row r="180" spans="1:8" x14ac:dyDescent="0.25">
      <c r="A180" s="51">
        <f>'A) Base RI'!A182</f>
        <v>5703</v>
      </c>
      <c r="B180" s="58" t="str">
        <f>'A) Base RI'!B182</f>
        <v>Bassins</v>
      </c>
      <c r="C180" s="33">
        <f>'B) D RI'!Y182</f>
        <v>407825.44999999995</v>
      </c>
      <c r="D180" s="15">
        <f>'B) D RI'!Z182</f>
        <v>30853.25</v>
      </c>
      <c r="E180" s="10">
        <f t="shared" si="6"/>
        <v>438678.69999999995</v>
      </c>
      <c r="F180" s="15">
        <f>'B) D RI'!U182</f>
        <v>56627.812818532817</v>
      </c>
      <c r="G180" s="280">
        <f t="shared" si="7"/>
        <v>7.7467003962482508</v>
      </c>
      <c r="H180" s="59">
        <f t="shared" si="8"/>
        <v>213168.69999999998</v>
      </c>
    </row>
    <row r="181" spans="1:8" x14ac:dyDescent="0.25">
      <c r="A181" s="51">
        <f>'A) Base RI'!A183</f>
        <v>5704</v>
      </c>
      <c r="B181" s="58" t="str">
        <f>'A) Base RI'!B183</f>
        <v>Begnins</v>
      </c>
      <c r="C181" s="33">
        <f>'B) D RI'!Y183</f>
        <v>879994.79999999993</v>
      </c>
      <c r="D181" s="15">
        <f>'B) D RI'!Z183</f>
        <v>52344.800000000003</v>
      </c>
      <c r="E181" s="10">
        <f t="shared" si="6"/>
        <v>932339.6</v>
      </c>
      <c r="F181" s="15">
        <f>'B) D RI'!U183</f>
        <v>128280.7823880597</v>
      </c>
      <c r="G181" s="280">
        <f t="shared" si="7"/>
        <v>7.2679600376898046</v>
      </c>
      <c r="H181" s="59">
        <f t="shared" si="8"/>
        <v>455700.83999999997</v>
      </c>
    </row>
    <row r="182" spans="1:8" x14ac:dyDescent="0.25">
      <c r="A182" s="51">
        <f>'A) Base RI'!A184</f>
        <v>5705</v>
      </c>
      <c r="B182" s="58" t="str">
        <f>'A) Base RI'!B184</f>
        <v>Bogis-Bossey</v>
      </c>
      <c r="C182" s="33">
        <f>'B) D RI'!Y184</f>
        <v>183722.8</v>
      </c>
      <c r="D182" s="15">
        <f>'B) D RI'!Z184</f>
        <v>31710.05</v>
      </c>
      <c r="E182" s="10">
        <f t="shared" si="6"/>
        <v>215432.84999999998</v>
      </c>
      <c r="F182" s="15">
        <f>'B) D RI'!U184</f>
        <v>55070.038857142863</v>
      </c>
      <c r="G182" s="280">
        <f t="shared" si="7"/>
        <v>3.9119792626051004</v>
      </c>
      <c r="H182" s="59">
        <f t="shared" si="8"/>
        <v>101374.41499999999</v>
      </c>
    </row>
    <row r="183" spans="1:8" x14ac:dyDescent="0.25">
      <c r="A183" s="51">
        <f>'A) Base RI'!A185</f>
        <v>5706</v>
      </c>
      <c r="B183" s="58" t="str">
        <f>'A) Base RI'!B185</f>
        <v>Borex</v>
      </c>
      <c r="C183" s="33">
        <f>'B) D RI'!Y185</f>
        <v>355909.5</v>
      </c>
      <c r="D183" s="15">
        <f>'B) D RI'!Z185</f>
        <v>7454.75</v>
      </c>
      <c r="E183" s="10">
        <f t="shared" si="6"/>
        <v>363364.25</v>
      </c>
      <c r="F183" s="15">
        <f>'B) D RI'!U185</f>
        <v>71838.84494252874</v>
      </c>
      <c r="G183" s="280">
        <f t="shared" si="7"/>
        <v>5.058046942301095</v>
      </c>
      <c r="H183" s="59">
        <f t="shared" si="8"/>
        <v>180191.17499999999</v>
      </c>
    </row>
    <row r="184" spans="1:8" x14ac:dyDescent="0.25">
      <c r="A184" s="51">
        <f>'A) Base RI'!A186</f>
        <v>5707</v>
      </c>
      <c r="B184" s="58" t="str">
        <f>'A) Base RI'!B186</f>
        <v>Chavannes-de-Bogis</v>
      </c>
      <c r="C184" s="33">
        <f>'B) D RI'!Y186</f>
        <v>305573.15000000002</v>
      </c>
      <c r="D184" s="15">
        <f>'B) D RI'!Z186</f>
        <v>502784.35</v>
      </c>
      <c r="E184" s="10">
        <f t="shared" si="6"/>
        <v>808357.5</v>
      </c>
      <c r="F184" s="15">
        <f>'B) D RI'!U186</f>
        <v>85072.573841807927</v>
      </c>
      <c r="G184" s="280">
        <f t="shared" si="7"/>
        <v>9.5019753546323535</v>
      </c>
      <c r="H184" s="59">
        <f t="shared" si="8"/>
        <v>303621.88</v>
      </c>
    </row>
    <row r="185" spans="1:8" x14ac:dyDescent="0.25">
      <c r="A185" s="51">
        <f>'A) Base RI'!A187</f>
        <v>5708</v>
      </c>
      <c r="B185" s="58" t="str">
        <f>'A) Base RI'!B187</f>
        <v>Chavannes-des-Bois</v>
      </c>
      <c r="C185" s="33">
        <f>'B) D RI'!Y187</f>
        <v>95364.449999999983</v>
      </c>
      <c r="D185" s="15">
        <f>'B) D RI'!Z187</f>
        <v>945.8</v>
      </c>
      <c r="E185" s="10">
        <f t="shared" si="6"/>
        <v>96310.249999999985</v>
      </c>
      <c r="F185" s="15">
        <f>'B) D RI'!U187</f>
        <v>57314.783389830503</v>
      </c>
      <c r="G185" s="280">
        <f t="shared" si="7"/>
        <v>1.6803736192273309</v>
      </c>
      <c r="H185" s="59">
        <f t="shared" si="8"/>
        <v>47965.964999999989</v>
      </c>
    </row>
    <row r="186" spans="1:8" x14ac:dyDescent="0.25">
      <c r="A186" s="51">
        <f>'A) Base RI'!A188</f>
        <v>5709</v>
      </c>
      <c r="B186" s="58" t="str">
        <f>'A) Base RI'!B188</f>
        <v>Chéserex</v>
      </c>
      <c r="C186" s="33">
        <f>'B) D RI'!Y188</f>
        <v>1663282.4</v>
      </c>
      <c r="D186" s="15">
        <f>'B) D RI'!Z188</f>
        <v>31415.15</v>
      </c>
      <c r="E186" s="10">
        <f t="shared" si="6"/>
        <v>1694697.5499999998</v>
      </c>
      <c r="F186" s="15">
        <f>'B) D RI'!U188</f>
        <v>72047.552456140344</v>
      </c>
      <c r="G186" s="280">
        <f t="shared" si="7"/>
        <v>23.521930894622184</v>
      </c>
      <c r="H186" s="59">
        <f t="shared" si="8"/>
        <v>841065.745</v>
      </c>
    </row>
    <row r="187" spans="1:8" x14ac:dyDescent="0.25">
      <c r="A187" s="51">
        <f>'A) Base RI'!A189</f>
        <v>5710</v>
      </c>
      <c r="B187" s="58" t="str">
        <f>'A) Base RI'!B189</f>
        <v>Coinsins</v>
      </c>
      <c r="C187" s="33">
        <f>'B) D RI'!Y189</f>
        <v>133144.15</v>
      </c>
      <c r="D187" s="15">
        <f>'B) D RI'!Z189</f>
        <v>68325.600000000006</v>
      </c>
      <c r="E187" s="10">
        <f t="shared" si="6"/>
        <v>201469.75</v>
      </c>
      <c r="F187" s="15">
        <f>'B) D RI'!U189</f>
        <v>82032.182941176477</v>
      </c>
      <c r="G187" s="280">
        <f t="shared" si="7"/>
        <v>2.4559842585740972</v>
      </c>
      <c r="H187" s="59">
        <f t="shared" si="8"/>
        <v>87069.755000000005</v>
      </c>
    </row>
    <row r="188" spans="1:8" x14ac:dyDescent="0.25">
      <c r="A188" s="51">
        <f>'A) Base RI'!A190</f>
        <v>5711</v>
      </c>
      <c r="B188" s="58" t="str">
        <f>'A) Base RI'!B190</f>
        <v>Commugny</v>
      </c>
      <c r="C188" s="33">
        <f>'B) D RI'!Y190</f>
        <v>1060090.2999999998</v>
      </c>
      <c r="D188" s="15">
        <f>'B) D RI'!Z190</f>
        <v>39037</v>
      </c>
      <c r="E188" s="10">
        <f t="shared" si="6"/>
        <v>1099127.2999999998</v>
      </c>
      <c r="F188" s="15">
        <f>'B) D RI'!U190</f>
        <v>253155.78673414301</v>
      </c>
      <c r="G188" s="280">
        <f t="shared" si="7"/>
        <v>4.3417032420209773</v>
      </c>
      <c r="H188" s="59">
        <f t="shared" si="8"/>
        <v>541756.24999999988</v>
      </c>
    </row>
    <row r="189" spans="1:8" x14ac:dyDescent="0.25">
      <c r="A189" s="51">
        <f>'A) Base RI'!A191</f>
        <v>5712</v>
      </c>
      <c r="B189" s="58" t="str">
        <f>'A) Base RI'!B191</f>
        <v>Coppet</v>
      </c>
      <c r="C189" s="33">
        <f>'B) D RI'!Y191</f>
        <v>2160102.2000000002</v>
      </c>
      <c r="D189" s="15">
        <f>'B) D RI'!Z191</f>
        <v>155045.04999999999</v>
      </c>
      <c r="E189" s="10">
        <f t="shared" si="6"/>
        <v>2315147.25</v>
      </c>
      <c r="F189" s="15">
        <f>'B) D RI'!U191</f>
        <v>325753.23345911951</v>
      </c>
      <c r="G189" s="280">
        <f t="shared" si="7"/>
        <v>7.1070583871596167</v>
      </c>
      <c r="H189" s="59">
        <f t="shared" si="8"/>
        <v>1126564.615</v>
      </c>
    </row>
    <row r="190" spans="1:8" x14ac:dyDescent="0.25">
      <c r="A190" s="51">
        <f>'A) Base RI'!A192</f>
        <v>5713</v>
      </c>
      <c r="B190" s="58" t="str">
        <f>'A) Base RI'!B192</f>
        <v>Crans-près-Céligny</v>
      </c>
      <c r="C190" s="33">
        <f>'B) D RI'!Y192</f>
        <v>978487.5</v>
      </c>
      <c r="D190" s="15">
        <f>'B) D RI'!Z192</f>
        <v>26286.5</v>
      </c>
      <c r="E190" s="10">
        <f t="shared" si="6"/>
        <v>1004774</v>
      </c>
      <c r="F190" s="15">
        <f>'B) D RI'!U192</f>
        <v>239255.01584905662</v>
      </c>
      <c r="G190" s="280">
        <f t="shared" si="7"/>
        <v>4.1995942966307584</v>
      </c>
      <c r="H190" s="59">
        <f t="shared" si="8"/>
        <v>497129.7</v>
      </c>
    </row>
    <row r="191" spans="1:8" x14ac:dyDescent="0.25">
      <c r="A191" s="51">
        <f>'A) Base RI'!A193</f>
        <v>5714</v>
      </c>
      <c r="B191" s="58" t="str">
        <f>'A) Base RI'!B193</f>
        <v>Crassier</v>
      </c>
      <c r="C191" s="33">
        <f>'B) D RI'!Y193</f>
        <v>444769.89999999997</v>
      </c>
      <c r="D191" s="15">
        <f>'B) D RI'!Z193</f>
        <v>73600.649999999994</v>
      </c>
      <c r="E191" s="10">
        <f t="shared" si="6"/>
        <v>518370.54999999993</v>
      </c>
      <c r="F191" s="15">
        <f>'B) D RI'!U193</f>
        <v>82327.162031250002</v>
      </c>
      <c r="G191" s="280">
        <f t="shared" si="7"/>
        <v>6.2964705354866384</v>
      </c>
      <c r="H191" s="59">
        <f t="shared" si="8"/>
        <v>244465.14499999999</v>
      </c>
    </row>
    <row r="192" spans="1:8" x14ac:dyDescent="0.25">
      <c r="A192" s="51">
        <f>'A) Base RI'!A194</f>
        <v>5715</v>
      </c>
      <c r="B192" s="58" t="str">
        <f>'A) Base RI'!B194</f>
        <v>Duillier</v>
      </c>
      <c r="C192" s="33">
        <f>'B) D RI'!Y194</f>
        <v>124343.29999999999</v>
      </c>
      <c r="D192" s="15">
        <f>'B) D RI'!Z194</f>
        <v>38202.800000000003</v>
      </c>
      <c r="E192" s="10">
        <f t="shared" si="6"/>
        <v>162546.09999999998</v>
      </c>
      <c r="F192" s="15">
        <f>'B) D RI'!U194</f>
        <v>59384.712424242425</v>
      </c>
      <c r="G192" s="280">
        <f t="shared" si="7"/>
        <v>2.7371707862922028</v>
      </c>
      <c r="H192" s="59">
        <f t="shared" si="8"/>
        <v>73632.489999999991</v>
      </c>
    </row>
    <row r="193" spans="1:8" x14ac:dyDescent="0.25">
      <c r="A193" s="51">
        <f>'A) Base RI'!A195</f>
        <v>5716</v>
      </c>
      <c r="B193" s="58" t="str">
        <f>'A) Base RI'!B195</f>
        <v>Eysins</v>
      </c>
      <c r="C193" s="33">
        <f>'B) D RI'!Y195</f>
        <v>540398.65</v>
      </c>
      <c r="D193" s="15">
        <f>'B) D RI'!Z195</f>
        <v>704793.75</v>
      </c>
      <c r="E193" s="10">
        <f t="shared" si="6"/>
        <v>1245192.3999999999</v>
      </c>
      <c r="F193" s="15">
        <f>'B) D RI'!U195</f>
        <v>136046.47409836066</v>
      </c>
      <c r="G193" s="280">
        <f t="shared" si="7"/>
        <v>9.1526987983513219</v>
      </c>
      <c r="H193" s="59">
        <f t="shared" si="8"/>
        <v>481637.45</v>
      </c>
    </row>
    <row r="194" spans="1:8" x14ac:dyDescent="0.25">
      <c r="A194" s="51">
        <f>'A) Base RI'!A196</f>
        <v>5717</v>
      </c>
      <c r="B194" s="58" t="str">
        <f>'A) Base RI'!B196</f>
        <v>Founex</v>
      </c>
      <c r="C194" s="33">
        <f>'B) D RI'!Y196</f>
        <v>2110367.7000000002</v>
      </c>
      <c r="D194" s="15">
        <f>'B) D RI'!Z196</f>
        <v>248363.8</v>
      </c>
      <c r="E194" s="10">
        <f t="shared" si="6"/>
        <v>2358731.5</v>
      </c>
      <c r="F194" s="15">
        <f>'B) D RI'!U196</f>
        <v>342145.93614035088</v>
      </c>
      <c r="G194" s="280">
        <f t="shared" si="7"/>
        <v>6.8939339938044162</v>
      </c>
      <c r="H194" s="59">
        <f t="shared" si="8"/>
        <v>1129692.99</v>
      </c>
    </row>
    <row r="195" spans="1:8" x14ac:dyDescent="0.25">
      <c r="A195" s="51">
        <f>'A) Base RI'!A197</f>
        <v>5718</v>
      </c>
      <c r="B195" s="58" t="str">
        <f>'A) Base RI'!B197</f>
        <v>Genolier</v>
      </c>
      <c r="C195" s="33">
        <f>'B) D RI'!Y197</f>
        <v>838628.5</v>
      </c>
      <c r="D195" s="15">
        <f>'B) D RI'!Z197</f>
        <v>303990.40000000002</v>
      </c>
      <c r="E195" s="10">
        <f t="shared" si="6"/>
        <v>1142618.8999999999</v>
      </c>
      <c r="F195" s="15">
        <f>'B) D RI'!U197</f>
        <v>180573.80690909096</v>
      </c>
      <c r="G195" s="280">
        <f t="shared" si="7"/>
        <v>6.3277111977555309</v>
      </c>
      <c r="H195" s="59">
        <f t="shared" si="8"/>
        <v>510511.37</v>
      </c>
    </row>
    <row r="196" spans="1:8" x14ac:dyDescent="0.25">
      <c r="A196" s="51">
        <f>'A) Base RI'!A198</f>
        <v>5719</v>
      </c>
      <c r="B196" s="58" t="str">
        <f>'A) Base RI'!B198</f>
        <v>Gingins</v>
      </c>
      <c r="C196" s="33">
        <f>'B) D RI'!Y198</f>
        <v>720687.10000000009</v>
      </c>
      <c r="D196" s="15">
        <f>'B) D RI'!Z198</f>
        <v>83648.25</v>
      </c>
      <c r="E196" s="10">
        <f t="shared" si="6"/>
        <v>804335.35000000009</v>
      </c>
      <c r="F196" s="15">
        <f>'B) D RI'!U198</f>
        <v>131481.24994152045</v>
      </c>
      <c r="G196" s="280">
        <f t="shared" si="7"/>
        <v>6.1174908997119228</v>
      </c>
      <c r="H196" s="59">
        <f t="shared" si="8"/>
        <v>385438.02500000002</v>
      </c>
    </row>
    <row r="197" spans="1:8" x14ac:dyDescent="0.25">
      <c r="A197" s="51">
        <f>'A) Base RI'!A199</f>
        <v>5720</v>
      </c>
      <c r="B197" s="58" t="str">
        <f>'A) Base RI'!B199</f>
        <v>Givrins</v>
      </c>
      <c r="C197" s="33">
        <f>'B) D RI'!Y199</f>
        <v>151122.54999999999</v>
      </c>
      <c r="D197" s="15">
        <f>'B) D RI'!Z199</f>
        <v>8532.35</v>
      </c>
      <c r="E197" s="10">
        <f t="shared" si="6"/>
        <v>159654.9</v>
      </c>
      <c r="F197" s="15">
        <f>'B) D RI'!U199</f>
        <v>72468.135774134775</v>
      </c>
      <c r="G197" s="280">
        <f t="shared" si="7"/>
        <v>2.2031048307576833</v>
      </c>
      <c r="H197" s="59">
        <f t="shared" si="8"/>
        <v>78120.98</v>
      </c>
    </row>
    <row r="198" spans="1:8" x14ac:dyDescent="0.25">
      <c r="A198" s="51">
        <f>'A) Base RI'!A200</f>
        <v>5721</v>
      </c>
      <c r="B198" s="58" t="str">
        <f>'A) Base RI'!B200</f>
        <v>Gland</v>
      </c>
      <c r="C198" s="33">
        <f>'B) D RI'!Y200</f>
        <v>6871893.0999999996</v>
      </c>
      <c r="D198" s="15">
        <f>'B) D RI'!Z200</f>
        <v>1569790.75</v>
      </c>
      <c r="E198" s="10">
        <f t="shared" ref="E198:E261" si="9">C198+D198</f>
        <v>8441683.8499999996</v>
      </c>
      <c r="F198" s="15">
        <f>'B) D RI'!U200</f>
        <v>601947.88112000003</v>
      </c>
      <c r="G198" s="280">
        <f t="shared" ref="G198:G261" si="10">E198/F198</f>
        <v>14.02394478786632</v>
      </c>
      <c r="H198" s="59">
        <f t="shared" ref="H198:H261" si="11">(C198*$C$4)+(D198*$D$4)</f>
        <v>3906883.7749999999</v>
      </c>
    </row>
    <row r="199" spans="1:8" x14ac:dyDescent="0.25">
      <c r="A199" s="51">
        <f>'A) Base RI'!A201</f>
        <v>5722</v>
      </c>
      <c r="B199" s="58" t="str">
        <f>'A) Base RI'!B201</f>
        <v>Grens</v>
      </c>
      <c r="C199" s="33">
        <f>'B) D RI'!Y201</f>
        <v>38222</v>
      </c>
      <c r="D199" s="15">
        <f>'B) D RI'!Z201</f>
        <v>20573.2</v>
      </c>
      <c r="E199" s="10">
        <f t="shared" si="9"/>
        <v>58795.199999999997</v>
      </c>
      <c r="F199" s="15">
        <f>'B) D RI'!U201</f>
        <v>25305.525322580648</v>
      </c>
      <c r="G199" s="280">
        <f t="shared" si="10"/>
        <v>2.3234135332308559</v>
      </c>
      <c r="H199" s="59">
        <f t="shared" si="11"/>
        <v>25282.959999999999</v>
      </c>
    </row>
    <row r="200" spans="1:8" x14ac:dyDescent="0.25">
      <c r="A200" s="51">
        <f>'A) Base RI'!A202</f>
        <v>5723</v>
      </c>
      <c r="B200" s="58" t="str">
        <f>'A) Base RI'!B202</f>
        <v>Mies</v>
      </c>
      <c r="C200" s="33">
        <f>'B) D RI'!Y202</f>
        <v>1925408.65</v>
      </c>
      <c r="D200" s="15">
        <f>'B) D RI'!Z202</f>
        <v>123882.8</v>
      </c>
      <c r="E200" s="10">
        <f t="shared" si="9"/>
        <v>2049291.45</v>
      </c>
      <c r="F200" s="15">
        <f>'B) D RI'!U202</f>
        <v>444775.70673469378</v>
      </c>
      <c r="G200" s="280">
        <f t="shared" si="10"/>
        <v>4.6074716288908979</v>
      </c>
      <c r="H200" s="59">
        <f t="shared" si="11"/>
        <v>999869.16499999992</v>
      </c>
    </row>
    <row r="201" spans="1:8" x14ac:dyDescent="0.25">
      <c r="A201" s="51">
        <f>'A) Base RI'!A203</f>
        <v>5724</v>
      </c>
      <c r="B201" s="58" t="str">
        <f>'A) Base RI'!B203</f>
        <v>Nyon</v>
      </c>
      <c r="C201" s="33">
        <f>'B) D RI'!Y203</f>
        <v>9086046.25</v>
      </c>
      <c r="D201" s="15">
        <f>'B) D RI'!Z203</f>
        <v>4187587.15</v>
      </c>
      <c r="E201" s="10">
        <f t="shared" si="9"/>
        <v>13273633.4</v>
      </c>
      <c r="F201" s="15">
        <f>'B) D RI'!U203</f>
        <v>1315531.3963430012</v>
      </c>
      <c r="G201" s="280">
        <f t="shared" si="10"/>
        <v>10.089940412595929</v>
      </c>
      <c r="H201" s="59">
        <f t="shared" si="11"/>
        <v>5799299.2699999996</v>
      </c>
    </row>
    <row r="202" spans="1:8" x14ac:dyDescent="0.25">
      <c r="A202" s="51">
        <f>'A) Base RI'!A204</f>
        <v>5725</v>
      </c>
      <c r="B202" s="58" t="str">
        <f>'A) Base RI'!B204</f>
        <v>Prangins</v>
      </c>
      <c r="C202" s="33">
        <f>'B) D RI'!Y204</f>
        <v>995514.60000000009</v>
      </c>
      <c r="D202" s="15">
        <f>'B) D RI'!Z204</f>
        <v>1104679.95</v>
      </c>
      <c r="E202" s="10">
        <f t="shared" si="9"/>
        <v>2100194.5499999998</v>
      </c>
      <c r="F202" s="15">
        <f>'B) D RI'!U204</f>
        <v>298233.5752040816</v>
      </c>
      <c r="G202" s="280">
        <f t="shared" si="10"/>
        <v>7.0421130436532309</v>
      </c>
      <c r="H202" s="59">
        <f t="shared" si="11"/>
        <v>829161.28500000003</v>
      </c>
    </row>
    <row r="203" spans="1:8" x14ac:dyDescent="0.25">
      <c r="A203" s="51">
        <f>'A) Base RI'!A205</f>
        <v>5726</v>
      </c>
      <c r="B203" s="58" t="str">
        <f>'A) Base RI'!B205</f>
        <v>La Rippe</v>
      </c>
      <c r="C203" s="33">
        <f>'B) D RI'!Y205</f>
        <v>333972.84999999998</v>
      </c>
      <c r="D203" s="15">
        <f>'B) D RI'!Z205</f>
        <v>18897.900000000001</v>
      </c>
      <c r="E203" s="10">
        <f t="shared" si="9"/>
        <v>352870.75</v>
      </c>
      <c r="F203" s="15">
        <f>'B) D RI'!U205</f>
        <v>56867.973846153851</v>
      </c>
      <c r="G203" s="280">
        <f t="shared" si="10"/>
        <v>6.2050874355859555</v>
      </c>
      <c r="H203" s="59">
        <f t="shared" si="11"/>
        <v>172655.79499999998</v>
      </c>
    </row>
    <row r="204" spans="1:8" x14ac:dyDescent="0.25">
      <c r="A204" s="51">
        <f>'A) Base RI'!A206</f>
        <v>5727</v>
      </c>
      <c r="B204" s="58" t="str">
        <f>'A) Base RI'!B206</f>
        <v>Saint-Cergue</v>
      </c>
      <c r="C204" s="33">
        <f>'B) D RI'!Y206</f>
        <v>628224.04999999993</v>
      </c>
      <c r="D204" s="15">
        <f>'B) D RI'!Z206</f>
        <v>88630.95</v>
      </c>
      <c r="E204" s="10">
        <f t="shared" si="9"/>
        <v>716854.99999999988</v>
      </c>
      <c r="F204" s="15">
        <f>'B) D RI'!U206</f>
        <v>100488.23186868687</v>
      </c>
      <c r="G204" s="280">
        <f t="shared" si="10"/>
        <v>7.1337209011374698</v>
      </c>
      <c r="H204" s="59">
        <f t="shared" si="11"/>
        <v>340701.30999999994</v>
      </c>
    </row>
    <row r="205" spans="1:8" x14ac:dyDescent="0.25">
      <c r="A205" s="51">
        <f>'A) Base RI'!A207</f>
        <v>5728</v>
      </c>
      <c r="B205" s="58" t="str">
        <f>'A) Base RI'!B207</f>
        <v>Signy-Avenex</v>
      </c>
      <c r="C205" s="33">
        <f>'B) D RI'!Y207</f>
        <v>157588.85</v>
      </c>
      <c r="D205" s="15">
        <f>'B) D RI'!Z207</f>
        <v>221113.4</v>
      </c>
      <c r="E205" s="10">
        <f t="shared" si="9"/>
        <v>378702.25</v>
      </c>
      <c r="F205" s="15">
        <f>'B) D RI'!U207</f>
        <v>39144.261206896554</v>
      </c>
      <c r="G205" s="280">
        <f t="shared" si="10"/>
        <v>9.6745279722709157</v>
      </c>
      <c r="H205" s="59">
        <f t="shared" si="11"/>
        <v>145128.44500000001</v>
      </c>
    </row>
    <row r="206" spans="1:8" x14ac:dyDescent="0.25">
      <c r="A206" s="51">
        <f>'A) Base RI'!A208</f>
        <v>5729</v>
      </c>
      <c r="B206" s="58" t="str">
        <f>'A) Base RI'!B208</f>
        <v>Tannay</v>
      </c>
      <c r="C206" s="33">
        <f>'B) D RI'!Y208</f>
        <v>1114919.05</v>
      </c>
      <c r="D206" s="15">
        <f>'B) D RI'!Z208</f>
        <v>19280.349999999999</v>
      </c>
      <c r="E206" s="10">
        <f t="shared" si="9"/>
        <v>1134199.4000000001</v>
      </c>
      <c r="F206" s="15">
        <f>'B) D RI'!U208</f>
        <v>175758.22994535521</v>
      </c>
      <c r="G206" s="280">
        <f t="shared" si="10"/>
        <v>6.453179463360736</v>
      </c>
      <c r="H206" s="59">
        <f t="shared" si="11"/>
        <v>563243.63</v>
      </c>
    </row>
    <row r="207" spans="1:8" x14ac:dyDescent="0.25">
      <c r="A207" s="51">
        <f>'A) Base RI'!A209</f>
        <v>5730</v>
      </c>
      <c r="B207" s="58" t="str">
        <f>'A) Base RI'!B209</f>
        <v>Trélex</v>
      </c>
      <c r="C207" s="33">
        <f>'B) D RI'!Y209</f>
        <v>532723.85</v>
      </c>
      <c r="D207" s="15">
        <f>'B) D RI'!Z209</f>
        <v>5872.4</v>
      </c>
      <c r="E207" s="10">
        <f t="shared" si="9"/>
        <v>538596.25</v>
      </c>
      <c r="F207" s="15">
        <f>'B) D RI'!U209</f>
        <v>105206.62530214424</v>
      </c>
      <c r="G207" s="280">
        <f t="shared" si="10"/>
        <v>5.119413805482294</v>
      </c>
      <c r="H207" s="59">
        <f t="shared" si="11"/>
        <v>268123.64499999996</v>
      </c>
    </row>
    <row r="208" spans="1:8" x14ac:dyDescent="0.25">
      <c r="A208" s="51">
        <f>'A) Base RI'!A210</f>
        <v>5731</v>
      </c>
      <c r="B208" s="58" t="str">
        <f>'A) Base RI'!B210</f>
        <v>Le Vaud</v>
      </c>
      <c r="C208" s="33">
        <f>'B) D RI'!Y210</f>
        <v>352900.3</v>
      </c>
      <c r="D208" s="15">
        <f>'B) D RI'!Z210</f>
        <v>20640.25</v>
      </c>
      <c r="E208" s="10">
        <f t="shared" si="9"/>
        <v>373540.55</v>
      </c>
      <c r="F208" s="15">
        <f>'B) D RI'!U210</f>
        <v>50893.333199999994</v>
      </c>
      <c r="G208" s="280">
        <f t="shared" si="10"/>
        <v>7.3396754842538003</v>
      </c>
      <c r="H208" s="59">
        <f t="shared" si="11"/>
        <v>182642.22500000001</v>
      </c>
    </row>
    <row r="209" spans="1:8" x14ac:dyDescent="0.25">
      <c r="A209" s="51">
        <f>'A) Base RI'!A211</f>
        <v>5732</v>
      </c>
      <c r="B209" s="58" t="str">
        <f>'A) Base RI'!B211</f>
        <v>Vich</v>
      </c>
      <c r="C209" s="33">
        <f>'B) D RI'!Y211</f>
        <v>556617.35000000009</v>
      </c>
      <c r="D209" s="15">
        <f>'B) D RI'!Z211</f>
        <v>75839.3</v>
      </c>
      <c r="E209" s="10">
        <f t="shared" si="9"/>
        <v>632456.65000000014</v>
      </c>
      <c r="F209" s="15">
        <f>'B) D RI'!U211</f>
        <v>63381.263823529407</v>
      </c>
      <c r="G209" s="280">
        <f t="shared" si="10"/>
        <v>9.9786058504754749</v>
      </c>
      <c r="H209" s="59">
        <f t="shared" si="11"/>
        <v>301060.46500000003</v>
      </c>
    </row>
    <row r="210" spans="1:8" x14ac:dyDescent="0.25">
      <c r="A210" s="51">
        <f>'A) Base RI'!A212</f>
        <v>5741</v>
      </c>
      <c r="B210" s="58" t="str">
        <f>'A) Base RI'!B212</f>
        <v>L'Abergement</v>
      </c>
      <c r="C210" s="33">
        <f>'B) D RI'!Y212</f>
        <v>59450.2</v>
      </c>
      <c r="D210" s="15">
        <f>'B) D RI'!Z212</f>
        <v>7043.5</v>
      </c>
      <c r="E210" s="10">
        <f t="shared" si="9"/>
        <v>66493.7</v>
      </c>
      <c r="F210" s="15">
        <f>'B) D RI'!U212</f>
        <v>6650.8402880658423</v>
      </c>
      <c r="G210" s="280">
        <f t="shared" si="10"/>
        <v>9.9977893198420649</v>
      </c>
      <c r="H210" s="59">
        <f t="shared" si="11"/>
        <v>31838.149999999998</v>
      </c>
    </row>
    <row r="211" spans="1:8" x14ac:dyDescent="0.25">
      <c r="A211" s="51">
        <f>'A) Base RI'!A213</f>
        <v>5742</v>
      </c>
      <c r="B211" s="58" t="str">
        <f>'A) Base RI'!B213</f>
        <v>Agiez</v>
      </c>
      <c r="C211" s="33">
        <f>'B) D RI'!Y213</f>
        <v>72556.05</v>
      </c>
      <c r="D211" s="15">
        <f>'B) D RI'!Z213</f>
        <v>1671.4</v>
      </c>
      <c r="E211" s="10">
        <f t="shared" si="9"/>
        <v>74227.45</v>
      </c>
      <c r="F211" s="15">
        <f>'B) D RI'!U213</f>
        <v>9444.339473684211</v>
      </c>
      <c r="G211" s="280">
        <f t="shared" si="10"/>
        <v>7.8594644132422395</v>
      </c>
      <c r="H211" s="59">
        <f t="shared" si="11"/>
        <v>36779.445</v>
      </c>
    </row>
    <row r="212" spans="1:8" x14ac:dyDescent="0.25">
      <c r="A212" s="51">
        <f>'A) Base RI'!A214</f>
        <v>5743</v>
      </c>
      <c r="B212" s="58" t="str">
        <f>'A) Base RI'!B214</f>
        <v>Arnex-sur-Orbe</v>
      </c>
      <c r="C212" s="33">
        <f>'B) D RI'!Y214</f>
        <v>152347.20000000001</v>
      </c>
      <c r="D212" s="15">
        <f>'B) D RI'!Z214</f>
        <v>27265.05</v>
      </c>
      <c r="E212" s="10">
        <f t="shared" si="9"/>
        <v>179612.25</v>
      </c>
      <c r="F212" s="15">
        <f>'B) D RI'!U214</f>
        <v>17668.924178082194</v>
      </c>
      <c r="G212" s="280">
        <f t="shared" si="10"/>
        <v>10.165432155897978</v>
      </c>
      <c r="H212" s="59">
        <f t="shared" si="11"/>
        <v>84353.115000000005</v>
      </c>
    </row>
    <row r="213" spans="1:8" x14ac:dyDescent="0.25">
      <c r="A213" s="51">
        <f>'A) Base RI'!A215</f>
        <v>5744</v>
      </c>
      <c r="B213" s="58" t="str">
        <f>'A) Base RI'!B215</f>
        <v>Ballaigues</v>
      </c>
      <c r="C213" s="33">
        <f>'B) D RI'!Y215</f>
        <v>205352.55</v>
      </c>
      <c r="D213" s="15">
        <f>'B) D RI'!Z215</f>
        <v>1188651.25</v>
      </c>
      <c r="E213" s="10">
        <f t="shared" si="9"/>
        <v>1394003.8</v>
      </c>
      <c r="F213" s="15">
        <f>'B) D RI'!U215</f>
        <v>60772.767121212128</v>
      </c>
      <c r="G213" s="280">
        <f t="shared" si="10"/>
        <v>22.937968205720171</v>
      </c>
      <c r="H213" s="59">
        <f t="shared" si="11"/>
        <v>459271.65</v>
      </c>
    </row>
    <row r="214" spans="1:8" x14ac:dyDescent="0.25">
      <c r="A214" s="51">
        <f>'A) Base RI'!A216</f>
        <v>5745</v>
      </c>
      <c r="B214" s="58" t="str">
        <f>'A) Base RI'!B216</f>
        <v>Baulmes</v>
      </c>
      <c r="C214" s="33">
        <f>'B) D RI'!Y216</f>
        <v>71750.899999999994</v>
      </c>
      <c r="D214" s="15">
        <f>'B) D RI'!Z216</f>
        <v>192572.15</v>
      </c>
      <c r="E214" s="10">
        <f t="shared" si="9"/>
        <v>264323.05</v>
      </c>
      <c r="F214" s="15">
        <f>'B) D RI'!U216</f>
        <v>25719.773333333334</v>
      </c>
      <c r="G214" s="280">
        <f t="shared" si="10"/>
        <v>10.27703652650127</v>
      </c>
      <c r="H214" s="59">
        <f t="shared" si="11"/>
        <v>93647.095000000001</v>
      </c>
    </row>
    <row r="215" spans="1:8" x14ac:dyDescent="0.25">
      <c r="A215" s="51">
        <f>'A) Base RI'!A217</f>
        <v>5746</v>
      </c>
      <c r="B215" s="58" t="str">
        <f>'A) Base RI'!B217</f>
        <v>Bavois</v>
      </c>
      <c r="C215" s="33">
        <f>'B) D RI'!Y217</f>
        <v>152129.35</v>
      </c>
      <c r="D215" s="15">
        <f>'B) D RI'!Z217</f>
        <v>20320.150000000001</v>
      </c>
      <c r="E215" s="10">
        <f t="shared" si="9"/>
        <v>172449.5</v>
      </c>
      <c r="F215" s="15">
        <f>'B) D RI'!U217</f>
        <v>26078.686575342468</v>
      </c>
      <c r="G215" s="280">
        <f t="shared" si="10"/>
        <v>6.6126604766611168</v>
      </c>
      <c r="H215" s="59">
        <f t="shared" si="11"/>
        <v>82160.72</v>
      </c>
    </row>
    <row r="216" spans="1:8" x14ac:dyDescent="0.25">
      <c r="A216" s="51">
        <f>'A) Base RI'!A218</f>
        <v>5747</v>
      </c>
      <c r="B216" s="58" t="str">
        <f>'A) Base RI'!B218</f>
        <v>Bofflens</v>
      </c>
      <c r="C216" s="33">
        <f>'B) D RI'!Y218</f>
        <v>1011.2</v>
      </c>
      <c r="D216" s="15">
        <f>'B) D RI'!Z218</f>
        <v>0</v>
      </c>
      <c r="E216" s="10">
        <f t="shared" si="9"/>
        <v>1011.2</v>
      </c>
      <c r="F216" s="15">
        <f>'B) D RI'!U218</f>
        <v>5407.3595652173908</v>
      </c>
      <c r="G216" s="280">
        <f t="shared" si="10"/>
        <v>0.18700439425269605</v>
      </c>
      <c r="H216" s="59">
        <f t="shared" si="11"/>
        <v>505.6</v>
      </c>
    </row>
    <row r="217" spans="1:8" x14ac:dyDescent="0.25">
      <c r="A217" s="51">
        <f>'A) Base RI'!A219</f>
        <v>5748</v>
      </c>
      <c r="B217" s="58" t="str">
        <f>'A) Base RI'!B219</f>
        <v>Bretonnières</v>
      </c>
      <c r="C217" s="33">
        <f>'B) D RI'!Y219</f>
        <v>213974.65</v>
      </c>
      <c r="D217" s="15">
        <f>'B) D RI'!Z219</f>
        <v>6433.6</v>
      </c>
      <c r="E217" s="10">
        <f t="shared" si="9"/>
        <v>220408.25</v>
      </c>
      <c r="F217" s="15">
        <f>'B) D RI'!U219</f>
        <v>7687.1286574074074</v>
      </c>
      <c r="G217" s="280">
        <f t="shared" si="10"/>
        <v>28.672376881270488</v>
      </c>
      <c r="H217" s="59">
        <f t="shared" si="11"/>
        <v>108917.405</v>
      </c>
    </row>
    <row r="218" spans="1:8" x14ac:dyDescent="0.25">
      <c r="A218" s="51">
        <f>'A) Base RI'!A220</f>
        <v>5749</v>
      </c>
      <c r="B218" s="58" t="str">
        <f>'A) Base RI'!B220</f>
        <v>Chavornay</v>
      </c>
      <c r="C218" s="33">
        <f>'B) D RI'!Y220</f>
        <v>516362.2</v>
      </c>
      <c r="D218" s="15">
        <f>'B) D RI'!Z220</f>
        <v>588022.9</v>
      </c>
      <c r="E218" s="10">
        <f t="shared" si="9"/>
        <v>1104385.1000000001</v>
      </c>
      <c r="F218" s="15">
        <f>'B) D RI'!U220</f>
        <v>136661.8213888889</v>
      </c>
      <c r="G218" s="280">
        <f t="shared" si="10"/>
        <v>8.0811530885230152</v>
      </c>
      <c r="H218" s="59">
        <f t="shared" si="11"/>
        <v>434587.97</v>
      </c>
    </row>
    <row r="219" spans="1:8" x14ac:dyDescent="0.25">
      <c r="A219" s="51">
        <f>'A) Base RI'!A221</f>
        <v>5750</v>
      </c>
      <c r="B219" s="58" t="str">
        <f>'A) Base RI'!B221</f>
        <v>Les Clées</v>
      </c>
      <c r="C219" s="33">
        <f>'B) D RI'!Y221</f>
        <v>16833.45</v>
      </c>
      <c r="D219" s="15">
        <f>'B) D RI'!Z221</f>
        <v>6513.5</v>
      </c>
      <c r="E219" s="10">
        <f t="shared" si="9"/>
        <v>23346.95</v>
      </c>
      <c r="F219" s="15">
        <f>'B) D RI'!U221</f>
        <v>5052.5065833333338</v>
      </c>
      <c r="G219" s="280">
        <f t="shared" si="10"/>
        <v>4.6208648350928252</v>
      </c>
      <c r="H219" s="59">
        <f t="shared" si="11"/>
        <v>10370.775</v>
      </c>
    </row>
    <row r="220" spans="1:8" x14ac:dyDescent="0.25">
      <c r="A220" s="51">
        <f>'A) Base RI'!A222</f>
        <v>5752</v>
      </c>
      <c r="B220" s="58" t="str">
        <f>'A) Base RI'!B222</f>
        <v>Croy</v>
      </c>
      <c r="C220" s="33">
        <f>'B) D RI'!Y222</f>
        <v>31960.75</v>
      </c>
      <c r="D220" s="15">
        <f>'B) D RI'!Z222</f>
        <v>22087.200000000001</v>
      </c>
      <c r="E220" s="10">
        <f t="shared" si="9"/>
        <v>54047.95</v>
      </c>
      <c r="F220" s="15">
        <f>'B) D RI'!U222</f>
        <v>11188.496891891893</v>
      </c>
      <c r="G220" s="280">
        <f t="shared" si="10"/>
        <v>4.8306712261919289</v>
      </c>
      <c r="H220" s="59">
        <f t="shared" si="11"/>
        <v>22606.535</v>
      </c>
    </row>
    <row r="221" spans="1:8" x14ac:dyDescent="0.25">
      <c r="A221" s="51">
        <f>'A) Base RI'!A223</f>
        <v>5754</v>
      </c>
      <c r="B221" s="58" t="str">
        <f>'A) Base RI'!B223</f>
        <v>Juriens</v>
      </c>
      <c r="C221" s="33">
        <f>'B) D RI'!Y223</f>
        <v>8930.75</v>
      </c>
      <c r="D221" s="15">
        <f>'B) D RI'!Z223</f>
        <v>294.89999999999998</v>
      </c>
      <c r="E221" s="10">
        <f t="shared" si="9"/>
        <v>9225.65</v>
      </c>
      <c r="F221" s="15">
        <f>'B) D RI'!U223</f>
        <v>8136.8400000000011</v>
      </c>
      <c r="G221" s="280">
        <f t="shared" si="10"/>
        <v>1.1338123890847058</v>
      </c>
      <c r="H221" s="59">
        <f t="shared" si="11"/>
        <v>4553.8450000000003</v>
      </c>
    </row>
    <row r="222" spans="1:8" x14ac:dyDescent="0.25">
      <c r="A222" s="51">
        <f>'A) Base RI'!A224</f>
        <v>5755</v>
      </c>
      <c r="B222" s="58" t="str">
        <f>'A) Base RI'!B224</f>
        <v>Lignerolle</v>
      </c>
      <c r="C222" s="33">
        <f>'B) D RI'!Y224</f>
        <v>36272.800000000003</v>
      </c>
      <c r="D222" s="15">
        <f>'B) D RI'!Z224</f>
        <v>17491.8</v>
      </c>
      <c r="E222" s="10">
        <f t="shared" si="9"/>
        <v>53764.600000000006</v>
      </c>
      <c r="F222" s="15">
        <f>'B) D RI'!U224</f>
        <v>9412.5036607142865</v>
      </c>
      <c r="G222" s="280">
        <f t="shared" si="10"/>
        <v>5.712040275150339</v>
      </c>
      <c r="H222" s="59">
        <f t="shared" si="11"/>
        <v>23383.940000000002</v>
      </c>
    </row>
    <row r="223" spans="1:8" x14ac:dyDescent="0.25">
      <c r="A223" s="51">
        <f>'A) Base RI'!A225</f>
        <v>5756</v>
      </c>
      <c r="B223" s="58" t="str">
        <f>'A) Base RI'!B225</f>
        <v>Montcherand</v>
      </c>
      <c r="C223" s="33">
        <f>'B) D RI'!Y225</f>
        <v>32332.199999999997</v>
      </c>
      <c r="D223" s="15">
        <f>'B) D RI'!Z225</f>
        <v>26068.7</v>
      </c>
      <c r="E223" s="10">
        <f t="shared" si="9"/>
        <v>58400.899999999994</v>
      </c>
      <c r="F223" s="15">
        <f>'B) D RI'!U225</f>
        <v>18721.546388888888</v>
      </c>
      <c r="G223" s="280">
        <f t="shared" si="10"/>
        <v>3.1194485106561785</v>
      </c>
      <c r="H223" s="59">
        <f t="shared" si="11"/>
        <v>23986.71</v>
      </c>
    </row>
    <row r="224" spans="1:8" x14ac:dyDescent="0.25">
      <c r="A224" s="51">
        <f>'A) Base RI'!A226</f>
        <v>5757</v>
      </c>
      <c r="B224" s="58" t="str">
        <f>'A) Base RI'!B226</f>
        <v>Orbe</v>
      </c>
      <c r="C224" s="33">
        <f>'B) D RI'!Y226</f>
        <v>950651.2</v>
      </c>
      <c r="D224" s="15">
        <f>'B) D RI'!Z226</f>
        <v>2511647.6</v>
      </c>
      <c r="E224" s="10">
        <f t="shared" si="9"/>
        <v>3462298.8</v>
      </c>
      <c r="F224" s="15">
        <f>'B) D RI'!U226</f>
        <v>205952.941948052</v>
      </c>
      <c r="G224" s="280">
        <f t="shared" si="10"/>
        <v>16.811116011507636</v>
      </c>
      <c r="H224" s="59">
        <f t="shared" si="11"/>
        <v>1228819.8799999999</v>
      </c>
    </row>
    <row r="225" spans="1:8" x14ac:dyDescent="0.25">
      <c r="A225" s="51">
        <f>'A) Base RI'!A227</f>
        <v>5758</v>
      </c>
      <c r="B225" s="58" t="str">
        <f>'A) Base RI'!B227</f>
        <v>La Praz</v>
      </c>
      <c r="C225" s="33">
        <f>'B) D RI'!Y227</f>
        <v>52767.799999999996</v>
      </c>
      <c r="D225" s="15">
        <f>'B) D RI'!Z227</f>
        <v>0</v>
      </c>
      <c r="E225" s="10">
        <f t="shared" si="9"/>
        <v>52767.799999999996</v>
      </c>
      <c r="F225" s="15">
        <f>'B) D RI'!U227</f>
        <v>3230.1663052208837</v>
      </c>
      <c r="G225" s="280">
        <f t="shared" si="10"/>
        <v>16.335939086081098</v>
      </c>
      <c r="H225" s="59">
        <f t="shared" si="11"/>
        <v>26383.899999999998</v>
      </c>
    </row>
    <row r="226" spans="1:8" x14ac:dyDescent="0.25">
      <c r="A226" s="51">
        <f>'A) Base RI'!A228</f>
        <v>5759</v>
      </c>
      <c r="B226" s="58" t="str">
        <f>'A) Base RI'!B228</f>
        <v>Premier</v>
      </c>
      <c r="C226" s="33">
        <f>'B) D RI'!Y228</f>
        <v>38197.9</v>
      </c>
      <c r="D226" s="15">
        <f>'B) D RI'!Z228</f>
        <v>1371.65</v>
      </c>
      <c r="E226" s="10">
        <f t="shared" si="9"/>
        <v>39569.550000000003</v>
      </c>
      <c r="F226" s="15">
        <f>'B) D RI'!U228</f>
        <v>4732.7107407407411</v>
      </c>
      <c r="G226" s="280">
        <f t="shared" si="10"/>
        <v>8.3608638194116143</v>
      </c>
      <c r="H226" s="59">
        <f t="shared" si="11"/>
        <v>19510.445</v>
      </c>
    </row>
    <row r="227" spans="1:8" x14ac:dyDescent="0.25">
      <c r="A227" s="51">
        <f>'A) Base RI'!A229</f>
        <v>5760</v>
      </c>
      <c r="B227" s="58" t="str">
        <f>'A) Base RI'!B229</f>
        <v>Rances</v>
      </c>
      <c r="C227" s="33">
        <f>'B) D RI'!Y229</f>
        <v>38170.199999999997</v>
      </c>
      <c r="D227" s="15">
        <f>'B) D RI'!Z229</f>
        <v>13876.8</v>
      </c>
      <c r="E227" s="10">
        <f t="shared" si="9"/>
        <v>52047</v>
      </c>
      <c r="F227" s="15">
        <f>'B) D RI'!U229</f>
        <v>10468.899999999998</v>
      </c>
      <c r="G227" s="280">
        <f t="shared" si="10"/>
        <v>4.9715824967284057</v>
      </c>
      <c r="H227" s="59">
        <f t="shared" si="11"/>
        <v>23248.14</v>
      </c>
    </row>
    <row r="228" spans="1:8" x14ac:dyDescent="0.25">
      <c r="A228" s="51">
        <f>'A) Base RI'!A230</f>
        <v>5761</v>
      </c>
      <c r="B228" s="58" t="str">
        <f>'A) Base RI'!B230</f>
        <v>Romainmôtier-Envy</v>
      </c>
      <c r="C228" s="33">
        <f>'B) D RI'!Y230</f>
        <v>86938.75</v>
      </c>
      <c r="D228" s="15">
        <f>'B) D RI'!Z230</f>
        <v>49055</v>
      </c>
      <c r="E228" s="10">
        <f t="shared" si="9"/>
        <v>135993.75</v>
      </c>
      <c r="F228" s="15">
        <f>'B) D RI'!U230</f>
        <v>12891.998383838385</v>
      </c>
      <c r="G228" s="280">
        <f t="shared" si="10"/>
        <v>10.548694310300561</v>
      </c>
      <c r="H228" s="59">
        <f t="shared" si="11"/>
        <v>58185.875</v>
      </c>
    </row>
    <row r="229" spans="1:8" x14ac:dyDescent="0.25">
      <c r="A229" s="51">
        <f>'A) Base RI'!A231</f>
        <v>5762</v>
      </c>
      <c r="B229" s="58" t="str">
        <f>'A) Base RI'!B231</f>
        <v>Sergey</v>
      </c>
      <c r="C229" s="33">
        <f>'B) D RI'!Y231</f>
        <v>922.5</v>
      </c>
      <c r="D229" s="15">
        <f>'B) D RI'!Z231</f>
        <v>9127.7000000000007</v>
      </c>
      <c r="E229" s="10">
        <f t="shared" si="9"/>
        <v>10050.200000000001</v>
      </c>
      <c r="F229" s="15">
        <f>'B) D RI'!U231</f>
        <v>4039.8601282051286</v>
      </c>
      <c r="G229" s="280">
        <f t="shared" si="10"/>
        <v>2.4877593978644028</v>
      </c>
      <c r="H229" s="59">
        <f t="shared" si="11"/>
        <v>3199.56</v>
      </c>
    </row>
    <row r="230" spans="1:8" x14ac:dyDescent="0.25">
      <c r="A230" s="51">
        <f>'A) Base RI'!A232</f>
        <v>5763</v>
      </c>
      <c r="B230" s="58" t="str">
        <f>'A) Base RI'!B232</f>
        <v>Valeyres-sous-Rances</v>
      </c>
      <c r="C230" s="33">
        <f>'B) D RI'!Y232</f>
        <v>38119.85</v>
      </c>
      <c r="D230" s="15">
        <f>'B) D RI'!Z232</f>
        <v>64422.35</v>
      </c>
      <c r="E230" s="10">
        <f t="shared" si="9"/>
        <v>102542.2</v>
      </c>
      <c r="F230" s="15">
        <f>'B) D RI'!U232</f>
        <v>20051.556615384616</v>
      </c>
      <c r="G230" s="280">
        <f t="shared" si="10"/>
        <v>5.1139271612122217</v>
      </c>
      <c r="H230" s="59">
        <f t="shared" si="11"/>
        <v>38386.629999999997</v>
      </c>
    </row>
    <row r="231" spans="1:8" x14ac:dyDescent="0.25">
      <c r="A231" s="51">
        <f>'A) Base RI'!A233</f>
        <v>5764</v>
      </c>
      <c r="B231" s="58" t="str">
        <f>'A) Base RI'!B233</f>
        <v>Vallorbe</v>
      </c>
      <c r="C231" s="33">
        <f>'B) D RI'!Y233</f>
        <v>343537.1</v>
      </c>
      <c r="D231" s="15">
        <f>'B) D RI'!Z233</f>
        <v>2031379.6</v>
      </c>
      <c r="E231" s="10">
        <f t="shared" si="9"/>
        <v>2374916.7000000002</v>
      </c>
      <c r="F231" s="15">
        <f>'B) D RI'!U233</f>
        <v>83366.268356164379</v>
      </c>
      <c r="G231" s="280">
        <f t="shared" si="10"/>
        <v>28.487741467012551</v>
      </c>
      <c r="H231" s="59">
        <f t="shared" si="11"/>
        <v>781182.42999999993</v>
      </c>
    </row>
    <row r="232" spans="1:8" x14ac:dyDescent="0.25">
      <c r="A232" s="51">
        <f>'A) Base RI'!A234</f>
        <v>5765</v>
      </c>
      <c r="B232" s="58" t="str">
        <f>'A) Base RI'!B234</f>
        <v>Vaulion</v>
      </c>
      <c r="C232" s="33">
        <f>'B) D RI'!Y234</f>
        <v>23476.050000000003</v>
      </c>
      <c r="D232" s="15">
        <f>'B) D RI'!Z234</f>
        <v>40966.35</v>
      </c>
      <c r="E232" s="10">
        <f t="shared" si="9"/>
        <v>64442.400000000001</v>
      </c>
      <c r="F232" s="15">
        <f>'B) D RI'!U234</f>
        <v>9587.663333333332</v>
      </c>
      <c r="G232" s="280">
        <f t="shared" si="10"/>
        <v>6.7213874496358006</v>
      </c>
      <c r="H232" s="59">
        <f t="shared" si="11"/>
        <v>24027.93</v>
      </c>
    </row>
    <row r="233" spans="1:8" x14ac:dyDescent="0.25">
      <c r="A233" s="51">
        <f>'A) Base RI'!A235</f>
        <v>5766</v>
      </c>
      <c r="B233" s="58" t="str">
        <f>'A) Base RI'!B235</f>
        <v>Vuiteboeuf</v>
      </c>
      <c r="C233" s="33">
        <f>'B) D RI'!Y235</f>
        <v>79934.350000000006</v>
      </c>
      <c r="D233" s="15">
        <f>'B) D RI'!Z235</f>
        <v>19131.75</v>
      </c>
      <c r="E233" s="10">
        <f t="shared" si="9"/>
        <v>99066.1</v>
      </c>
      <c r="F233" s="15">
        <f>'B) D RI'!U235</f>
        <v>13049.547402597404</v>
      </c>
      <c r="G233" s="280">
        <f t="shared" si="10"/>
        <v>7.5915353187101129</v>
      </c>
      <c r="H233" s="59">
        <f t="shared" si="11"/>
        <v>45706.700000000004</v>
      </c>
    </row>
    <row r="234" spans="1:8" x14ac:dyDescent="0.25">
      <c r="A234" s="51">
        <f>'A) Base RI'!A236</f>
        <v>5785</v>
      </c>
      <c r="B234" s="58" t="str">
        <f>'A) Base RI'!B236</f>
        <v>Corcelles-le-Jorat</v>
      </c>
      <c r="C234" s="33">
        <f>'B) D RI'!Y236</f>
        <v>71372.45</v>
      </c>
      <c r="D234" s="15">
        <f>'B) D RI'!Z236</f>
        <v>0</v>
      </c>
      <c r="E234" s="10">
        <f t="shared" si="9"/>
        <v>71372.45</v>
      </c>
      <c r="F234" s="15">
        <f>'B) D RI'!U236</f>
        <v>15263.245714285717</v>
      </c>
      <c r="G234" s="280">
        <f t="shared" si="10"/>
        <v>4.6760991296365342</v>
      </c>
      <c r="H234" s="59">
        <f t="shared" si="11"/>
        <v>35686.224999999999</v>
      </c>
    </row>
    <row r="235" spans="1:8" x14ac:dyDescent="0.25">
      <c r="A235" s="51">
        <f>'A) Base RI'!A237</f>
        <v>5788</v>
      </c>
      <c r="B235" s="58" t="str">
        <f>'A) Base RI'!B237</f>
        <v>Essertes</v>
      </c>
      <c r="C235" s="33">
        <f>'B) D RI'!Y237</f>
        <v>123638.6</v>
      </c>
      <c r="D235" s="15">
        <f>'B) D RI'!Z237</f>
        <v>0</v>
      </c>
      <c r="E235" s="10">
        <f t="shared" si="9"/>
        <v>123638.6</v>
      </c>
      <c r="F235" s="15">
        <f>'B) D RI'!U237</f>
        <v>11561.131666666668</v>
      </c>
      <c r="G235" s="280">
        <f t="shared" si="10"/>
        <v>10.694333700608029</v>
      </c>
      <c r="H235" s="59">
        <f t="shared" si="11"/>
        <v>61819.3</v>
      </c>
    </row>
    <row r="236" spans="1:8" x14ac:dyDescent="0.25">
      <c r="A236" s="51">
        <f>'A) Base RI'!A238</f>
        <v>5790</v>
      </c>
      <c r="B236" s="58" t="str">
        <f>'A) Base RI'!B238</f>
        <v>Maracon</v>
      </c>
      <c r="C236" s="33">
        <f>'B) D RI'!Y238</f>
        <v>108886.25</v>
      </c>
      <c r="D236" s="15">
        <f>'B) D RI'!Z238</f>
        <v>4176.3500000000004</v>
      </c>
      <c r="E236" s="10">
        <f t="shared" si="9"/>
        <v>113062.6</v>
      </c>
      <c r="F236" s="15">
        <f>'B) D RI'!U238</f>
        <v>12108.806973684212</v>
      </c>
      <c r="G236" s="280">
        <f t="shared" si="10"/>
        <v>9.3372204417591522</v>
      </c>
      <c r="H236" s="59">
        <f t="shared" si="11"/>
        <v>55696.03</v>
      </c>
    </row>
    <row r="237" spans="1:8" x14ac:dyDescent="0.25">
      <c r="A237" s="51">
        <f>'A) Base RI'!A239</f>
        <v>5792</v>
      </c>
      <c r="B237" s="58" t="str">
        <f>'A) Base RI'!B239</f>
        <v>Montpreveyres</v>
      </c>
      <c r="C237" s="33">
        <f>'B) D RI'!Y239</f>
        <v>122266.25</v>
      </c>
      <c r="D237" s="15">
        <f>'B) D RI'!Z239</f>
        <v>0</v>
      </c>
      <c r="E237" s="10">
        <f t="shared" si="9"/>
        <v>122266.25</v>
      </c>
      <c r="F237" s="15">
        <f>'B) D RI'!U239</f>
        <v>17523.35194805195</v>
      </c>
      <c r="G237" s="280">
        <f t="shared" si="10"/>
        <v>6.9773323255995088</v>
      </c>
      <c r="H237" s="59">
        <f t="shared" si="11"/>
        <v>61133.125</v>
      </c>
    </row>
    <row r="238" spans="1:8" x14ac:dyDescent="0.25">
      <c r="A238" s="51">
        <f>'A) Base RI'!A240</f>
        <v>5798</v>
      </c>
      <c r="B238" s="58" t="str">
        <f>'A) Base RI'!B240</f>
        <v>Ropraz</v>
      </c>
      <c r="C238" s="33">
        <f>'B) D RI'!Y240</f>
        <v>106193.25</v>
      </c>
      <c r="D238" s="15">
        <f>'B) D RI'!Z240</f>
        <v>0</v>
      </c>
      <c r="E238" s="10">
        <f t="shared" si="9"/>
        <v>106193.25</v>
      </c>
      <c r="F238" s="15">
        <f>'B) D RI'!U240</f>
        <v>14095.640645161293</v>
      </c>
      <c r="G238" s="280">
        <f t="shared" si="10"/>
        <v>7.5337654153700129</v>
      </c>
      <c r="H238" s="59">
        <f t="shared" si="11"/>
        <v>53096.625</v>
      </c>
    </row>
    <row r="239" spans="1:8" x14ac:dyDescent="0.25">
      <c r="A239" s="51">
        <f>'A) Base RI'!A241</f>
        <v>5799</v>
      </c>
      <c r="B239" s="58" t="str">
        <f>'A) Base RI'!B241</f>
        <v>Servion</v>
      </c>
      <c r="C239" s="33">
        <f>'B) D RI'!Y241</f>
        <v>236346.65</v>
      </c>
      <c r="D239" s="15">
        <f>'B) D RI'!Z241</f>
        <v>18141.150000000001</v>
      </c>
      <c r="E239" s="10">
        <f t="shared" si="9"/>
        <v>254487.8</v>
      </c>
      <c r="F239" s="15">
        <f>'B) D RI'!U241</f>
        <v>65741.847101449268</v>
      </c>
      <c r="G239" s="280">
        <f t="shared" si="10"/>
        <v>3.8710168822498727</v>
      </c>
      <c r="H239" s="59">
        <f t="shared" si="11"/>
        <v>123615.67</v>
      </c>
    </row>
    <row r="240" spans="1:8" x14ac:dyDescent="0.25">
      <c r="A240" s="51">
        <f>'A) Base RI'!A242</f>
        <v>5803</v>
      </c>
      <c r="B240" s="58" t="str">
        <f>'A) Base RI'!B242</f>
        <v>Vulliens</v>
      </c>
      <c r="C240" s="33">
        <f>'B) D RI'!Y242</f>
        <v>88625.700000000012</v>
      </c>
      <c r="D240" s="15">
        <f>'B) D RI'!Z242</f>
        <v>0</v>
      </c>
      <c r="E240" s="10">
        <f t="shared" si="9"/>
        <v>88625.700000000012</v>
      </c>
      <c r="F240" s="15">
        <f>'B) D RI'!U242</f>
        <v>15644.362692307694</v>
      </c>
      <c r="G240" s="280">
        <f t="shared" si="10"/>
        <v>5.665024631752952</v>
      </c>
      <c r="H240" s="59">
        <f t="shared" si="11"/>
        <v>44312.850000000006</v>
      </c>
    </row>
    <row r="241" spans="1:8" x14ac:dyDescent="0.25">
      <c r="A241" s="51">
        <f>'A) Base RI'!A243</f>
        <v>5804</v>
      </c>
      <c r="B241" s="58" t="str">
        <f>'A) Base RI'!B243</f>
        <v>Jorat-Menthue</v>
      </c>
      <c r="C241" s="33">
        <f>'B) D RI'!Y243</f>
        <v>241265.90000000002</v>
      </c>
      <c r="D241" s="15">
        <f>'B) D RI'!Z243</f>
        <v>4035.95</v>
      </c>
      <c r="E241" s="10">
        <f t="shared" si="9"/>
        <v>245301.85000000003</v>
      </c>
      <c r="F241" s="15">
        <f>'B) D RI'!U243</f>
        <v>47020.955555555549</v>
      </c>
      <c r="G241" s="280">
        <f t="shared" si="10"/>
        <v>5.2168622926042918</v>
      </c>
      <c r="H241" s="59">
        <f t="shared" si="11"/>
        <v>121843.73500000002</v>
      </c>
    </row>
    <row r="242" spans="1:8" x14ac:dyDescent="0.25">
      <c r="A242" s="51">
        <f>'A) Base RI'!A244</f>
        <v>5805</v>
      </c>
      <c r="B242" s="58" t="str">
        <f>'A) Base RI'!B244</f>
        <v>Oron</v>
      </c>
      <c r="C242" s="33">
        <f>'B) D RI'!Y244</f>
        <v>845147.54999999993</v>
      </c>
      <c r="D242" s="15">
        <f>'B) D RI'!Z244</f>
        <v>83623.100000000006</v>
      </c>
      <c r="E242" s="10">
        <f t="shared" si="9"/>
        <v>928770.64999999991</v>
      </c>
      <c r="F242" s="15">
        <f>'B) D RI'!U244</f>
        <v>148409.14060606057</v>
      </c>
      <c r="G242" s="280">
        <f t="shared" si="10"/>
        <v>6.2581768630096883</v>
      </c>
      <c r="H242" s="59">
        <f t="shared" si="11"/>
        <v>447660.70499999996</v>
      </c>
    </row>
    <row r="243" spans="1:8" x14ac:dyDescent="0.25">
      <c r="A243" s="51">
        <f>'A) Base RI'!A245</f>
        <v>5806</v>
      </c>
      <c r="B243" s="58" t="str">
        <f>'A) Base RI'!B245</f>
        <v>Jorat-Mézières</v>
      </c>
      <c r="C243" s="33">
        <f>'B) D RI'!Y245</f>
        <v>483530.05000000005</v>
      </c>
      <c r="D243" s="15">
        <f>'B) D RI'!Z245</f>
        <v>22621.9</v>
      </c>
      <c r="E243" s="10">
        <f t="shared" si="9"/>
        <v>506151.95000000007</v>
      </c>
      <c r="F243" s="15">
        <f>'B) D RI'!U245</f>
        <v>86246.382763157875</v>
      </c>
      <c r="G243" s="280">
        <f t="shared" si="10"/>
        <v>5.868674532008483</v>
      </c>
      <c r="H243" s="59">
        <f t="shared" si="11"/>
        <v>248551.59500000003</v>
      </c>
    </row>
    <row r="244" spans="1:8" x14ac:dyDescent="0.25">
      <c r="A244" s="51">
        <f>'A) Base RI'!A246</f>
        <v>5812</v>
      </c>
      <c r="B244" s="58" t="str">
        <f>'A) Base RI'!B246</f>
        <v>Champtauroz</v>
      </c>
      <c r="C244" s="33">
        <f>'B) D RI'!Y246</f>
        <v>27359.8</v>
      </c>
      <c r="D244" s="15">
        <f>'B) D RI'!Z246</f>
        <v>0</v>
      </c>
      <c r="E244" s="10">
        <f t="shared" si="9"/>
        <v>27359.8</v>
      </c>
      <c r="F244" s="15">
        <f>'B) D RI'!U246</f>
        <v>2413.8557792207789</v>
      </c>
      <c r="G244" s="280">
        <f t="shared" si="10"/>
        <v>11.334479978266168</v>
      </c>
      <c r="H244" s="59">
        <f t="shared" si="11"/>
        <v>13679.9</v>
      </c>
    </row>
    <row r="245" spans="1:8" x14ac:dyDescent="0.25">
      <c r="A245" s="51">
        <f>'A) Base RI'!A247</f>
        <v>5813</v>
      </c>
      <c r="B245" s="58" t="str">
        <f>'A) Base RI'!B247</f>
        <v>Chevroux</v>
      </c>
      <c r="C245" s="33">
        <f>'B) D RI'!Y247</f>
        <v>155835.09999999998</v>
      </c>
      <c r="D245" s="15">
        <f>'B) D RI'!Z247</f>
        <v>0</v>
      </c>
      <c r="E245" s="10">
        <f t="shared" si="9"/>
        <v>155835.09999999998</v>
      </c>
      <c r="F245" s="15">
        <f>'B) D RI'!U247</f>
        <v>13303.445833333333</v>
      </c>
      <c r="G245" s="280">
        <f t="shared" si="10"/>
        <v>11.713889916365652</v>
      </c>
      <c r="H245" s="59">
        <f t="shared" si="11"/>
        <v>77917.549999999988</v>
      </c>
    </row>
    <row r="246" spans="1:8" x14ac:dyDescent="0.25">
      <c r="A246" s="51">
        <f>'A) Base RI'!A248</f>
        <v>5816</v>
      </c>
      <c r="B246" s="58" t="str">
        <f>'A) Base RI'!B248</f>
        <v>Corcelles-près-Payerne</v>
      </c>
      <c r="C246" s="33">
        <f>'B) D RI'!Y248</f>
        <v>305835.75</v>
      </c>
      <c r="D246" s="15">
        <f>'B) D RI'!Z248</f>
        <v>19098.8</v>
      </c>
      <c r="E246" s="10">
        <f t="shared" si="9"/>
        <v>324934.55</v>
      </c>
      <c r="F246" s="15">
        <f>'B) D RI'!U248</f>
        <v>57954.816904761909</v>
      </c>
      <c r="G246" s="280">
        <f t="shared" si="10"/>
        <v>5.6066875430556564</v>
      </c>
      <c r="H246" s="59">
        <f t="shared" si="11"/>
        <v>158647.51500000001</v>
      </c>
    </row>
    <row r="247" spans="1:8" x14ac:dyDescent="0.25">
      <c r="A247" s="51">
        <f>'A) Base RI'!A249</f>
        <v>5817</v>
      </c>
      <c r="B247" s="58" t="str">
        <f>'A) Base RI'!B249</f>
        <v>Grandcour</v>
      </c>
      <c r="C247" s="33">
        <f>'B) D RI'!Y249</f>
        <v>126493.5</v>
      </c>
      <c r="D247" s="15">
        <f>'B) D RI'!Z249</f>
        <v>0</v>
      </c>
      <c r="E247" s="10">
        <f t="shared" si="9"/>
        <v>126493.5</v>
      </c>
      <c r="F247" s="15">
        <f>'B) D RI'!U249</f>
        <v>22248.358742138364</v>
      </c>
      <c r="G247" s="280">
        <f t="shared" si="10"/>
        <v>5.6855205125950015</v>
      </c>
      <c r="H247" s="59">
        <f t="shared" si="11"/>
        <v>63246.75</v>
      </c>
    </row>
    <row r="248" spans="1:8" x14ac:dyDescent="0.25">
      <c r="A248" s="51">
        <f>'A) Base RI'!A250</f>
        <v>5819</v>
      </c>
      <c r="B248" s="58" t="str">
        <f>'A) Base RI'!B250</f>
        <v>Henniez</v>
      </c>
      <c r="C248" s="33">
        <f>'B) D RI'!Y250</f>
        <v>59521.45</v>
      </c>
      <c r="D248" s="15">
        <f>'B) D RI'!Z250</f>
        <v>18163.650000000001</v>
      </c>
      <c r="E248" s="10">
        <f t="shared" si="9"/>
        <v>77685.100000000006</v>
      </c>
      <c r="F248" s="15">
        <f>'B) D RI'!U250</f>
        <v>14874.063333333332</v>
      </c>
      <c r="G248" s="280">
        <f t="shared" si="10"/>
        <v>5.2228566101305214</v>
      </c>
      <c r="H248" s="59">
        <f t="shared" si="11"/>
        <v>35209.82</v>
      </c>
    </row>
    <row r="249" spans="1:8" x14ac:dyDescent="0.25">
      <c r="A249" s="51">
        <f>'A) Base RI'!A251</f>
        <v>5821</v>
      </c>
      <c r="B249" s="58" t="str">
        <f>'A) Base RI'!B251</f>
        <v>Missy</v>
      </c>
      <c r="C249" s="33">
        <f>'B) D RI'!Y251</f>
        <v>13352.75</v>
      </c>
      <c r="D249" s="15">
        <f>'B) D RI'!Z251</f>
        <v>0</v>
      </c>
      <c r="E249" s="10">
        <f t="shared" si="9"/>
        <v>13352.75</v>
      </c>
      <c r="F249" s="15">
        <f>'B) D RI'!U251</f>
        <v>7639.0673611111124</v>
      </c>
      <c r="G249" s="280">
        <f t="shared" si="10"/>
        <v>1.7479555250390966</v>
      </c>
      <c r="H249" s="59">
        <f t="shared" si="11"/>
        <v>6676.375</v>
      </c>
    </row>
    <row r="250" spans="1:8" x14ac:dyDescent="0.25">
      <c r="A250" s="51">
        <f>'A) Base RI'!A252</f>
        <v>5822</v>
      </c>
      <c r="B250" s="58" t="str">
        <f>'A) Base RI'!B252</f>
        <v>Payerne</v>
      </c>
      <c r="C250" s="33">
        <f>'B) D RI'!Y252</f>
        <v>1376392.65</v>
      </c>
      <c r="D250" s="15">
        <f>'B) D RI'!Z252</f>
        <v>79488.55</v>
      </c>
      <c r="E250" s="10">
        <f t="shared" si="9"/>
        <v>1455881.2</v>
      </c>
      <c r="F250" s="15">
        <f>'B) D RI'!U252</f>
        <v>246397.68826666669</v>
      </c>
      <c r="G250" s="280">
        <f t="shared" si="10"/>
        <v>5.9086642015259327</v>
      </c>
      <c r="H250" s="59">
        <f t="shared" si="11"/>
        <v>712042.8899999999</v>
      </c>
    </row>
    <row r="251" spans="1:8" x14ac:dyDescent="0.25">
      <c r="A251" s="51">
        <f>'A) Base RI'!A253</f>
        <v>5827</v>
      </c>
      <c r="B251" s="58" t="str">
        <f>'A) Base RI'!B253</f>
        <v>Trey</v>
      </c>
      <c r="C251" s="33">
        <f>'B) D RI'!Y253</f>
        <v>18295.5</v>
      </c>
      <c r="D251" s="15">
        <f>'B) D RI'!Z253</f>
        <v>20433.599999999999</v>
      </c>
      <c r="E251" s="10">
        <f t="shared" si="9"/>
        <v>38729.1</v>
      </c>
      <c r="F251" s="15">
        <f>'B) D RI'!U253</f>
        <v>6752.2672499999999</v>
      </c>
      <c r="G251" s="280">
        <f t="shared" si="10"/>
        <v>5.7357178805385702</v>
      </c>
      <c r="H251" s="59">
        <f t="shared" si="11"/>
        <v>15277.829999999998</v>
      </c>
    </row>
    <row r="252" spans="1:8" x14ac:dyDescent="0.25">
      <c r="A252" s="51">
        <f>'A) Base RI'!A254</f>
        <v>5828</v>
      </c>
      <c r="B252" s="58" t="str">
        <f>'A) Base RI'!B254</f>
        <v>Treytorrens (Payerne)</v>
      </c>
      <c r="C252" s="33">
        <f>'B) D RI'!Y254</f>
        <v>36029.15</v>
      </c>
      <c r="D252" s="15">
        <f>'B) D RI'!Z254</f>
        <v>0</v>
      </c>
      <c r="E252" s="10">
        <f t="shared" si="9"/>
        <v>36029.15</v>
      </c>
      <c r="F252" s="15">
        <f>'B) D RI'!U254</f>
        <v>2280.7091269841271</v>
      </c>
      <c r="G252" s="280">
        <f t="shared" si="10"/>
        <v>15.797345471950992</v>
      </c>
      <c r="H252" s="59">
        <f t="shared" si="11"/>
        <v>18014.575000000001</v>
      </c>
    </row>
    <row r="253" spans="1:8" x14ac:dyDescent="0.25">
      <c r="A253" s="51">
        <f>'A) Base RI'!A255</f>
        <v>5830</v>
      </c>
      <c r="B253" s="58" t="str">
        <f>'A) Base RI'!B255</f>
        <v>Villarzel</v>
      </c>
      <c r="C253" s="33">
        <f>'B) D RI'!Y255</f>
        <v>62786</v>
      </c>
      <c r="D253" s="15">
        <f>'B) D RI'!Z255</f>
        <v>0</v>
      </c>
      <c r="E253" s="10">
        <f t="shared" si="9"/>
        <v>62786</v>
      </c>
      <c r="F253" s="15">
        <f>'B) D RI'!U255</f>
        <v>10522.833037974684</v>
      </c>
      <c r="G253" s="280">
        <f t="shared" si="10"/>
        <v>5.9666441321855599</v>
      </c>
      <c r="H253" s="59">
        <f t="shared" si="11"/>
        <v>31393</v>
      </c>
    </row>
    <row r="254" spans="1:8" x14ac:dyDescent="0.25">
      <c r="A254" s="51">
        <f>'A) Base RI'!A256</f>
        <v>5831</v>
      </c>
      <c r="B254" s="58" t="str">
        <f>'A) Base RI'!B256</f>
        <v>Valbroye</v>
      </c>
      <c r="C254" s="33">
        <f>'B) D RI'!Y256</f>
        <v>649937.69999999995</v>
      </c>
      <c r="D254" s="15">
        <f>'B) D RI'!Z256</f>
        <v>28878.2</v>
      </c>
      <c r="E254" s="10">
        <f t="shared" si="9"/>
        <v>678815.89999999991</v>
      </c>
      <c r="F254" s="15">
        <f>'B) D RI'!U256</f>
        <v>82821.588904109609</v>
      </c>
      <c r="G254" s="280">
        <f t="shared" si="10"/>
        <v>8.1961226412346342</v>
      </c>
      <c r="H254" s="59">
        <f t="shared" si="11"/>
        <v>333632.31</v>
      </c>
    </row>
    <row r="255" spans="1:8" x14ac:dyDescent="0.25">
      <c r="A255" s="51">
        <f>'A) Base RI'!A257</f>
        <v>5841</v>
      </c>
      <c r="B255" s="58" t="str">
        <f>'A) Base RI'!B257</f>
        <v>Château-d'Oex</v>
      </c>
      <c r="C255" s="33">
        <f>'B) D RI'!Y257</f>
        <v>1131929.5999999999</v>
      </c>
      <c r="D255" s="15">
        <f>'B) D RI'!Z257</f>
        <v>6087.3</v>
      </c>
      <c r="E255" s="10">
        <f t="shared" si="9"/>
        <v>1138016.8999999999</v>
      </c>
      <c r="F255" s="15">
        <f>'B) D RI'!U257</f>
        <v>112619.72</v>
      </c>
      <c r="G255" s="280">
        <f t="shared" si="10"/>
        <v>10.104952312081755</v>
      </c>
      <c r="H255" s="59">
        <f t="shared" si="11"/>
        <v>567790.98999999987</v>
      </c>
    </row>
    <row r="256" spans="1:8" x14ac:dyDescent="0.25">
      <c r="A256" s="51">
        <f>'A) Base RI'!A258</f>
        <v>5842</v>
      </c>
      <c r="B256" s="58" t="str">
        <f>'A) Base RI'!B258</f>
        <v>Rossinière</v>
      </c>
      <c r="C256" s="33">
        <f>'B) D RI'!Y258</f>
        <v>86037.7</v>
      </c>
      <c r="D256" s="15">
        <f>'B) D RI'!Z258</f>
        <v>0</v>
      </c>
      <c r="E256" s="10">
        <f t="shared" si="9"/>
        <v>86037.7</v>
      </c>
      <c r="F256" s="15">
        <f>'B) D RI'!U258</f>
        <v>12532.166460905351</v>
      </c>
      <c r="G256" s="280">
        <f t="shared" si="10"/>
        <v>6.8653492808604497</v>
      </c>
      <c r="H256" s="59">
        <f t="shared" si="11"/>
        <v>43018.85</v>
      </c>
    </row>
    <row r="257" spans="1:8" x14ac:dyDescent="0.25">
      <c r="A257" s="51">
        <f>'A) Base RI'!A259</f>
        <v>5843</v>
      </c>
      <c r="B257" s="58" t="str">
        <f>'A) Base RI'!B259</f>
        <v>Rougemont</v>
      </c>
      <c r="C257" s="33">
        <f>'B) D RI'!Y259</f>
        <v>956516.65</v>
      </c>
      <c r="D257" s="15">
        <f>'B) D RI'!Z259</f>
        <v>0</v>
      </c>
      <c r="E257" s="10">
        <f t="shared" si="9"/>
        <v>956516.65</v>
      </c>
      <c r="F257" s="15">
        <f>'B) D RI'!U259</f>
        <v>87898.663243243253</v>
      </c>
      <c r="G257" s="280">
        <f t="shared" si="10"/>
        <v>10.882038642078294</v>
      </c>
      <c r="H257" s="59">
        <f t="shared" si="11"/>
        <v>478258.32500000001</v>
      </c>
    </row>
    <row r="258" spans="1:8" x14ac:dyDescent="0.25">
      <c r="A258" s="51">
        <f>'A) Base RI'!A260</f>
        <v>5851</v>
      </c>
      <c r="B258" s="58" t="str">
        <f>'A) Base RI'!B260</f>
        <v>Allaman</v>
      </c>
      <c r="C258" s="33">
        <f>'B) D RI'!Y260</f>
        <v>68548.899999999994</v>
      </c>
      <c r="D258" s="15">
        <f>'B) D RI'!Z260</f>
        <v>27948.65</v>
      </c>
      <c r="E258" s="10">
        <f t="shared" si="9"/>
        <v>96497.549999999988</v>
      </c>
      <c r="F258" s="15">
        <f>'B) D RI'!U260</f>
        <v>28628.932741935481</v>
      </c>
      <c r="G258" s="280">
        <f t="shared" si="10"/>
        <v>3.3706303643883651</v>
      </c>
      <c r="H258" s="59">
        <f t="shared" si="11"/>
        <v>42659.044999999998</v>
      </c>
    </row>
    <row r="259" spans="1:8" x14ac:dyDescent="0.25">
      <c r="A259" s="51">
        <f>'A) Base RI'!A261</f>
        <v>5852</v>
      </c>
      <c r="B259" s="58" t="str">
        <f>'A) Base RI'!B261</f>
        <v>Bursinel</v>
      </c>
      <c r="C259" s="33">
        <f>'B) D RI'!Y261</f>
        <v>2996532</v>
      </c>
      <c r="D259" s="15">
        <f>'B) D RI'!Z261</f>
        <v>8338.25</v>
      </c>
      <c r="E259" s="10">
        <f t="shared" si="9"/>
        <v>3004870.25</v>
      </c>
      <c r="F259" s="15">
        <f>'B) D RI'!U261</f>
        <v>38777.824427480911</v>
      </c>
      <c r="G259" s="280">
        <f t="shared" si="10"/>
        <v>77.489397467861053</v>
      </c>
      <c r="H259" s="59">
        <f t="shared" si="11"/>
        <v>1500767.4750000001</v>
      </c>
    </row>
    <row r="260" spans="1:8" x14ac:dyDescent="0.25">
      <c r="A260" s="51">
        <f>'A) Base RI'!A262</f>
        <v>5853</v>
      </c>
      <c r="B260" s="58" t="str">
        <f>'A) Base RI'!B262</f>
        <v>Bursins</v>
      </c>
      <c r="C260" s="33">
        <f>'B) D RI'!Y262</f>
        <v>289218.5</v>
      </c>
      <c r="D260" s="15">
        <f>'B) D RI'!Z262</f>
        <v>24763.7</v>
      </c>
      <c r="E260" s="10">
        <f t="shared" si="9"/>
        <v>313982.2</v>
      </c>
      <c r="F260" s="15">
        <f>'B) D RI'!U262</f>
        <v>36130.042112676056</v>
      </c>
      <c r="G260" s="280">
        <f t="shared" si="10"/>
        <v>8.6903358435289739</v>
      </c>
      <c r="H260" s="59">
        <f t="shared" si="11"/>
        <v>152038.35999999999</v>
      </c>
    </row>
    <row r="261" spans="1:8" x14ac:dyDescent="0.25">
      <c r="A261" s="51">
        <f>'A) Base RI'!A263</f>
        <v>5854</v>
      </c>
      <c r="B261" s="58" t="str">
        <f>'A) Base RI'!B263</f>
        <v>Burtigny</v>
      </c>
      <c r="C261" s="33">
        <f>'B) D RI'!Y263</f>
        <v>128155.75</v>
      </c>
      <c r="D261" s="15">
        <f>'B) D RI'!Z263</f>
        <v>17103</v>
      </c>
      <c r="E261" s="10">
        <f t="shared" si="9"/>
        <v>145258.75</v>
      </c>
      <c r="F261" s="15">
        <f>'B) D RI'!U263</f>
        <v>10180.844041666667</v>
      </c>
      <c r="G261" s="280">
        <f t="shared" si="10"/>
        <v>14.267849444064389</v>
      </c>
      <c r="H261" s="59">
        <f t="shared" si="11"/>
        <v>69208.774999999994</v>
      </c>
    </row>
    <row r="262" spans="1:8" x14ac:dyDescent="0.25">
      <c r="A262" s="51">
        <f>'A) Base RI'!A264</f>
        <v>5855</v>
      </c>
      <c r="B262" s="58" t="str">
        <f>'A) Base RI'!B264</f>
        <v>Dully</v>
      </c>
      <c r="C262" s="33">
        <f>'B) D RI'!Y264</f>
        <v>183485.7</v>
      </c>
      <c r="D262" s="15">
        <f>'B) D RI'!Z264</f>
        <v>1345.35</v>
      </c>
      <c r="E262" s="10">
        <f t="shared" ref="E262:E313" si="12">C262+D262</f>
        <v>184831.05000000002</v>
      </c>
      <c r="F262" s="15">
        <f>'B) D RI'!U264</f>
        <v>78426.610408163266</v>
      </c>
      <c r="G262" s="280">
        <f t="shared" ref="G262:G313" si="13">E262/F262</f>
        <v>2.3567389823181921</v>
      </c>
      <c r="H262" s="59">
        <f t="shared" ref="H262:H313" si="14">(C262*$C$4)+(D262*$D$4)</f>
        <v>92146.455000000002</v>
      </c>
    </row>
    <row r="263" spans="1:8" x14ac:dyDescent="0.25">
      <c r="A263" s="51">
        <f>'A) Base RI'!A265</f>
        <v>5856</v>
      </c>
      <c r="B263" s="58" t="str">
        <f>'A) Base RI'!B265</f>
        <v>Essertines-sur-Rolle</v>
      </c>
      <c r="C263" s="33">
        <f>'B) D RI'!Y265</f>
        <v>318284.85000000003</v>
      </c>
      <c r="D263" s="15">
        <f>'B) D RI'!Z265</f>
        <v>3050.8</v>
      </c>
      <c r="E263" s="10">
        <f t="shared" si="12"/>
        <v>321335.65000000002</v>
      </c>
      <c r="F263" s="15">
        <f>'B) D RI'!U265</f>
        <v>34355.55787330318</v>
      </c>
      <c r="G263" s="280">
        <f t="shared" si="13"/>
        <v>9.3532362706792682</v>
      </c>
      <c r="H263" s="59">
        <f t="shared" si="14"/>
        <v>160057.66500000001</v>
      </c>
    </row>
    <row r="264" spans="1:8" x14ac:dyDescent="0.25">
      <c r="A264" s="51">
        <f>'A) Base RI'!A266</f>
        <v>5857</v>
      </c>
      <c r="B264" s="58" t="str">
        <f>'A) Base RI'!B266</f>
        <v>Gilly</v>
      </c>
      <c r="C264" s="33">
        <f>'B) D RI'!Y266</f>
        <v>483046.05000000005</v>
      </c>
      <c r="D264" s="15">
        <f>'B) D RI'!Z266</f>
        <v>88455.1</v>
      </c>
      <c r="E264" s="10">
        <f t="shared" si="12"/>
        <v>571501.15</v>
      </c>
      <c r="F264" s="15">
        <f>'B) D RI'!U266</f>
        <v>76893.262272727268</v>
      </c>
      <c r="G264" s="280">
        <f t="shared" si="13"/>
        <v>7.4323956756182756</v>
      </c>
      <c r="H264" s="59">
        <f t="shared" si="14"/>
        <v>268059.55500000005</v>
      </c>
    </row>
    <row r="265" spans="1:8" x14ac:dyDescent="0.25">
      <c r="A265" s="51">
        <f>'A) Base RI'!A267</f>
        <v>5858</v>
      </c>
      <c r="B265" s="58" t="str">
        <f>'A) Base RI'!B267</f>
        <v>Luins</v>
      </c>
      <c r="C265" s="33">
        <f>'B) D RI'!Y267</f>
        <v>105354.54999999999</v>
      </c>
      <c r="D265" s="15">
        <f>'B) D RI'!Z267</f>
        <v>9337.1</v>
      </c>
      <c r="E265" s="10">
        <f t="shared" si="12"/>
        <v>114691.65</v>
      </c>
      <c r="F265" s="15">
        <f>'B) D RI'!U267</f>
        <v>34234.109777777776</v>
      </c>
      <c r="G265" s="280">
        <f t="shared" si="13"/>
        <v>3.35021564002956</v>
      </c>
      <c r="H265" s="59">
        <f t="shared" si="14"/>
        <v>55478.404999999992</v>
      </c>
    </row>
    <row r="266" spans="1:8" x14ac:dyDescent="0.25">
      <c r="A266" s="51">
        <f>'A) Base RI'!A268</f>
        <v>5859</v>
      </c>
      <c r="B266" s="58" t="str">
        <f>'A) Base RI'!B268</f>
        <v>Mont-sur-Rolle</v>
      </c>
      <c r="C266" s="33">
        <f>'B) D RI'!Y268</f>
        <v>1144240.55</v>
      </c>
      <c r="D266" s="15">
        <f>'B) D RI'!Z268</f>
        <v>96183.6</v>
      </c>
      <c r="E266" s="10">
        <f t="shared" si="12"/>
        <v>1240424.1500000001</v>
      </c>
      <c r="F266" s="15">
        <f>'B) D RI'!U268</f>
        <v>136889.24374999999</v>
      </c>
      <c r="G266" s="280">
        <f t="shared" si="13"/>
        <v>9.0615165663810622</v>
      </c>
      <c r="H266" s="59">
        <f t="shared" si="14"/>
        <v>600975.35499999998</v>
      </c>
    </row>
    <row r="267" spans="1:8" x14ac:dyDescent="0.25">
      <c r="A267" s="51">
        <f>'A) Base RI'!A269</f>
        <v>5860</v>
      </c>
      <c r="B267" s="58" t="str">
        <f>'A) Base RI'!B269</f>
        <v>Perroy</v>
      </c>
      <c r="C267" s="33">
        <f>'B) D RI'!Y269</f>
        <v>593923.05000000005</v>
      </c>
      <c r="D267" s="15">
        <f>'B) D RI'!Z269</f>
        <v>19488.349999999999</v>
      </c>
      <c r="E267" s="10">
        <f t="shared" si="12"/>
        <v>613411.4</v>
      </c>
      <c r="F267" s="15">
        <f>'B) D RI'!U269</f>
        <v>87860.762038461558</v>
      </c>
      <c r="G267" s="280">
        <f t="shared" si="13"/>
        <v>6.9816307731484919</v>
      </c>
      <c r="H267" s="59">
        <f t="shared" si="14"/>
        <v>302808.03000000003</v>
      </c>
    </row>
    <row r="268" spans="1:8" x14ac:dyDescent="0.25">
      <c r="A268" s="51">
        <f>'A) Base RI'!A270</f>
        <v>5861</v>
      </c>
      <c r="B268" s="58" t="str">
        <f>'A) Base RI'!B270</f>
        <v>Rolle</v>
      </c>
      <c r="C268" s="33">
        <f>'B) D RI'!Y270</f>
        <v>1276098.2</v>
      </c>
      <c r="D268" s="15">
        <f>'B) D RI'!Z270</f>
        <v>673413.7</v>
      </c>
      <c r="E268" s="10">
        <f t="shared" si="12"/>
        <v>1949511.9</v>
      </c>
      <c r="F268" s="15">
        <f>'B) D RI'!U270</f>
        <v>824107.17394957971</v>
      </c>
      <c r="G268" s="280">
        <f t="shared" si="13"/>
        <v>2.3656048164911065</v>
      </c>
      <c r="H268" s="59">
        <f t="shared" si="14"/>
        <v>840073.21</v>
      </c>
    </row>
    <row r="269" spans="1:8" x14ac:dyDescent="0.25">
      <c r="A269" s="51">
        <f>'A) Base RI'!A271</f>
        <v>5862</v>
      </c>
      <c r="B269" s="58" t="str">
        <f>'A) Base RI'!B271</f>
        <v>Tartegnin</v>
      </c>
      <c r="C269" s="33">
        <f>'B) D RI'!Y271</f>
        <v>143354.9</v>
      </c>
      <c r="D269" s="15">
        <f>'B) D RI'!Z271</f>
        <v>4117.75</v>
      </c>
      <c r="E269" s="10">
        <f t="shared" si="12"/>
        <v>147472.65</v>
      </c>
      <c r="F269" s="15">
        <f>'B) D RI'!U271</f>
        <v>10629.942633744855</v>
      </c>
      <c r="G269" s="280">
        <f t="shared" si="13"/>
        <v>13.873325104488019</v>
      </c>
      <c r="H269" s="59">
        <f t="shared" si="14"/>
        <v>72912.774999999994</v>
      </c>
    </row>
    <row r="270" spans="1:8" x14ac:dyDescent="0.25">
      <c r="A270" s="51">
        <f>'A) Base RI'!A272</f>
        <v>5863</v>
      </c>
      <c r="B270" s="58" t="str">
        <f>'A) Base RI'!B272</f>
        <v>Vinzel</v>
      </c>
      <c r="C270" s="33">
        <f>'B) D RI'!Y272</f>
        <v>1375.2</v>
      </c>
      <c r="D270" s="15">
        <f>'B) D RI'!Z272</f>
        <v>24160.55</v>
      </c>
      <c r="E270" s="10">
        <f t="shared" si="12"/>
        <v>25535.75</v>
      </c>
      <c r="F270" s="15">
        <f>'B) D RI'!U272</f>
        <v>22869.43104477612</v>
      </c>
      <c r="G270" s="280">
        <f t="shared" si="13"/>
        <v>1.1165887752084207</v>
      </c>
      <c r="H270" s="59">
        <f t="shared" si="14"/>
        <v>7935.7650000000003</v>
      </c>
    </row>
    <row r="271" spans="1:8" x14ac:dyDescent="0.25">
      <c r="A271" s="51">
        <f>'A) Base RI'!A273</f>
        <v>5871</v>
      </c>
      <c r="B271" s="58" t="str">
        <f>'A) Base RI'!B273</f>
        <v>L'Abbaye</v>
      </c>
      <c r="C271" s="33">
        <f>'B) D RI'!Y273</f>
        <v>242465.55</v>
      </c>
      <c r="D271" s="15">
        <f>'B) D RI'!Z273</f>
        <v>728755.45</v>
      </c>
      <c r="E271" s="10">
        <f t="shared" si="12"/>
        <v>971221</v>
      </c>
      <c r="F271" s="15">
        <f>'B) D RI'!U273</f>
        <v>47794.781759379046</v>
      </c>
      <c r="G271" s="280">
        <f t="shared" si="13"/>
        <v>20.320649331334412</v>
      </c>
      <c r="H271" s="59">
        <f t="shared" si="14"/>
        <v>339859.41</v>
      </c>
    </row>
    <row r="272" spans="1:8" x14ac:dyDescent="0.25">
      <c r="A272" s="51">
        <f>'A) Base RI'!A274</f>
        <v>5872</v>
      </c>
      <c r="B272" s="58" t="str">
        <f>'A) Base RI'!B274</f>
        <v>Le Chenit</v>
      </c>
      <c r="C272" s="33">
        <f>'B) D RI'!Y274</f>
        <v>691996.70000000007</v>
      </c>
      <c r="D272" s="15">
        <f>'B) D RI'!Z274</f>
        <v>4996793.5999999996</v>
      </c>
      <c r="E272" s="10">
        <f t="shared" si="12"/>
        <v>5688790.2999999998</v>
      </c>
      <c r="F272" s="15">
        <f>'B) D RI'!U274</f>
        <v>222566.8809866097</v>
      </c>
      <c r="G272" s="280">
        <f t="shared" si="13"/>
        <v>25.559913832562781</v>
      </c>
      <c r="H272" s="59">
        <f t="shared" si="14"/>
        <v>1845036.43</v>
      </c>
    </row>
    <row r="273" spans="1:8" x14ac:dyDescent="0.25">
      <c r="A273" s="51">
        <f>'A) Base RI'!A275</f>
        <v>5873</v>
      </c>
      <c r="B273" s="58" t="str">
        <f>'A) Base RI'!B275</f>
        <v>Le Lieu</v>
      </c>
      <c r="C273" s="33">
        <f>'B) D RI'!Y275</f>
        <v>53801.850000000006</v>
      </c>
      <c r="D273" s="15">
        <f>'B) D RI'!Z275</f>
        <v>848439.35</v>
      </c>
      <c r="E273" s="10">
        <f t="shared" si="12"/>
        <v>902241.2</v>
      </c>
      <c r="F273" s="15">
        <f>'B) D RI'!U275</f>
        <v>33457.98871794872</v>
      </c>
      <c r="G273" s="280">
        <f t="shared" si="13"/>
        <v>26.966390825399131</v>
      </c>
      <c r="H273" s="59">
        <f t="shared" si="14"/>
        <v>281432.73</v>
      </c>
    </row>
    <row r="274" spans="1:8" x14ac:dyDescent="0.25">
      <c r="A274" s="51">
        <f>'A) Base RI'!A276</f>
        <v>5881</v>
      </c>
      <c r="B274" s="58" t="str">
        <f>'A) Base RI'!B276</f>
        <v>Blonay</v>
      </c>
      <c r="C274" s="33">
        <f>'B) D RI'!Y276</f>
        <v>1244796.8500000001</v>
      </c>
      <c r="D274" s="15">
        <f>'B) D RI'!Z276</f>
        <v>83809.45</v>
      </c>
      <c r="E274" s="10">
        <f t="shared" si="12"/>
        <v>1328606.3</v>
      </c>
      <c r="F274" s="15">
        <f>'B) D RI'!U276</f>
        <v>339692.04942857131</v>
      </c>
      <c r="G274" s="280">
        <f t="shared" si="13"/>
        <v>3.9112081140402801</v>
      </c>
      <c r="H274" s="59">
        <f t="shared" si="14"/>
        <v>647541.26</v>
      </c>
    </row>
    <row r="275" spans="1:8" x14ac:dyDescent="0.25">
      <c r="A275" s="51">
        <f>'A) Base RI'!A277</f>
        <v>5882</v>
      </c>
      <c r="B275" s="58" t="str">
        <f>'A) Base RI'!B277</f>
        <v>Chardonne</v>
      </c>
      <c r="C275" s="33">
        <f>'B) D RI'!Y277</f>
        <v>2555930.1</v>
      </c>
      <c r="D275" s="15">
        <f>'B) D RI'!Z277</f>
        <v>15528.4</v>
      </c>
      <c r="E275" s="10">
        <f t="shared" si="12"/>
        <v>2571458.5</v>
      </c>
      <c r="F275" s="15">
        <f>'B) D RI'!U277</f>
        <v>157386.77911764712</v>
      </c>
      <c r="G275" s="280">
        <f t="shared" si="13"/>
        <v>16.338465749259832</v>
      </c>
      <c r="H275" s="59">
        <f t="shared" si="14"/>
        <v>1282623.57</v>
      </c>
    </row>
    <row r="276" spans="1:8" x14ac:dyDescent="0.25">
      <c r="A276" s="51">
        <f>'A) Base RI'!A278</f>
        <v>5883</v>
      </c>
      <c r="B276" s="58" t="str">
        <f>'A) Base RI'!B278</f>
        <v>Corseaux</v>
      </c>
      <c r="C276" s="33">
        <f>'B) D RI'!Y278</f>
        <v>863133.39999999991</v>
      </c>
      <c r="D276" s="15">
        <f>'B) D RI'!Z278</f>
        <v>0</v>
      </c>
      <c r="E276" s="10">
        <f t="shared" si="12"/>
        <v>863133.39999999991</v>
      </c>
      <c r="F276" s="15">
        <f>'B) D RI'!U278</f>
        <v>151056.33637681158</v>
      </c>
      <c r="G276" s="280">
        <f t="shared" si="13"/>
        <v>5.7139834097849747</v>
      </c>
      <c r="H276" s="59">
        <f t="shared" si="14"/>
        <v>431566.69999999995</v>
      </c>
    </row>
    <row r="277" spans="1:8" x14ac:dyDescent="0.25">
      <c r="A277" s="51">
        <f>'A) Base RI'!A279</f>
        <v>5884</v>
      </c>
      <c r="B277" s="58" t="str">
        <f>'A) Base RI'!B279</f>
        <v>Corsier-sur-Vevey</v>
      </c>
      <c r="C277" s="33">
        <f>'B) D RI'!Y279</f>
        <v>562820.55000000005</v>
      </c>
      <c r="D277" s="15">
        <f>'B) D RI'!Z279</f>
        <v>469080.1</v>
      </c>
      <c r="E277" s="10">
        <f t="shared" si="12"/>
        <v>1031900.65</v>
      </c>
      <c r="F277" s="15">
        <f>'B) D RI'!U279</f>
        <v>131937.87883838385</v>
      </c>
      <c r="G277" s="280">
        <f t="shared" si="13"/>
        <v>7.8211098972116844</v>
      </c>
      <c r="H277" s="59">
        <f t="shared" si="14"/>
        <v>422134.30500000005</v>
      </c>
    </row>
    <row r="278" spans="1:8" x14ac:dyDescent="0.25">
      <c r="A278" s="51">
        <f>'A) Base RI'!A280</f>
        <v>5885</v>
      </c>
      <c r="B278" s="58" t="str">
        <f>'A) Base RI'!B280</f>
        <v>Jongny</v>
      </c>
      <c r="C278" s="33">
        <f>'B) D RI'!Y280</f>
        <v>657335.65</v>
      </c>
      <c r="D278" s="15">
        <f>'B) D RI'!Z280</f>
        <v>7550.35</v>
      </c>
      <c r="E278" s="10">
        <f t="shared" si="12"/>
        <v>664886</v>
      </c>
      <c r="F278" s="15">
        <f>'B) D RI'!U280</f>
        <v>94073.949178403767</v>
      </c>
      <c r="G278" s="280">
        <f t="shared" si="13"/>
        <v>7.0676952100639099</v>
      </c>
      <c r="H278" s="59">
        <f t="shared" si="14"/>
        <v>330932.93</v>
      </c>
    </row>
    <row r="279" spans="1:8" x14ac:dyDescent="0.25">
      <c r="A279" s="51">
        <f>'A) Base RI'!A281</f>
        <v>5886</v>
      </c>
      <c r="B279" s="58" t="str">
        <f>'A) Base RI'!B281</f>
        <v>Montreux</v>
      </c>
      <c r="C279" s="33">
        <f>'B) D RI'!Y281</f>
        <v>15859915.9</v>
      </c>
      <c r="D279" s="15">
        <f>'B) D RI'!Z281</f>
        <v>677240.75</v>
      </c>
      <c r="E279" s="10">
        <f t="shared" si="12"/>
        <v>16537156.65</v>
      </c>
      <c r="F279" s="15">
        <f>'B) D RI'!U281</f>
        <v>1128562.492051282</v>
      </c>
      <c r="G279" s="280">
        <f t="shared" si="13"/>
        <v>14.653292809636058</v>
      </c>
      <c r="H279" s="59">
        <f t="shared" si="14"/>
        <v>8133130.1749999998</v>
      </c>
    </row>
    <row r="280" spans="1:8" x14ac:dyDescent="0.25">
      <c r="A280" s="51">
        <f>'A) Base RI'!A282</f>
        <v>5888</v>
      </c>
      <c r="B280" s="58" t="str">
        <f>'A) Base RI'!B282</f>
        <v>Saint-Légier-La Chiésaz</v>
      </c>
      <c r="C280" s="33">
        <f>'B) D RI'!Y282</f>
        <v>1917149.5</v>
      </c>
      <c r="D280" s="15">
        <f>'B) D RI'!Z282</f>
        <v>154863.9</v>
      </c>
      <c r="E280" s="10">
        <f t="shared" si="12"/>
        <v>2072013.4</v>
      </c>
      <c r="F280" s="15">
        <f>'B) D RI'!U282</f>
        <v>294301.72840796027</v>
      </c>
      <c r="G280" s="280">
        <f t="shared" si="13"/>
        <v>7.0404391139958937</v>
      </c>
      <c r="H280" s="59">
        <f t="shared" si="14"/>
        <v>1005033.92</v>
      </c>
    </row>
    <row r="281" spans="1:8" x14ac:dyDescent="0.25">
      <c r="A281" s="51">
        <f>'A) Base RI'!A283</f>
        <v>5889</v>
      </c>
      <c r="B281" s="58" t="str">
        <f>'A) Base RI'!B283</f>
        <v>La Tour-de-Peilz</v>
      </c>
      <c r="C281" s="33">
        <f>'B) D RI'!Y283</f>
        <v>3514825.6500000004</v>
      </c>
      <c r="D281" s="15">
        <f>'B) D RI'!Z283</f>
        <v>130445.55</v>
      </c>
      <c r="E281" s="10">
        <f t="shared" si="12"/>
        <v>3645271.2</v>
      </c>
      <c r="F281" s="15">
        <f>'B) D RI'!U283</f>
        <v>666166.0371614584</v>
      </c>
      <c r="G281" s="280">
        <f t="shared" si="13"/>
        <v>5.4720159789780718</v>
      </c>
      <c r="H281" s="59">
        <f t="shared" si="14"/>
        <v>1796546.4900000002</v>
      </c>
    </row>
    <row r="282" spans="1:8" x14ac:dyDescent="0.25">
      <c r="A282" s="51">
        <f>'A) Base RI'!A284</f>
        <v>5890</v>
      </c>
      <c r="B282" s="58" t="str">
        <f>'A) Base RI'!B284</f>
        <v>Vevey</v>
      </c>
      <c r="C282" s="33">
        <f>'B) D RI'!Y284</f>
        <v>5592582.0999999996</v>
      </c>
      <c r="D282" s="15">
        <f>'B) D RI'!Z284</f>
        <v>904038.35</v>
      </c>
      <c r="E282" s="10">
        <f t="shared" si="12"/>
        <v>6496620.4499999993</v>
      </c>
      <c r="F282" s="15">
        <f>'B) D RI'!U284</f>
        <v>976058.24146118714</v>
      </c>
      <c r="G282" s="280">
        <f t="shared" si="13"/>
        <v>6.6559762256342125</v>
      </c>
      <c r="H282" s="59">
        <f t="shared" si="14"/>
        <v>3067502.5549999997</v>
      </c>
    </row>
    <row r="283" spans="1:8" x14ac:dyDescent="0.25">
      <c r="A283" s="51">
        <f>'A) Base RI'!A285</f>
        <v>5891</v>
      </c>
      <c r="B283" s="58" t="str">
        <f>'A) Base RI'!B285</f>
        <v>Veytaux</v>
      </c>
      <c r="C283" s="33">
        <f>'B) D RI'!Y285</f>
        <v>243347.3</v>
      </c>
      <c r="D283" s="15">
        <f>'B) D RI'!Z285</f>
        <v>0</v>
      </c>
      <c r="E283" s="10">
        <f t="shared" si="12"/>
        <v>243347.3</v>
      </c>
      <c r="F283" s="15">
        <f>'B) D RI'!U285</f>
        <v>35228.276473429949</v>
      </c>
      <c r="G283" s="280">
        <f t="shared" si="13"/>
        <v>6.9077265299521144</v>
      </c>
      <c r="H283" s="59">
        <f t="shared" si="14"/>
        <v>121673.65</v>
      </c>
    </row>
    <row r="284" spans="1:8" x14ac:dyDescent="0.25">
      <c r="A284" s="51">
        <f>'A) Base RI'!A286</f>
        <v>5902</v>
      </c>
      <c r="B284" s="58" t="str">
        <f>'A) Base RI'!B286</f>
        <v>Belmont-sur-Yverdon</v>
      </c>
      <c r="C284" s="33">
        <f>'B) D RI'!Y286</f>
        <v>63432.7</v>
      </c>
      <c r="D284" s="15">
        <f>'B) D RI'!Z286</f>
        <v>0</v>
      </c>
      <c r="E284" s="10">
        <f t="shared" si="12"/>
        <v>63432.7</v>
      </c>
      <c r="F284" s="15">
        <f>'B) D RI'!U286</f>
        <v>9905.4513157894726</v>
      </c>
      <c r="G284" s="280">
        <f t="shared" si="13"/>
        <v>6.4038172494863614</v>
      </c>
      <c r="H284" s="59">
        <f t="shared" si="14"/>
        <v>31716.35</v>
      </c>
    </row>
    <row r="285" spans="1:8" x14ac:dyDescent="0.25">
      <c r="A285" s="51">
        <f>'A) Base RI'!A287</f>
        <v>5903</v>
      </c>
      <c r="B285" s="58" t="str">
        <f>'A) Base RI'!B287</f>
        <v>Bioley-Magnoux</v>
      </c>
      <c r="C285" s="33">
        <f>'B) D RI'!Y287</f>
        <v>27000.5</v>
      </c>
      <c r="D285" s="15">
        <f>'B) D RI'!Z287</f>
        <v>6652.7</v>
      </c>
      <c r="E285" s="10">
        <f t="shared" si="12"/>
        <v>33653.199999999997</v>
      </c>
      <c r="F285" s="15">
        <f>'B) D RI'!U287</f>
        <v>5979.8765830115835</v>
      </c>
      <c r="G285" s="280">
        <f t="shared" si="13"/>
        <v>5.6277415650360432</v>
      </c>
      <c r="H285" s="59">
        <f t="shared" si="14"/>
        <v>15496.06</v>
      </c>
    </row>
    <row r="286" spans="1:8" x14ac:dyDescent="0.25">
      <c r="A286" s="51">
        <f>'A) Base RI'!A288</f>
        <v>5904</v>
      </c>
      <c r="B286" s="58" t="str">
        <f>'A) Base RI'!B288</f>
        <v>Chamblon</v>
      </c>
      <c r="C286" s="33">
        <f>'B) D RI'!Y288</f>
        <v>83550.400000000009</v>
      </c>
      <c r="D286" s="15">
        <f>'B) D RI'!Z288</f>
        <v>31716.6</v>
      </c>
      <c r="E286" s="10">
        <f t="shared" si="12"/>
        <v>115267</v>
      </c>
      <c r="F286" s="15">
        <f>'B) D RI'!U288</f>
        <v>21723.445757575762</v>
      </c>
      <c r="G286" s="280">
        <f t="shared" si="13"/>
        <v>5.3061103328785748</v>
      </c>
      <c r="H286" s="59">
        <f t="shared" si="14"/>
        <v>51290.180000000008</v>
      </c>
    </row>
    <row r="287" spans="1:8" x14ac:dyDescent="0.25">
      <c r="A287" s="51">
        <f>'A) Base RI'!A289</f>
        <v>5905</v>
      </c>
      <c r="B287" s="58" t="str">
        <f>'A) Base RI'!B289</f>
        <v>Champvent</v>
      </c>
      <c r="C287" s="33">
        <f>'B) D RI'!Y289</f>
        <v>48934.85</v>
      </c>
      <c r="D287" s="15">
        <f>'B) D RI'!Z289</f>
        <v>111826.35</v>
      </c>
      <c r="E287" s="10">
        <f t="shared" si="12"/>
        <v>160761.20000000001</v>
      </c>
      <c r="F287" s="15">
        <f>'B) D RI'!U289</f>
        <v>23277.051267605631</v>
      </c>
      <c r="G287" s="280">
        <f t="shared" si="13"/>
        <v>6.9064246219077274</v>
      </c>
      <c r="H287" s="59">
        <f t="shared" si="14"/>
        <v>58015.33</v>
      </c>
    </row>
    <row r="288" spans="1:8" x14ac:dyDescent="0.25">
      <c r="A288" s="51">
        <f>'A) Base RI'!A290</f>
        <v>5907</v>
      </c>
      <c r="B288" s="58" t="str">
        <f>'A) Base RI'!B290</f>
        <v>Chavannes-le-Chêne</v>
      </c>
      <c r="C288" s="33">
        <f>'B) D RI'!Y290</f>
        <v>9397.1999999999989</v>
      </c>
      <c r="D288" s="15">
        <f>'B) D RI'!Z290</f>
        <v>6237</v>
      </c>
      <c r="E288" s="10">
        <f t="shared" si="12"/>
        <v>15634.199999999999</v>
      </c>
      <c r="F288" s="15">
        <f>'B) D RI'!U290</f>
        <v>8647.1699999999983</v>
      </c>
      <c r="G288" s="280">
        <f t="shared" si="13"/>
        <v>1.8080134888061645</v>
      </c>
      <c r="H288" s="59">
        <f t="shared" si="14"/>
        <v>6569.6999999999989</v>
      </c>
    </row>
    <row r="289" spans="1:8" x14ac:dyDescent="0.25">
      <c r="A289" s="51">
        <f>'A) Base RI'!A291</f>
        <v>5908</v>
      </c>
      <c r="B289" s="58" t="str">
        <f>'A) Base RI'!B291</f>
        <v>Chêne-Pâquier</v>
      </c>
      <c r="C289" s="33">
        <f>'B) D RI'!Y291</f>
        <v>2839.6499999999996</v>
      </c>
      <c r="D289" s="15">
        <f>'B) D RI'!Z291</f>
        <v>0</v>
      </c>
      <c r="E289" s="10">
        <f t="shared" si="12"/>
        <v>2839.6499999999996</v>
      </c>
      <c r="F289" s="15">
        <f>'B) D RI'!U291</f>
        <v>2751.637341772152</v>
      </c>
      <c r="G289" s="280">
        <f t="shared" si="13"/>
        <v>1.0319855588858831</v>
      </c>
      <c r="H289" s="59">
        <f t="shared" si="14"/>
        <v>1419.8249999999998</v>
      </c>
    </row>
    <row r="290" spans="1:8" x14ac:dyDescent="0.25">
      <c r="A290" s="51">
        <f>'A) Base RI'!A292</f>
        <v>5909</v>
      </c>
      <c r="B290" s="58" t="str">
        <f>'A) Base RI'!B292</f>
        <v>Cheseaux-Noréaz</v>
      </c>
      <c r="C290" s="33">
        <f>'B) D RI'!Y292</f>
        <v>267872</v>
      </c>
      <c r="D290" s="15">
        <f>'B) D RI'!Z292</f>
        <v>11017.75</v>
      </c>
      <c r="E290" s="10">
        <f t="shared" si="12"/>
        <v>278889.75</v>
      </c>
      <c r="F290" s="15">
        <f>'B) D RI'!U292</f>
        <v>27973.27357142857</v>
      </c>
      <c r="G290" s="280">
        <f t="shared" si="13"/>
        <v>9.9698646026489115</v>
      </c>
      <c r="H290" s="59">
        <f t="shared" si="14"/>
        <v>137241.32500000001</v>
      </c>
    </row>
    <row r="291" spans="1:8" x14ac:dyDescent="0.25">
      <c r="A291" s="51">
        <f>'A) Base RI'!A293</f>
        <v>5910</v>
      </c>
      <c r="B291" s="58" t="str">
        <f>'A) Base RI'!B293</f>
        <v>Cronay</v>
      </c>
      <c r="C291" s="33">
        <f>'B) D RI'!Y293</f>
        <v>8450.35</v>
      </c>
      <c r="D291" s="15">
        <f>'B) D RI'!Z293</f>
        <v>0</v>
      </c>
      <c r="E291" s="10">
        <f t="shared" si="12"/>
        <v>8450.35</v>
      </c>
      <c r="F291" s="15">
        <f>'B) D RI'!U293</f>
        <v>10127.988607594936</v>
      </c>
      <c r="G291" s="280">
        <f t="shared" si="13"/>
        <v>0.83435619128393557</v>
      </c>
      <c r="H291" s="59">
        <f t="shared" si="14"/>
        <v>4225.1750000000002</v>
      </c>
    </row>
    <row r="292" spans="1:8" x14ac:dyDescent="0.25">
      <c r="A292" s="51">
        <f>'A) Base RI'!A294</f>
        <v>5911</v>
      </c>
      <c r="B292" s="58" t="str">
        <f>'A) Base RI'!B294</f>
        <v>Cuarny</v>
      </c>
      <c r="C292" s="33">
        <f>'B) D RI'!Y294</f>
        <v>10588.650000000001</v>
      </c>
      <c r="D292" s="15">
        <f>'B) D RI'!Z294</f>
        <v>0</v>
      </c>
      <c r="E292" s="10">
        <f t="shared" si="12"/>
        <v>10588.650000000001</v>
      </c>
      <c r="F292" s="15">
        <f>'B) D RI'!U294</f>
        <v>7075.4874683544303</v>
      </c>
      <c r="G292" s="280">
        <f t="shared" si="13"/>
        <v>1.4965258644522255</v>
      </c>
      <c r="H292" s="59">
        <f t="shared" si="14"/>
        <v>5294.3250000000007</v>
      </c>
    </row>
    <row r="293" spans="1:8" x14ac:dyDescent="0.25">
      <c r="A293" s="51">
        <f>'A) Base RI'!A295</f>
        <v>5912</v>
      </c>
      <c r="B293" s="58" t="str">
        <f>'A) Base RI'!B295</f>
        <v>Démoret</v>
      </c>
      <c r="C293" s="33">
        <f>'B) D RI'!Y295</f>
        <v>14260.35</v>
      </c>
      <c r="D293" s="15">
        <f>'B) D RI'!Z295</f>
        <v>0</v>
      </c>
      <c r="E293" s="10">
        <f t="shared" si="12"/>
        <v>14260.35</v>
      </c>
      <c r="F293" s="15">
        <f>'B) D RI'!U295</f>
        <v>3190.0809876543208</v>
      </c>
      <c r="G293" s="280">
        <f t="shared" si="13"/>
        <v>4.4702156638617794</v>
      </c>
      <c r="H293" s="59">
        <f t="shared" si="14"/>
        <v>7130.1750000000002</v>
      </c>
    </row>
    <row r="294" spans="1:8" x14ac:dyDescent="0.25">
      <c r="A294" s="51">
        <f>'A) Base RI'!A296</f>
        <v>5913</v>
      </c>
      <c r="B294" s="58" t="str">
        <f>'A) Base RI'!B296</f>
        <v>Donneloye</v>
      </c>
      <c r="C294" s="33">
        <f>'B) D RI'!Y296</f>
        <v>77765.2</v>
      </c>
      <c r="D294" s="15">
        <f>'B) D RI'!Z296</f>
        <v>20008.099999999999</v>
      </c>
      <c r="E294" s="10">
        <f t="shared" si="12"/>
        <v>97773.299999999988</v>
      </c>
      <c r="F294" s="15">
        <f>'B) D RI'!U296</f>
        <v>20217.518082191778</v>
      </c>
      <c r="G294" s="280">
        <f t="shared" si="13"/>
        <v>4.8360683839883274</v>
      </c>
      <c r="H294" s="59">
        <f t="shared" si="14"/>
        <v>44885.03</v>
      </c>
    </row>
    <row r="295" spans="1:8" x14ac:dyDescent="0.25">
      <c r="A295" s="51">
        <f>'A) Base RI'!A297</f>
        <v>5914</v>
      </c>
      <c r="B295" s="58" t="str">
        <f>'A) Base RI'!B297</f>
        <v>Ependes</v>
      </c>
      <c r="C295" s="33">
        <f>'B) D RI'!Y297</f>
        <v>37719.9</v>
      </c>
      <c r="D295" s="15">
        <f>'B) D RI'!Z297</f>
        <v>0</v>
      </c>
      <c r="E295" s="10">
        <f t="shared" si="12"/>
        <v>37719.9</v>
      </c>
      <c r="F295" s="15">
        <f>'B) D RI'!U297</f>
        <v>9998.8652000000002</v>
      </c>
      <c r="G295" s="280">
        <f t="shared" si="13"/>
        <v>3.7724180940053076</v>
      </c>
      <c r="H295" s="59">
        <f t="shared" si="14"/>
        <v>18859.95</v>
      </c>
    </row>
    <row r="296" spans="1:8" x14ac:dyDescent="0.25">
      <c r="A296" s="51">
        <f>'A) Base RI'!A298</f>
        <v>5919</v>
      </c>
      <c r="B296" s="58" t="str">
        <f>'A) Base RI'!B298</f>
        <v>Mathod</v>
      </c>
      <c r="C296" s="33">
        <f>'B) D RI'!Y298</f>
        <v>19790.849999999999</v>
      </c>
      <c r="D296" s="15">
        <f>'B) D RI'!Z298</f>
        <v>8491.2000000000007</v>
      </c>
      <c r="E296" s="10">
        <f t="shared" si="12"/>
        <v>28282.05</v>
      </c>
      <c r="F296" s="15">
        <f>'B) D RI'!U298</f>
        <v>15974.205138888889</v>
      </c>
      <c r="G296" s="280">
        <f t="shared" si="13"/>
        <v>1.7704824593211155</v>
      </c>
      <c r="H296" s="59">
        <f t="shared" si="14"/>
        <v>12442.785</v>
      </c>
    </row>
    <row r="297" spans="1:8" x14ac:dyDescent="0.25">
      <c r="A297" s="51">
        <f>'A) Base RI'!A299</f>
        <v>5921</v>
      </c>
      <c r="B297" s="58" t="str">
        <f>'A) Base RI'!B299</f>
        <v>Molondin</v>
      </c>
      <c r="C297" s="33">
        <f>'B) D RI'!Y299</f>
        <v>23944.3</v>
      </c>
      <c r="D297" s="15">
        <f>'B) D RI'!Z299</f>
        <v>0</v>
      </c>
      <c r="E297" s="10">
        <f t="shared" si="12"/>
        <v>23944.3</v>
      </c>
      <c r="F297" s="15">
        <f>'B) D RI'!U299</f>
        <v>5428.3767901234569</v>
      </c>
      <c r="G297" s="280">
        <f t="shared" si="13"/>
        <v>4.4109502574627726</v>
      </c>
      <c r="H297" s="59">
        <f t="shared" si="14"/>
        <v>11972.15</v>
      </c>
    </row>
    <row r="298" spans="1:8" x14ac:dyDescent="0.25">
      <c r="A298" s="51">
        <f>'A) Base RI'!A300</f>
        <v>5922</v>
      </c>
      <c r="B298" s="58" t="str">
        <f>'A) Base RI'!B300</f>
        <v>Montagny-près-Yverdon</v>
      </c>
      <c r="C298" s="33">
        <f>'B) D RI'!Y300</f>
        <v>160679.6</v>
      </c>
      <c r="D298" s="15">
        <f>'B) D RI'!Z300</f>
        <v>151849.95000000001</v>
      </c>
      <c r="E298" s="10">
        <f t="shared" si="12"/>
        <v>312529.55000000005</v>
      </c>
      <c r="F298" s="15">
        <f>'B) D RI'!U300</f>
        <v>48081.180040983607</v>
      </c>
      <c r="G298" s="280">
        <f t="shared" si="13"/>
        <v>6.5000390949973568</v>
      </c>
      <c r="H298" s="59">
        <f t="shared" si="14"/>
        <v>125894.785</v>
      </c>
    </row>
    <row r="299" spans="1:8" x14ac:dyDescent="0.25">
      <c r="A299" s="51">
        <f>'A) Base RI'!A301</f>
        <v>5923</v>
      </c>
      <c r="B299" s="58" t="str">
        <f>'A) Base RI'!B301</f>
        <v>Oppens</v>
      </c>
      <c r="C299" s="33">
        <f>'B) D RI'!Y301</f>
        <v>13558.5</v>
      </c>
      <c r="D299" s="15">
        <f>'B) D RI'!Z301</f>
        <v>10712</v>
      </c>
      <c r="E299" s="10">
        <f t="shared" si="12"/>
        <v>24270.5</v>
      </c>
      <c r="F299" s="15">
        <f>'B) D RI'!U301</f>
        <v>4655.3639506172849</v>
      </c>
      <c r="G299" s="280">
        <f t="shared" si="13"/>
        <v>5.2134484559003846</v>
      </c>
      <c r="H299" s="59">
        <f t="shared" si="14"/>
        <v>9992.85</v>
      </c>
    </row>
    <row r="300" spans="1:8" x14ac:dyDescent="0.25">
      <c r="A300" s="51">
        <f>'A) Base RI'!A302</f>
        <v>5924</v>
      </c>
      <c r="B300" s="58" t="str">
        <f>'A) Base RI'!B302</f>
        <v>Orges</v>
      </c>
      <c r="C300" s="33">
        <f>'B) D RI'!Y302</f>
        <v>21111.7</v>
      </c>
      <c r="D300" s="15">
        <f>'B) D RI'!Z302</f>
        <v>29.65</v>
      </c>
      <c r="E300" s="10">
        <f t="shared" si="12"/>
        <v>21141.350000000002</v>
      </c>
      <c r="F300" s="15">
        <f>'B) D RI'!U302</f>
        <v>10584.548243243244</v>
      </c>
      <c r="G300" s="280">
        <f t="shared" si="13"/>
        <v>1.9973785856657418</v>
      </c>
      <c r="H300" s="59">
        <f t="shared" si="14"/>
        <v>10564.745000000001</v>
      </c>
    </row>
    <row r="301" spans="1:8" x14ac:dyDescent="0.25">
      <c r="A301" s="51">
        <f>'A) Base RI'!A303</f>
        <v>5925</v>
      </c>
      <c r="B301" s="58" t="str">
        <f>'A) Base RI'!B303</f>
        <v>Orzens</v>
      </c>
      <c r="C301" s="33">
        <f>'B) D RI'!Y303</f>
        <v>8140</v>
      </c>
      <c r="D301" s="15">
        <f>'B) D RI'!Z303</f>
        <v>0</v>
      </c>
      <c r="E301" s="10">
        <f t="shared" si="12"/>
        <v>8140</v>
      </c>
      <c r="F301" s="15">
        <f>'B) D RI'!U303</f>
        <v>4781.2708860759494</v>
      </c>
      <c r="G301" s="280">
        <f t="shared" si="13"/>
        <v>1.7024762231534225</v>
      </c>
      <c r="H301" s="59">
        <f t="shared" si="14"/>
        <v>4070</v>
      </c>
    </row>
    <row r="302" spans="1:8" x14ac:dyDescent="0.25">
      <c r="A302" s="51">
        <f>'A) Base RI'!A304</f>
        <v>5926</v>
      </c>
      <c r="B302" s="58" t="str">
        <f>'A) Base RI'!B304</f>
        <v>Pomy</v>
      </c>
      <c r="C302" s="33">
        <f>'B) D RI'!Y304</f>
        <v>89157.15</v>
      </c>
      <c r="D302" s="15">
        <f>'B) D RI'!Z304</f>
        <v>1698.35</v>
      </c>
      <c r="E302" s="10">
        <f t="shared" si="12"/>
        <v>90855.5</v>
      </c>
      <c r="F302" s="15">
        <f>'B) D RI'!U304</f>
        <v>23350.72985915493</v>
      </c>
      <c r="G302" s="280">
        <f t="shared" si="13"/>
        <v>3.8909062178362288</v>
      </c>
      <c r="H302" s="59">
        <f t="shared" si="14"/>
        <v>45088.079999999994</v>
      </c>
    </row>
    <row r="303" spans="1:8" x14ac:dyDescent="0.25">
      <c r="A303" s="51">
        <f>'A) Base RI'!A305</f>
        <v>5928</v>
      </c>
      <c r="B303" s="58" t="str">
        <f>'A) Base RI'!B305</f>
        <v>Rovray</v>
      </c>
      <c r="C303" s="33">
        <f>'B) D RI'!Y305</f>
        <v>8307.75</v>
      </c>
      <c r="D303" s="15">
        <f>'B) D RI'!Z305</f>
        <v>3441.6</v>
      </c>
      <c r="E303" s="10">
        <f t="shared" si="12"/>
        <v>11749.35</v>
      </c>
      <c r="F303" s="15">
        <f>'B) D RI'!U305</f>
        <v>4495.7758904109587</v>
      </c>
      <c r="G303" s="280">
        <f t="shared" si="13"/>
        <v>2.6134198604205765</v>
      </c>
      <c r="H303" s="59">
        <f t="shared" si="14"/>
        <v>5186.3549999999996</v>
      </c>
    </row>
    <row r="304" spans="1:8" x14ac:dyDescent="0.25">
      <c r="A304" s="51">
        <f>'A) Base RI'!A306</f>
        <v>5929</v>
      </c>
      <c r="B304" s="58" t="str">
        <f>'A) Base RI'!B306</f>
        <v>Suchy</v>
      </c>
      <c r="C304" s="33">
        <f>'B) D RI'!Y306</f>
        <v>85193.85</v>
      </c>
      <c r="D304" s="15">
        <f>'B) D RI'!Z306</f>
        <v>5924.95</v>
      </c>
      <c r="E304" s="10">
        <f t="shared" si="12"/>
        <v>91118.8</v>
      </c>
      <c r="F304" s="15">
        <f>'B) D RI'!U306</f>
        <v>17118.434321428569</v>
      </c>
      <c r="G304" s="280">
        <f t="shared" si="13"/>
        <v>5.3228466043731011</v>
      </c>
      <c r="H304" s="59">
        <f t="shared" si="14"/>
        <v>44374.41</v>
      </c>
    </row>
    <row r="305" spans="1:8" x14ac:dyDescent="0.25">
      <c r="A305" s="51">
        <f>'A) Base RI'!A307</f>
        <v>5930</v>
      </c>
      <c r="B305" s="58" t="str">
        <f>'A) Base RI'!B307</f>
        <v>Suscévaz</v>
      </c>
      <c r="C305" s="33">
        <f>'B) D RI'!Y307</f>
        <v>41521.65</v>
      </c>
      <c r="D305" s="15">
        <f>'B) D RI'!Z307</f>
        <v>0</v>
      </c>
      <c r="E305" s="10">
        <f t="shared" si="12"/>
        <v>41521.65</v>
      </c>
      <c r="F305" s="15">
        <f>'B) D RI'!U307</f>
        <v>5362.7113888888889</v>
      </c>
      <c r="G305" s="280">
        <f t="shared" si="13"/>
        <v>7.7426598205582264</v>
      </c>
      <c r="H305" s="59">
        <f t="shared" si="14"/>
        <v>20760.825000000001</v>
      </c>
    </row>
    <row r="306" spans="1:8" x14ac:dyDescent="0.25">
      <c r="A306" s="51">
        <f>'A) Base RI'!A308</f>
        <v>5931</v>
      </c>
      <c r="B306" s="58" t="str">
        <f>'A) Base RI'!B308</f>
        <v>Treycovagnes</v>
      </c>
      <c r="C306" s="33">
        <f>'B) D RI'!Y308</f>
        <v>109580.25</v>
      </c>
      <c r="D306" s="15">
        <f>'B) D RI'!Z308</f>
        <v>4225.45</v>
      </c>
      <c r="E306" s="10">
        <f t="shared" si="12"/>
        <v>113805.7</v>
      </c>
      <c r="F306" s="15">
        <f>'B) D RI'!U308</f>
        <v>13288.6564</v>
      </c>
      <c r="G306" s="280">
        <f t="shared" si="13"/>
        <v>8.5641239094721424</v>
      </c>
      <c r="H306" s="59">
        <f t="shared" si="14"/>
        <v>56057.760000000002</v>
      </c>
    </row>
    <row r="307" spans="1:8" x14ac:dyDescent="0.25">
      <c r="A307" s="51">
        <f>'A) Base RI'!A309</f>
        <v>5932</v>
      </c>
      <c r="B307" s="58" t="str">
        <f>'A) Base RI'!B309</f>
        <v>Ursins</v>
      </c>
      <c r="C307" s="33">
        <f>'B) D RI'!Y309</f>
        <v>26400</v>
      </c>
      <c r="D307" s="15">
        <f>'B) D RI'!Z309</f>
        <v>0</v>
      </c>
      <c r="E307" s="10">
        <f t="shared" si="12"/>
        <v>26400</v>
      </c>
      <c r="F307" s="15">
        <f>'B) D RI'!U309</f>
        <v>6858.6807692307693</v>
      </c>
      <c r="G307" s="280">
        <f t="shared" si="13"/>
        <v>3.8491367200577371</v>
      </c>
      <c r="H307" s="59">
        <f t="shared" si="14"/>
        <v>13200</v>
      </c>
    </row>
    <row r="308" spans="1:8" x14ac:dyDescent="0.25">
      <c r="A308" s="51">
        <f>'A) Base RI'!A310</f>
        <v>5933</v>
      </c>
      <c r="B308" s="58" t="str">
        <f>'A) Base RI'!B310</f>
        <v>Valeyres-sous-Montagny</v>
      </c>
      <c r="C308" s="33">
        <f>'B) D RI'!Y310</f>
        <v>127447.34999999999</v>
      </c>
      <c r="D308" s="15">
        <f>'B) D RI'!Z310</f>
        <v>9457.15</v>
      </c>
      <c r="E308" s="10">
        <f t="shared" si="12"/>
        <v>136904.5</v>
      </c>
      <c r="F308" s="15">
        <f>'B) D RI'!U310</f>
        <v>20763.196805555559</v>
      </c>
      <c r="G308" s="280">
        <f t="shared" si="13"/>
        <v>6.593613752356708</v>
      </c>
      <c r="H308" s="59">
        <f t="shared" si="14"/>
        <v>66560.819999999992</v>
      </c>
    </row>
    <row r="309" spans="1:8" x14ac:dyDescent="0.25">
      <c r="A309" s="51">
        <f>'A) Base RI'!A311</f>
        <v>5934</v>
      </c>
      <c r="B309" s="58" t="str">
        <f>'A) Base RI'!B311</f>
        <v>Valeyres-sous-Ursins</v>
      </c>
      <c r="C309" s="33">
        <f>'B) D RI'!Y311</f>
        <v>0</v>
      </c>
      <c r="D309" s="15">
        <f>'B) D RI'!Z311</f>
        <v>0</v>
      </c>
      <c r="E309" s="10">
        <f t="shared" si="12"/>
        <v>0</v>
      </c>
      <c r="F309" s="15">
        <f>'B) D RI'!U311</f>
        <v>6895.611012658228</v>
      </c>
      <c r="G309" s="280">
        <f t="shared" si="13"/>
        <v>0</v>
      </c>
      <c r="H309" s="59">
        <f t="shared" si="14"/>
        <v>0</v>
      </c>
    </row>
    <row r="310" spans="1:8" x14ac:dyDescent="0.25">
      <c r="A310" s="51">
        <f>'A) Base RI'!A312</f>
        <v>5935</v>
      </c>
      <c r="B310" s="58" t="str">
        <f>'A) Base RI'!B312</f>
        <v>Villars-Epeney</v>
      </c>
      <c r="C310" s="33">
        <f>'B) D RI'!Y312</f>
        <v>9460</v>
      </c>
      <c r="D310" s="15">
        <f>'B) D RI'!Z312</f>
        <v>0</v>
      </c>
      <c r="E310" s="10">
        <f t="shared" si="12"/>
        <v>9460</v>
      </c>
      <c r="F310" s="15">
        <f>'B) D RI'!U312</f>
        <v>5507.9496666666664</v>
      </c>
      <c r="G310" s="280">
        <f t="shared" si="13"/>
        <v>1.7175175105993767</v>
      </c>
      <c r="H310" s="59">
        <f t="shared" si="14"/>
        <v>4730</v>
      </c>
    </row>
    <row r="311" spans="1:8" x14ac:dyDescent="0.25">
      <c r="A311" s="51">
        <f>'A) Base RI'!A313</f>
        <v>5937</v>
      </c>
      <c r="B311" s="58" t="str">
        <f>'A) Base RI'!B313</f>
        <v>Vugelles-La Mothe</v>
      </c>
      <c r="C311" s="33">
        <f>'B) D RI'!Y313</f>
        <v>11979.15</v>
      </c>
      <c r="D311" s="15">
        <f>'B) D RI'!Z313</f>
        <v>0</v>
      </c>
      <c r="E311" s="10">
        <f t="shared" si="12"/>
        <v>11979.15</v>
      </c>
      <c r="F311" s="15">
        <f>'B) D RI'!U313</f>
        <v>2890.9266938775513</v>
      </c>
      <c r="G311" s="280">
        <f t="shared" si="13"/>
        <v>4.1437059007305947</v>
      </c>
      <c r="H311" s="59">
        <f t="shared" si="14"/>
        <v>5989.5749999999998</v>
      </c>
    </row>
    <row r="312" spans="1:8" x14ac:dyDescent="0.25">
      <c r="A312" s="51">
        <f>'A) Base RI'!A314</f>
        <v>5938</v>
      </c>
      <c r="B312" s="58" t="str">
        <f>'A) Base RI'!B314</f>
        <v>Yverdon-les-Bains</v>
      </c>
      <c r="C312" s="33">
        <f>'B) D RI'!Y314</f>
        <v>3389921.05</v>
      </c>
      <c r="D312" s="15">
        <f>'B) D RI'!Z314</f>
        <v>3841277.35</v>
      </c>
      <c r="E312" s="10">
        <f t="shared" si="12"/>
        <v>7231198.4000000004</v>
      </c>
      <c r="F312" s="15">
        <f>'B) D RI'!U314</f>
        <v>801914.63490196085</v>
      </c>
      <c r="G312" s="280">
        <f t="shared" si="13"/>
        <v>9.0174166741377153</v>
      </c>
      <c r="H312" s="59">
        <f t="shared" si="14"/>
        <v>2847343.73</v>
      </c>
    </row>
    <row r="313" spans="1:8" x14ac:dyDescent="0.25">
      <c r="A313" s="51">
        <f>'A) Base RI'!A315</f>
        <v>5939</v>
      </c>
      <c r="B313" s="58" t="str">
        <f>'A) Base RI'!B315</f>
        <v>Yvonand</v>
      </c>
      <c r="C313" s="33">
        <f>'B) D RI'!Y315</f>
        <v>1193990.2</v>
      </c>
      <c r="D313" s="15">
        <f>'B) D RI'!Z315</f>
        <v>112071.65</v>
      </c>
      <c r="E313" s="10">
        <f t="shared" si="12"/>
        <v>1306061.8499999999</v>
      </c>
      <c r="F313" s="15">
        <f>'B) D RI'!U315</f>
        <v>93413.424931506845</v>
      </c>
      <c r="G313" s="280">
        <f t="shared" si="13"/>
        <v>13.981521938175787</v>
      </c>
      <c r="H313" s="107">
        <f t="shared" si="14"/>
        <v>630616.59499999997</v>
      </c>
    </row>
    <row r="314" spans="1:8" x14ac:dyDescent="0.25">
      <c r="A314" s="32"/>
      <c r="B314" s="126">
        <f>COUNTA(B5:B313)</f>
        <v>309</v>
      </c>
      <c r="C314" s="127">
        <f>SUM(C5:C313)</f>
        <v>225888321.64000005</v>
      </c>
      <c r="D314" s="11">
        <f>SUM(D5:D313)</f>
        <v>66677797.950000003</v>
      </c>
      <c r="E314" s="11">
        <f>SUM(E5:E313)</f>
        <v>292566119.59000003</v>
      </c>
      <c r="F314" s="11">
        <f>SUM(F5:F313)</f>
        <v>36767173.359367341</v>
      </c>
      <c r="G314" s="65">
        <f t="shared" ref="G314" si="15">E314/F314</f>
        <v>7.9572643980656084</v>
      </c>
      <c r="H314" s="282">
        <f>(C314*$C$4)+(D314*$D$4)</f>
        <v>132947500.20500003</v>
      </c>
    </row>
    <row r="316" spans="1:8" x14ac:dyDescent="0.25">
      <c r="G316" s="14"/>
    </row>
    <row r="317" spans="1:8" x14ac:dyDescent="0.25">
      <c r="G317" s="14"/>
    </row>
    <row r="318" spans="1:8" x14ac:dyDescent="0.25">
      <c r="G318" s="14"/>
    </row>
    <row r="319" spans="1:8" x14ac:dyDescent="0.25">
      <c r="G319" s="14"/>
    </row>
    <row r="320" spans="1:8" x14ac:dyDescent="0.25">
      <c r="G320" s="14"/>
    </row>
    <row r="321" spans="7:7" x14ac:dyDescent="0.25">
      <c r="G321" s="14"/>
    </row>
    <row r="322" spans="7:7" x14ac:dyDescent="0.25">
      <c r="G322" s="14"/>
    </row>
    <row r="323" spans="7:7" x14ac:dyDescent="0.25">
      <c r="G323" s="14"/>
    </row>
    <row r="324" spans="7:7" x14ac:dyDescent="0.25">
      <c r="G324" s="14"/>
    </row>
    <row r="325" spans="7:7" x14ac:dyDescent="0.25">
      <c r="G325" s="14"/>
    </row>
    <row r="326" spans="7:7" x14ac:dyDescent="0.25">
      <c r="G326" s="14"/>
    </row>
    <row r="327" spans="7:7" x14ac:dyDescent="0.25">
      <c r="G327" s="14"/>
    </row>
    <row r="328" spans="7:7" x14ac:dyDescent="0.25">
      <c r="G328" s="14"/>
    </row>
    <row r="329" spans="7:7" x14ac:dyDescent="0.25">
      <c r="G329" s="14"/>
    </row>
    <row r="330" spans="7:7" x14ac:dyDescent="0.25">
      <c r="G330" s="14"/>
    </row>
    <row r="331" spans="7:7" x14ac:dyDescent="0.25">
      <c r="G331" s="14"/>
    </row>
    <row r="332" spans="7:7" x14ac:dyDescent="0.25">
      <c r="G332" s="14"/>
    </row>
  </sheetData>
  <mergeCells count="6">
    <mergeCell ref="H3:H4"/>
    <mergeCell ref="G3:G4"/>
    <mergeCell ref="F3:F4"/>
    <mergeCell ref="E3:E4"/>
    <mergeCell ref="A3:A4"/>
    <mergeCell ref="B3:B4"/>
  </mergeCells>
  <phoneticPr fontId="8"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00B050"/>
  </sheetPr>
  <dimension ref="A1:Y320"/>
  <sheetViews>
    <sheetView topLeftCell="A281" workbookViewId="0">
      <selection activeCell="Y320" sqref="Y320"/>
    </sheetView>
  </sheetViews>
  <sheetFormatPr baseColWidth="10" defaultColWidth="11" defaultRowHeight="15" x14ac:dyDescent="0.25"/>
  <cols>
    <col min="1" max="1" width="7.25" style="14" customWidth="1"/>
    <col min="2" max="2" width="18" style="14" customWidth="1"/>
    <col min="3" max="3" width="10.875" style="14" bestFit="1" customWidth="1"/>
    <col min="4" max="4" width="8.375" style="14" customWidth="1"/>
    <col min="5" max="5" width="7.625" style="14" bestFit="1" customWidth="1"/>
    <col min="6" max="6" width="8.875" style="63" customWidth="1"/>
    <col min="7" max="9" width="5.75" style="14" hidden="1" customWidth="1"/>
    <col min="10" max="10" width="6.5" style="14" hidden="1" customWidth="1"/>
    <col min="11" max="11" width="7.875" style="14" customWidth="1"/>
    <col min="12" max="12" width="10.75" style="13" bestFit="1" customWidth="1"/>
    <col min="13" max="13" width="10.875" style="13" bestFit="1" customWidth="1"/>
    <col min="14" max="14" width="10.875" style="14" bestFit="1" customWidth="1"/>
    <col min="15" max="16" width="11" style="14"/>
    <col min="17" max="17" width="11" style="6"/>
    <col min="18" max="24" width="11" style="14"/>
    <col min="25" max="25" width="11.25" style="14" bestFit="1" customWidth="1"/>
    <col min="26" max="16384" width="11" style="14"/>
  </cols>
  <sheetData>
    <row r="1" spans="1:25" ht="21" x14ac:dyDescent="0.25">
      <c r="A1" s="53" t="s">
        <v>225</v>
      </c>
      <c r="B1" s="44"/>
      <c r="C1" s="61"/>
      <c r="D1" s="45"/>
      <c r="E1" s="45"/>
      <c r="F1" s="62"/>
    </row>
    <row r="2" spans="1:25" x14ac:dyDescent="0.25">
      <c r="G2" s="72">
        <f>$E$314*G4</f>
        <v>55.540655440241501</v>
      </c>
      <c r="H2" s="72">
        <f>$E$314*H4</f>
        <v>69.425819300301882</v>
      </c>
      <c r="I2" s="72">
        <f>$E$314*I4</f>
        <v>92.567759067069176</v>
      </c>
      <c r="J2" s="72">
        <f>$E$314*J4</f>
        <v>138.85163860060376</v>
      </c>
    </row>
    <row r="3" spans="1:25" ht="60" customHeight="1" x14ac:dyDescent="0.25">
      <c r="A3" s="568" t="s">
        <v>50</v>
      </c>
      <c r="B3" s="568" t="s">
        <v>101</v>
      </c>
      <c r="C3" s="575" t="s">
        <v>311</v>
      </c>
      <c r="D3" s="576"/>
      <c r="E3" s="577"/>
      <c r="F3" s="574" t="s">
        <v>296</v>
      </c>
      <c r="G3" s="69">
        <f>Paramètres!B16</f>
        <v>0.36</v>
      </c>
      <c r="H3" s="69">
        <f>Paramètres!C16</f>
        <v>0.46</v>
      </c>
      <c r="I3" s="69">
        <f>Paramètres!D16</f>
        <v>0.56000000000000005</v>
      </c>
      <c r="J3" s="69">
        <f>Paramètres!E16</f>
        <v>0.66</v>
      </c>
      <c r="K3" s="574" t="s">
        <v>299</v>
      </c>
      <c r="L3" s="574" t="s">
        <v>312</v>
      </c>
      <c r="M3" s="290" t="s">
        <v>73</v>
      </c>
      <c r="N3" s="574" t="s">
        <v>538</v>
      </c>
      <c r="O3" s="574" t="s">
        <v>0</v>
      </c>
    </row>
    <row r="4" spans="1:25" ht="45" x14ac:dyDescent="0.25">
      <c r="A4" s="569"/>
      <c r="B4" s="569"/>
      <c r="C4" s="70" t="s">
        <v>377</v>
      </c>
      <c r="D4" s="70" t="s">
        <v>71</v>
      </c>
      <c r="E4" s="70" t="s">
        <v>72</v>
      </c>
      <c r="F4" s="574"/>
      <c r="G4" s="71">
        <f>Paramètres!B17</f>
        <v>1.2</v>
      </c>
      <c r="H4" s="71">
        <f>Paramètres!C17</f>
        <v>1.5</v>
      </c>
      <c r="I4" s="71">
        <f>Paramètres!D17</f>
        <v>2</v>
      </c>
      <c r="J4" s="71">
        <f>Paramètres!E17</f>
        <v>3</v>
      </c>
      <c r="K4" s="574"/>
      <c r="L4" s="574"/>
      <c r="M4" s="294">
        <f>+Paramètres!B20</f>
        <v>0.65</v>
      </c>
      <c r="N4" s="574"/>
      <c r="O4" s="574"/>
    </row>
    <row r="5" spans="1:25" x14ac:dyDescent="0.25">
      <c r="A5" s="110">
        <f>'A) Base RI'!A7</f>
        <v>5401</v>
      </c>
      <c r="B5" s="327" t="str">
        <f>'A) Base RI'!B7</f>
        <v>Aigle</v>
      </c>
      <c r="C5" s="324">
        <f>'B) D RI'!U7</f>
        <v>280807.53491358022</v>
      </c>
      <c r="D5" s="34">
        <f>'B) D RI'!AR7</f>
        <v>10153</v>
      </c>
      <c r="E5" s="213">
        <f>C5/D5</f>
        <v>27.657592328728477</v>
      </c>
      <c r="F5" s="64">
        <f t="shared" ref="F5" si="0">E5/$E$314</f>
        <v>0.59756426227601356</v>
      </c>
      <c r="G5" s="291">
        <f>IF(E5-$G$2&lt;0,0,E5-$G$2)</f>
        <v>0</v>
      </c>
      <c r="H5" s="291">
        <f>IF(E5-$H$2&lt;0,0,E5-$H$2)</f>
        <v>0</v>
      </c>
      <c r="I5" s="291">
        <f>IF(E5-$I$2&lt;0,0,E5-$I$2)</f>
        <v>0</v>
      </c>
      <c r="J5" s="291">
        <f>IF(E5-$J$2&lt;0,0,E5-$J$2)</f>
        <v>0</v>
      </c>
      <c r="K5" s="292">
        <f t="shared" ref="K5" si="1">(G5-H5)*$G$3+(H5-I5)*$H$3+(I5-J5)*$I$3+(J5*$J$3)</f>
        <v>0</v>
      </c>
      <c r="L5" s="59">
        <f>K5*D5*'B) D RI'!S7</f>
        <v>0</v>
      </c>
      <c r="M5" s="15">
        <f>(('B) D RI'!S7*C5)-(L5*$M$4))/'B) D RI'!S7</f>
        <v>280807.53491358022</v>
      </c>
      <c r="N5" s="281">
        <f t="shared" ref="N5" si="2">M5/D5</f>
        <v>27.657592328728477</v>
      </c>
      <c r="O5" s="64">
        <f t="shared" ref="O5" si="3">N5/N$314</f>
        <v>0.61745630484272329</v>
      </c>
      <c r="R5" s="13"/>
    </row>
    <row r="6" spans="1:25" x14ac:dyDescent="0.25">
      <c r="A6" s="326">
        <f>'A) Base RI'!A8</f>
        <v>5402</v>
      </c>
      <c r="B6" s="34" t="str">
        <f>'A) Base RI'!B8</f>
        <v>Bex</v>
      </c>
      <c r="C6" s="324">
        <f>'B) D RI'!U8</f>
        <v>178888.62591549297</v>
      </c>
      <c r="D6" s="34">
        <f>'B) D RI'!AR8</f>
        <v>7719</v>
      </c>
      <c r="E6" s="213">
        <f t="shared" ref="E6:E69" si="4">C6/D6</f>
        <v>23.175103758970458</v>
      </c>
      <c r="F6" s="64">
        <f t="shared" ref="F6:F69" si="5">E6/$E$314</f>
        <v>0.50071653440760377</v>
      </c>
      <c r="G6" s="291">
        <f t="shared" ref="G6:G69" si="6">IF(E6-$G$2&lt;0,0,E6-$G$2)</f>
        <v>0</v>
      </c>
      <c r="H6" s="291">
        <f t="shared" ref="H6:H69" si="7">IF(E6-$H$2&lt;0,0,E6-$H$2)</f>
        <v>0</v>
      </c>
      <c r="I6" s="291">
        <f t="shared" ref="I6:I69" si="8">IF(E6-$I$2&lt;0,0,E6-$I$2)</f>
        <v>0</v>
      </c>
      <c r="J6" s="291">
        <f t="shared" ref="J6:J69" si="9">IF(E6-$J$2&lt;0,0,E6-$J$2)</f>
        <v>0</v>
      </c>
      <c r="K6" s="292">
        <f t="shared" ref="K6:K69" si="10">(G6-H6)*$G$3+(H6-I6)*$H$3+(I6-J6)*$I$3+(J6*$J$3)</f>
        <v>0</v>
      </c>
      <c r="L6" s="59">
        <f>K6*D6*'B) D RI'!S8</f>
        <v>0</v>
      </c>
      <c r="M6" s="15">
        <f>(('B) D RI'!S8*C6)-(L6*$M$4))/'B) D RI'!S8</f>
        <v>178888.62591549297</v>
      </c>
      <c r="N6" s="281">
        <f t="shared" ref="N6:N69" si="11">M6/D6</f>
        <v>23.175103758970458</v>
      </c>
      <c r="O6" s="64">
        <f t="shared" ref="O6:O69" si="12">N6/N$314</f>
        <v>0.51738465739466888</v>
      </c>
      <c r="R6" s="13"/>
    </row>
    <row r="7" spans="1:25" x14ac:dyDescent="0.25">
      <c r="A7" s="326">
        <f>'A) Base RI'!A9</f>
        <v>5403</v>
      </c>
      <c r="B7" s="34" t="str">
        <f>'A) Base RI'!B9</f>
        <v>Chessel</v>
      </c>
      <c r="C7" s="324">
        <f>'B) D RI'!U9</f>
        <v>9797.3922972972978</v>
      </c>
      <c r="D7" s="34">
        <f>'B) D RI'!AR9</f>
        <v>403</v>
      </c>
      <c r="E7" s="213">
        <f t="shared" si="4"/>
        <v>24.311147139695528</v>
      </c>
      <c r="F7" s="64">
        <f t="shared" si="5"/>
        <v>0.52526165448341677</v>
      </c>
      <c r="G7" s="291">
        <f t="shared" si="6"/>
        <v>0</v>
      </c>
      <c r="H7" s="291">
        <f t="shared" si="7"/>
        <v>0</v>
      </c>
      <c r="I7" s="291">
        <f t="shared" si="8"/>
        <v>0</v>
      </c>
      <c r="J7" s="291">
        <f t="shared" si="9"/>
        <v>0</v>
      </c>
      <c r="K7" s="292">
        <f t="shared" si="10"/>
        <v>0</v>
      </c>
      <c r="L7" s="59">
        <f>K7*D7*'B) D RI'!S9</f>
        <v>0</v>
      </c>
      <c r="M7" s="15">
        <f>(('B) D RI'!S9*C7)-(L7*$M$4))/'B) D RI'!S9</f>
        <v>9797.3922972972978</v>
      </c>
      <c r="N7" s="281">
        <f t="shared" si="11"/>
        <v>24.311147139695528</v>
      </c>
      <c r="O7" s="64">
        <f t="shared" si="12"/>
        <v>0.54274684871147849</v>
      </c>
      <c r="R7" s="13"/>
    </row>
    <row r="8" spans="1:25" x14ac:dyDescent="0.25">
      <c r="A8" s="326">
        <f>'A) Base RI'!A10</f>
        <v>5404</v>
      </c>
      <c r="B8" s="34" t="str">
        <f>'A) Base RI'!B10</f>
        <v>Corbeyrier</v>
      </c>
      <c r="C8" s="324">
        <f>'B) D RI'!U10</f>
        <v>10965.354952380952</v>
      </c>
      <c r="D8" s="34">
        <f>'B) D RI'!AR10</f>
        <v>437</v>
      </c>
      <c r="E8" s="213">
        <f t="shared" si="4"/>
        <v>25.092345428789365</v>
      </c>
      <c r="F8" s="64">
        <f t="shared" si="5"/>
        <v>0.54214006435240414</v>
      </c>
      <c r="G8" s="291">
        <f t="shared" si="6"/>
        <v>0</v>
      </c>
      <c r="H8" s="291">
        <f t="shared" si="7"/>
        <v>0</v>
      </c>
      <c r="I8" s="291">
        <f t="shared" si="8"/>
        <v>0</v>
      </c>
      <c r="J8" s="291">
        <f t="shared" si="9"/>
        <v>0</v>
      </c>
      <c r="K8" s="292">
        <f t="shared" si="10"/>
        <v>0</v>
      </c>
      <c r="L8" s="59">
        <f>K8*D8*'B) D RI'!S10</f>
        <v>0</v>
      </c>
      <c r="M8" s="15">
        <f>(('B) D RI'!S10*C8)-(L8*$M$4))/'B) D RI'!S10</f>
        <v>10965.354952380952</v>
      </c>
      <c r="N8" s="281">
        <f t="shared" si="11"/>
        <v>25.092345428789365</v>
      </c>
      <c r="O8" s="64">
        <f t="shared" si="12"/>
        <v>0.56018711622284478</v>
      </c>
      <c r="R8" s="13"/>
    </row>
    <row r="9" spans="1:25" x14ac:dyDescent="0.25">
      <c r="A9" s="326">
        <f>'A) Base RI'!A11</f>
        <v>5405</v>
      </c>
      <c r="B9" s="34" t="str">
        <f>'A) Base RI'!B11</f>
        <v>Gryon</v>
      </c>
      <c r="C9" s="324">
        <f>'B) D RI'!U11</f>
        <v>69949.839511111102</v>
      </c>
      <c r="D9" s="34">
        <f>'B) D RI'!AR11</f>
        <v>1364</v>
      </c>
      <c r="E9" s="213">
        <f t="shared" si="4"/>
        <v>51.282873541870309</v>
      </c>
      <c r="F9" s="64">
        <f t="shared" si="5"/>
        <v>1.1080072383455615</v>
      </c>
      <c r="G9" s="291">
        <f t="shared" si="6"/>
        <v>0</v>
      </c>
      <c r="H9" s="291">
        <f t="shared" si="7"/>
        <v>0</v>
      </c>
      <c r="I9" s="291">
        <f t="shared" si="8"/>
        <v>0</v>
      </c>
      <c r="J9" s="291">
        <f t="shared" si="9"/>
        <v>0</v>
      </c>
      <c r="K9" s="292">
        <f t="shared" si="10"/>
        <v>0</v>
      </c>
      <c r="L9" s="59">
        <f>K9*D9*'B) D RI'!S11</f>
        <v>0</v>
      </c>
      <c r="M9" s="15">
        <f>(('B) D RI'!S11*C9)-(L9*$M$4))/'B) D RI'!S11</f>
        <v>69949.839511111102</v>
      </c>
      <c r="N9" s="281">
        <f t="shared" si="11"/>
        <v>51.282873541870309</v>
      </c>
      <c r="O9" s="64">
        <f t="shared" si="12"/>
        <v>1.1448911829533666</v>
      </c>
      <c r="R9" s="13"/>
    </row>
    <row r="10" spans="1:25" x14ac:dyDescent="0.25">
      <c r="A10" s="326">
        <f>'A) Base RI'!A12</f>
        <v>5406</v>
      </c>
      <c r="B10" s="34" t="str">
        <f>'A) Base RI'!B12</f>
        <v>Lavey-Morcles</v>
      </c>
      <c r="C10" s="324">
        <f>'B) D RI'!U12</f>
        <v>22205.009750812569</v>
      </c>
      <c r="D10" s="34">
        <f>'B) D RI'!AR12</f>
        <v>926</v>
      </c>
      <c r="E10" s="213">
        <f t="shared" si="4"/>
        <v>23.979492171503853</v>
      </c>
      <c r="F10" s="64">
        <f t="shared" si="5"/>
        <v>0.51809598532313428</v>
      </c>
      <c r="G10" s="291">
        <f t="shared" si="6"/>
        <v>0</v>
      </c>
      <c r="H10" s="291">
        <f t="shared" si="7"/>
        <v>0</v>
      </c>
      <c r="I10" s="291">
        <f t="shared" si="8"/>
        <v>0</v>
      </c>
      <c r="J10" s="291">
        <f t="shared" si="9"/>
        <v>0</v>
      </c>
      <c r="K10" s="292">
        <f t="shared" si="10"/>
        <v>0</v>
      </c>
      <c r="L10" s="59">
        <f>K10*D10*'B) D RI'!S12</f>
        <v>0</v>
      </c>
      <c r="M10" s="15">
        <f>(('B) D RI'!S12*C10)-(L10*$M$4))/'B) D RI'!S12</f>
        <v>22205.009750812569</v>
      </c>
      <c r="N10" s="281">
        <f t="shared" si="11"/>
        <v>23.979492171503853</v>
      </c>
      <c r="O10" s="64">
        <f t="shared" si="12"/>
        <v>0.53534264487810101</v>
      </c>
      <c r="R10" s="13"/>
    </row>
    <row r="11" spans="1:25" x14ac:dyDescent="0.25">
      <c r="A11" s="326">
        <f>'A) Base RI'!A13</f>
        <v>5407</v>
      </c>
      <c r="B11" s="34" t="str">
        <f>'A) Base RI'!B13</f>
        <v>Leysin</v>
      </c>
      <c r="C11" s="324">
        <f>'B) D RI'!U13</f>
        <v>89269.724615384606</v>
      </c>
      <c r="D11" s="34">
        <f>'B) D RI'!AR13</f>
        <v>4023</v>
      </c>
      <c r="E11" s="213">
        <f t="shared" si="4"/>
        <v>22.189839576282527</v>
      </c>
      <c r="F11" s="64">
        <f t="shared" si="5"/>
        <v>0.47942911873247507</v>
      </c>
      <c r="G11" s="291">
        <f t="shared" si="6"/>
        <v>0</v>
      </c>
      <c r="H11" s="291">
        <f t="shared" si="7"/>
        <v>0</v>
      </c>
      <c r="I11" s="291">
        <f t="shared" si="8"/>
        <v>0</v>
      </c>
      <c r="J11" s="291">
        <f t="shared" si="9"/>
        <v>0</v>
      </c>
      <c r="K11" s="292">
        <f t="shared" si="10"/>
        <v>0</v>
      </c>
      <c r="L11" s="59">
        <f>K11*D11*'B) D RI'!S13</f>
        <v>0</v>
      </c>
      <c r="M11" s="15">
        <f>(('B) D RI'!S13*C11)-(L11*$M$4))/'B) D RI'!S13</f>
        <v>89269.724615384606</v>
      </c>
      <c r="N11" s="281">
        <f t="shared" si="11"/>
        <v>22.189839576282527</v>
      </c>
      <c r="O11" s="64">
        <f t="shared" si="12"/>
        <v>0.49538861470571571</v>
      </c>
      <c r="R11" s="13"/>
    </row>
    <row r="12" spans="1:25" x14ac:dyDescent="0.25">
      <c r="A12" s="326">
        <f>'A) Base RI'!A14</f>
        <v>5408</v>
      </c>
      <c r="B12" s="34" t="str">
        <f>'A) Base RI'!B14</f>
        <v>Noville</v>
      </c>
      <c r="C12" s="324">
        <f>'B) D RI'!U14</f>
        <v>34371.486709129509</v>
      </c>
      <c r="D12" s="34">
        <f>'B) D RI'!AR14</f>
        <v>1055</v>
      </c>
      <c r="E12" s="213">
        <f t="shared" si="4"/>
        <v>32.57960825509906</v>
      </c>
      <c r="F12" s="64">
        <f t="shared" si="5"/>
        <v>0.70390832798477454</v>
      </c>
      <c r="G12" s="291">
        <f t="shared" si="6"/>
        <v>0</v>
      </c>
      <c r="H12" s="291">
        <f t="shared" si="7"/>
        <v>0</v>
      </c>
      <c r="I12" s="291">
        <f t="shared" si="8"/>
        <v>0</v>
      </c>
      <c r="J12" s="291">
        <f t="shared" si="9"/>
        <v>0</v>
      </c>
      <c r="K12" s="292">
        <f t="shared" si="10"/>
        <v>0</v>
      </c>
      <c r="L12" s="59">
        <f>K12*D12*'B) D RI'!S14</f>
        <v>0</v>
      </c>
      <c r="M12" s="15">
        <f>(('B) D RI'!S14*C12)-(L12*$M$4))/'B) D RI'!S14</f>
        <v>34371.486709129509</v>
      </c>
      <c r="N12" s="281">
        <f t="shared" si="11"/>
        <v>32.57960825509906</v>
      </c>
      <c r="O12" s="64">
        <f t="shared" si="12"/>
        <v>0.72734040936461297</v>
      </c>
      <c r="R12" s="13"/>
    </row>
    <row r="13" spans="1:25" x14ac:dyDescent="0.25">
      <c r="A13" s="326">
        <f>'A) Base RI'!A15</f>
        <v>5409</v>
      </c>
      <c r="B13" s="34" t="str">
        <f>'A) Base RI'!B15</f>
        <v>Ollon</v>
      </c>
      <c r="C13" s="324">
        <f>'B) D RI'!U15</f>
        <v>372011.63303167425</v>
      </c>
      <c r="D13" s="34">
        <f>'B) D RI'!AR15</f>
        <v>7494</v>
      </c>
      <c r="E13" s="213">
        <f t="shared" si="4"/>
        <v>49.641264082155622</v>
      </c>
      <c r="F13" s="64">
        <f t="shared" si="5"/>
        <v>1.0725389613502141</v>
      </c>
      <c r="G13" s="291">
        <f t="shared" si="6"/>
        <v>0</v>
      </c>
      <c r="H13" s="291">
        <f t="shared" si="7"/>
        <v>0</v>
      </c>
      <c r="I13" s="291">
        <f t="shared" si="8"/>
        <v>0</v>
      </c>
      <c r="J13" s="291">
        <f t="shared" si="9"/>
        <v>0</v>
      </c>
      <c r="K13" s="292">
        <f t="shared" si="10"/>
        <v>0</v>
      </c>
      <c r="L13" s="59">
        <f>K13*D13*'B) D RI'!S15</f>
        <v>0</v>
      </c>
      <c r="M13" s="15">
        <f>(('B) D RI'!S15*C13)-(L13*$M$4))/'B) D RI'!S15</f>
        <v>372011.63303167425</v>
      </c>
      <c r="N13" s="281">
        <f t="shared" si="11"/>
        <v>49.641264082155622</v>
      </c>
      <c r="O13" s="64">
        <f t="shared" si="12"/>
        <v>1.1082422187578309</v>
      </c>
      <c r="R13" s="13"/>
    </row>
    <row r="14" spans="1:25" x14ac:dyDescent="0.25">
      <c r="A14" s="326">
        <f>'A) Base RI'!A16</f>
        <v>5410</v>
      </c>
      <c r="B14" s="34" t="str">
        <f>'A) Base RI'!B16</f>
        <v>Ormont-Dessous</v>
      </c>
      <c r="C14" s="324">
        <f>'B) D RI'!U16</f>
        <v>38315.886284501066</v>
      </c>
      <c r="D14" s="34">
        <f>'B) D RI'!AR16</f>
        <v>1117</v>
      </c>
      <c r="E14" s="213">
        <f t="shared" si="4"/>
        <v>34.302494435542584</v>
      </c>
      <c r="F14" s="64">
        <f t="shared" si="5"/>
        <v>0.74113265312362175</v>
      </c>
      <c r="G14" s="291">
        <f t="shared" si="6"/>
        <v>0</v>
      </c>
      <c r="H14" s="291">
        <f t="shared" si="7"/>
        <v>0</v>
      </c>
      <c r="I14" s="291">
        <f t="shared" si="8"/>
        <v>0</v>
      </c>
      <c r="J14" s="291">
        <f t="shared" si="9"/>
        <v>0</v>
      </c>
      <c r="K14" s="292">
        <f t="shared" si="10"/>
        <v>0</v>
      </c>
      <c r="L14" s="59">
        <f>K14*D14*'B) D RI'!S16</f>
        <v>0</v>
      </c>
      <c r="M14" s="15">
        <f>(('B) D RI'!S16*C14)-(L14*$M$4))/'B) D RI'!S16</f>
        <v>38315.886284501066</v>
      </c>
      <c r="N14" s="281">
        <f t="shared" si="11"/>
        <v>34.302494435542584</v>
      </c>
      <c r="O14" s="64">
        <f t="shared" si="12"/>
        <v>0.76580387798462923</v>
      </c>
      <c r="R14" s="13"/>
      <c r="Y14" s="16"/>
    </row>
    <row r="15" spans="1:25" x14ac:dyDescent="0.25">
      <c r="A15" s="326">
        <f>'A) Base RI'!A17</f>
        <v>5411</v>
      </c>
      <c r="B15" s="34" t="str">
        <f>'A) Base RI'!B17</f>
        <v>Ormont-Dessus</v>
      </c>
      <c r="C15" s="324">
        <f>'B) D RI'!U17</f>
        <v>79923.40364035088</v>
      </c>
      <c r="D15" s="34">
        <f>'B) D RI'!AR17</f>
        <v>1467</v>
      </c>
      <c r="E15" s="213">
        <f t="shared" si="4"/>
        <v>54.480847743933793</v>
      </c>
      <c r="F15" s="64">
        <f t="shared" si="5"/>
        <v>1.1771020124719702</v>
      </c>
      <c r="G15" s="291">
        <f t="shared" si="6"/>
        <v>0</v>
      </c>
      <c r="H15" s="291">
        <f t="shared" si="7"/>
        <v>0</v>
      </c>
      <c r="I15" s="291">
        <f t="shared" si="8"/>
        <v>0</v>
      </c>
      <c r="J15" s="291">
        <f t="shared" si="9"/>
        <v>0</v>
      </c>
      <c r="K15" s="292">
        <f t="shared" si="10"/>
        <v>0</v>
      </c>
      <c r="L15" s="59">
        <f>K15*D15*'B) D RI'!S17</f>
        <v>0</v>
      </c>
      <c r="M15" s="15">
        <f>(('B) D RI'!S17*C15)-(L15*$M$4))/'B) D RI'!S17</f>
        <v>79923.40364035088</v>
      </c>
      <c r="N15" s="281">
        <f t="shared" si="11"/>
        <v>54.480847743933793</v>
      </c>
      <c r="O15" s="64">
        <f t="shared" si="12"/>
        <v>1.2162860213152513</v>
      </c>
      <c r="R15" s="13"/>
      <c r="Y15" s="16"/>
    </row>
    <row r="16" spans="1:25" x14ac:dyDescent="0.25">
      <c r="A16" s="326">
        <f>'A) Base RI'!A18</f>
        <v>5412</v>
      </c>
      <c r="B16" s="34" t="str">
        <f>'A) Base RI'!B18</f>
        <v>Rennaz</v>
      </c>
      <c r="C16" s="324">
        <f>'B) D RI'!U18</f>
        <v>31498.582370370365</v>
      </c>
      <c r="D16" s="34">
        <f>'B) D RI'!AR18</f>
        <v>839</v>
      </c>
      <c r="E16" s="213">
        <f t="shared" si="4"/>
        <v>37.543006400918195</v>
      </c>
      <c r="F16" s="64">
        <f t="shared" si="5"/>
        <v>0.81114648943195722</v>
      </c>
      <c r="G16" s="291">
        <f t="shared" si="6"/>
        <v>0</v>
      </c>
      <c r="H16" s="291">
        <f t="shared" si="7"/>
        <v>0</v>
      </c>
      <c r="I16" s="291">
        <f t="shared" si="8"/>
        <v>0</v>
      </c>
      <c r="J16" s="291">
        <f t="shared" si="9"/>
        <v>0</v>
      </c>
      <c r="K16" s="292">
        <f t="shared" si="10"/>
        <v>0</v>
      </c>
      <c r="L16" s="59">
        <f>K16*D16*'B) D RI'!S18</f>
        <v>0</v>
      </c>
      <c r="M16" s="15">
        <f>(('B) D RI'!S18*C16)-(L16*$M$4))/'B) D RI'!S18</f>
        <v>31498.582370370365</v>
      </c>
      <c r="N16" s="281">
        <f t="shared" si="11"/>
        <v>37.543006400918195</v>
      </c>
      <c r="O16" s="64">
        <f t="shared" si="12"/>
        <v>0.83814837276775278</v>
      </c>
      <c r="R16" s="13"/>
      <c r="Y16" s="16"/>
    </row>
    <row r="17" spans="1:25" x14ac:dyDescent="0.25">
      <c r="A17" s="326">
        <f>'A) Base RI'!A19</f>
        <v>5413</v>
      </c>
      <c r="B17" s="34" t="str">
        <f>'A) Base RI'!B19</f>
        <v>Roche</v>
      </c>
      <c r="C17" s="324">
        <f>'B) D RI'!U19</f>
        <v>37711.950000000012</v>
      </c>
      <c r="D17" s="34">
        <f>'B) D RI'!AR19</f>
        <v>1650</v>
      </c>
      <c r="E17" s="213">
        <f t="shared" si="4"/>
        <v>22.855727272727279</v>
      </c>
      <c r="F17" s="64">
        <f t="shared" si="5"/>
        <v>0.49381615160776138</v>
      </c>
      <c r="G17" s="291">
        <f t="shared" si="6"/>
        <v>0</v>
      </c>
      <c r="H17" s="291">
        <f t="shared" si="7"/>
        <v>0</v>
      </c>
      <c r="I17" s="291">
        <f t="shared" si="8"/>
        <v>0</v>
      </c>
      <c r="J17" s="291">
        <f t="shared" si="9"/>
        <v>0</v>
      </c>
      <c r="K17" s="292">
        <f t="shared" si="10"/>
        <v>0</v>
      </c>
      <c r="L17" s="59">
        <f>K17*D17*'B) D RI'!S19</f>
        <v>0</v>
      </c>
      <c r="M17" s="15">
        <f>(('B) D RI'!S19*C17)-(L17*$M$4))/'B) D RI'!S19</f>
        <v>37711.950000000012</v>
      </c>
      <c r="N17" s="281">
        <f t="shared" si="11"/>
        <v>22.855727272727279</v>
      </c>
      <c r="O17" s="64">
        <f t="shared" si="12"/>
        <v>0.51025457091767179</v>
      </c>
      <c r="R17" s="13"/>
      <c r="Y17" s="16"/>
    </row>
    <row r="18" spans="1:25" x14ac:dyDescent="0.25">
      <c r="A18" s="326">
        <f>'A) Base RI'!A20</f>
        <v>5414</v>
      </c>
      <c r="B18" s="34" t="str">
        <f>'A) Base RI'!B20</f>
        <v>Villeneuve</v>
      </c>
      <c r="C18" s="324">
        <f>'B) D RI'!U20</f>
        <v>168706.05608695652</v>
      </c>
      <c r="D18" s="34">
        <f>'B) D RI'!AR20</f>
        <v>5672</v>
      </c>
      <c r="E18" s="213">
        <f t="shared" si="4"/>
        <v>29.743662920831547</v>
      </c>
      <c r="F18" s="64">
        <f t="shared" si="5"/>
        <v>0.64263547525831388</v>
      </c>
      <c r="G18" s="291">
        <f t="shared" si="6"/>
        <v>0</v>
      </c>
      <c r="H18" s="291">
        <f t="shared" si="7"/>
        <v>0</v>
      </c>
      <c r="I18" s="291">
        <f t="shared" si="8"/>
        <v>0</v>
      </c>
      <c r="J18" s="291">
        <f t="shared" si="9"/>
        <v>0</v>
      </c>
      <c r="K18" s="292">
        <f t="shared" si="10"/>
        <v>0</v>
      </c>
      <c r="L18" s="59">
        <f>K18*D18*'B) D RI'!S20</f>
        <v>0</v>
      </c>
      <c r="M18" s="15">
        <f>(('B) D RI'!S20*C18)-(L18*$M$4))/'B) D RI'!S20</f>
        <v>168706.05608695652</v>
      </c>
      <c r="N18" s="281">
        <f t="shared" si="11"/>
        <v>29.743662920831547</v>
      </c>
      <c r="O18" s="64">
        <f t="shared" si="12"/>
        <v>0.66402787275549147</v>
      </c>
      <c r="R18" s="13"/>
      <c r="Y18" s="16"/>
    </row>
    <row r="19" spans="1:25" x14ac:dyDescent="0.25">
      <c r="A19" s="326">
        <f>'A) Base RI'!A21</f>
        <v>5415</v>
      </c>
      <c r="B19" s="34" t="str">
        <f>'A) Base RI'!B21</f>
        <v>Yvorne</v>
      </c>
      <c r="C19" s="324">
        <f>'B) D RI'!U21</f>
        <v>35013.467459207466</v>
      </c>
      <c r="D19" s="34">
        <f>'B) D RI'!AR21</f>
        <v>1057</v>
      </c>
      <c r="E19" s="213">
        <f t="shared" si="4"/>
        <v>33.125323991681611</v>
      </c>
      <c r="F19" s="64">
        <f t="shared" si="5"/>
        <v>0.71569895016429952</v>
      </c>
      <c r="G19" s="291">
        <f t="shared" si="6"/>
        <v>0</v>
      </c>
      <c r="H19" s="291">
        <f t="shared" si="7"/>
        <v>0</v>
      </c>
      <c r="I19" s="291">
        <f t="shared" si="8"/>
        <v>0</v>
      </c>
      <c r="J19" s="291">
        <f t="shared" si="9"/>
        <v>0</v>
      </c>
      <c r="K19" s="292">
        <f t="shared" si="10"/>
        <v>0</v>
      </c>
      <c r="L19" s="59">
        <f>K19*D19*'B) D RI'!S21</f>
        <v>0</v>
      </c>
      <c r="M19" s="15">
        <f>(('B) D RI'!S21*C19)-(L19*$M$4))/'B) D RI'!S21</f>
        <v>35013.467459207466</v>
      </c>
      <c r="N19" s="281">
        <f t="shared" si="11"/>
        <v>33.125323991681611</v>
      </c>
      <c r="O19" s="64">
        <f t="shared" si="12"/>
        <v>0.73952352415637967</v>
      </c>
      <c r="R19" s="13"/>
      <c r="Y19" s="16"/>
    </row>
    <row r="20" spans="1:25" x14ac:dyDescent="0.25">
      <c r="A20" s="326">
        <f>'A) Base RI'!A22</f>
        <v>5421</v>
      </c>
      <c r="B20" s="34" t="str">
        <f>'A) Base RI'!B22</f>
        <v>Apples</v>
      </c>
      <c r="C20" s="324">
        <f>'B) D RI'!U22</f>
        <v>59328.525131578965</v>
      </c>
      <c r="D20" s="34">
        <f>'B) D RI'!AR22</f>
        <v>1437</v>
      </c>
      <c r="E20" s="213">
        <f t="shared" si="4"/>
        <v>41.286377962128718</v>
      </c>
      <c r="F20" s="64">
        <f t="shared" si="5"/>
        <v>0.89202500694037601</v>
      </c>
      <c r="G20" s="291">
        <f t="shared" si="6"/>
        <v>0</v>
      </c>
      <c r="H20" s="291">
        <f t="shared" si="7"/>
        <v>0</v>
      </c>
      <c r="I20" s="291">
        <f t="shared" si="8"/>
        <v>0</v>
      </c>
      <c r="J20" s="291">
        <f t="shared" si="9"/>
        <v>0</v>
      </c>
      <c r="K20" s="292">
        <f t="shared" si="10"/>
        <v>0</v>
      </c>
      <c r="L20" s="59">
        <f>K20*D20*'B) D RI'!S22</f>
        <v>0</v>
      </c>
      <c r="M20" s="15">
        <f>(('B) D RI'!S22*C20)-(L20*$M$4))/'B) D RI'!S22</f>
        <v>59328.525131578965</v>
      </c>
      <c r="N20" s="281">
        <f t="shared" si="11"/>
        <v>41.286377962128718</v>
      </c>
      <c r="O20" s="64">
        <f t="shared" si="12"/>
        <v>0.92171921813875513</v>
      </c>
      <c r="R20" s="13"/>
      <c r="Y20" s="16"/>
    </row>
    <row r="21" spans="1:25" x14ac:dyDescent="0.25">
      <c r="A21" s="326">
        <f>'A) Base RI'!A23</f>
        <v>5422</v>
      </c>
      <c r="B21" s="34" t="str">
        <f>'A) Base RI'!B23</f>
        <v>Aubonne</v>
      </c>
      <c r="C21" s="324">
        <f>'B) D RI'!U23</f>
        <v>265098.93749999994</v>
      </c>
      <c r="D21" s="34">
        <f>'B) D RI'!AR23</f>
        <v>3269</v>
      </c>
      <c r="E21" s="213">
        <f t="shared" si="4"/>
        <v>81.094811104313223</v>
      </c>
      <c r="F21" s="64">
        <f t="shared" si="5"/>
        <v>1.7521178414950431</v>
      </c>
      <c r="G21" s="291">
        <f t="shared" si="6"/>
        <v>25.554155664071722</v>
      </c>
      <c r="H21" s="291">
        <f t="shared" si="7"/>
        <v>11.668991804011341</v>
      </c>
      <c r="I21" s="291">
        <f t="shared" si="8"/>
        <v>0</v>
      </c>
      <c r="J21" s="291">
        <f t="shared" si="9"/>
        <v>0</v>
      </c>
      <c r="K21" s="292">
        <f t="shared" si="10"/>
        <v>10.366395219466956</v>
      </c>
      <c r="L21" s="59">
        <f>K21*D21*'B) D RI'!S23</f>
        <v>2304366.7261257484</v>
      </c>
      <c r="M21" s="15">
        <f>(('B) D RI'!S23*C21)-(L21*$M$4))/'B) D RI'!S23</f>
        <v>243071.90261791559</v>
      </c>
      <c r="N21" s="281">
        <f t="shared" si="11"/>
        <v>74.356654211659716</v>
      </c>
      <c r="O21" s="64">
        <f t="shared" si="12"/>
        <v>1.660013800344792</v>
      </c>
      <c r="R21" s="13"/>
      <c r="Y21" s="16"/>
    </row>
    <row r="22" spans="1:25" x14ac:dyDescent="0.25">
      <c r="A22" s="326">
        <f>'A) Base RI'!A24</f>
        <v>5423</v>
      </c>
      <c r="B22" s="34" t="str">
        <f>'A) Base RI'!B24</f>
        <v>Ballens</v>
      </c>
      <c r="C22" s="324">
        <f>'B) D RI'!U24</f>
        <v>16703.466521739134</v>
      </c>
      <c r="D22" s="34">
        <f>'B) D RI'!AR24</f>
        <v>527</v>
      </c>
      <c r="E22" s="213">
        <f t="shared" si="4"/>
        <v>31.695382394191906</v>
      </c>
      <c r="F22" s="64">
        <f t="shared" si="5"/>
        <v>0.68480392554879266</v>
      </c>
      <c r="G22" s="291">
        <f t="shared" si="6"/>
        <v>0</v>
      </c>
      <c r="H22" s="291">
        <f t="shared" si="7"/>
        <v>0</v>
      </c>
      <c r="I22" s="291">
        <f t="shared" si="8"/>
        <v>0</v>
      </c>
      <c r="J22" s="291">
        <f t="shared" si="9"/>
        <v>0</v>
      </c>
      <c r="K22" s="292">
        <f t="shared" si="10"/>
        <v>0</v>
      </c>
      <c r="L22" s="59">
        <f>K22*D22*'B) D RI'!S24</f>
        <v>0</v>
      </c>
      <c r="M22" s="15">
        <f>(('B) D RI'!S24*C22)-(L22*$M$4))/'B) D RI'!S24</f>
        <v>16703.466521739134</v>
      </c>
      <c r="N22" s="281">
        <f t="shared" si="11"/>
        <v>31.695382394191906</v>
      </c>
      <c r="O22" s="64">
        <f t="shared" si="12"/>
        <v>0.70760004924096631</v>
      </c>
      <c r="R22" s="13"/>
    </row>
    <row r="23" spans="1:25" x14ac:dyDescent="0.25">
      <c r="A23" s="326">
        <f>'A) Base RI'!A25</f>
        <v>5424</v>
      </c>
      <c r="B23" s="34" t="str">
        <f>'A) Base RI'!B25</f>
        <v>Berolle</v>
      </c>
      <c r="C23" s="324">
        <f>'B) D RI'!U25</f>
        <v>11342.941168831172</v>
      </c>
      <c r="D23" s="34">
        <f>'B) D RI'!AR25</f>
        <v>301</v>
      </c>
      <c r="E23" s="213">
        <f t="shared" si="4"/>
        <v>37.684189929671668</v>
      </c>
      <c r="F23" s="64">
        <f t="shared" si="5"/>
        <v>0.81419687177190736</v>
      </c>
      <c r="G23" s="291">
        <f t="shared" si="6"/>
        <v>0</v>
      </c>
      <c r="H23" s="291">
        <f t="shared" si="7"/>
        <v>0</v>
      </c>
      <c r="I23" s="291">
        <f t="shared" si="8"/>
        <v>0</v>
      </c>
      <c r="J23" s="291">
        <f t="shared" si="9"/>
        <v>0</v>
      </c>
      <c r="K23" s="292">
        <f t="shared" si="10"/>
        <v>0</v>
      </c>
      <c r="L23" s="59">
        <f>K23*D23*'B) D RI'!S25</f>
        <v>0</v>
      </c>
      <c r="M23" s="15">
        <f>(('B) D RI'!S25*C23)-(L23*$M$4))/'B) D RI'!S25</f>
        <v>11342.941168831172</v>
      </c>
      <c r="N23" s="281">
        <f t="shared" si="11"/>
        <v>37.684189929671668</v>
      </c>
      <c r="O23" s="64">
        <f t="shared" si="12"/>
        <v>0.84130029788591376</v>
      </c>
      <c r="R23" s="13"/>
    </row>
    <row r="24" spans="1:25" x14ac:dyDescent="0.25">
      <c r="A24" s="326">
        <f>'A) Base RI'!A26</f>
        <v>5425</v>
      </c>
      <c r="B24" s="34" t="str">
        <f>'A) Base RI'!B26</f>
        <v>Bière</v>
      </c>
      <c r="C24" s="324">
        <f>'B) D RI'!U26</f>
        <v>41451.382114604457</v>
      </c>
      <c r="D24" s="34">
        <f>'B) D RI'!AR26</f>
        <v>1577</v>
      </c>
      <c r="E24" s="213">
        <f t="shared" si="4"/>
        <v>26.284960123401685</v>
      </c>
      <c r="F24" s="64">
        <f t="shared" si="5"/>
        <v>0.56790745262304865</v>
      </c>
      <c r="G24" s="291">
        <f t="shared" si="6"/>
        <v>0</v>
      </c>
      <c r="H24" s="291">
        <f t="shared" si="7"/>
        <v>0</v>
      </c>
      <c r="I24" s="291">
        <f t="shared" si="8"/>
        <v>0</v>
      </c>
      <c r="J24" s="291">
        <f t="shared" si="9"/>
        <v>0</v>
      </c>
      <c r="K24" s="292">
        <f t="shared" si="10"/>
        <v>0</v>
      </c>
      <c r="L24" s="59">
        <f>K24*D24*'B) D RI'!S26</f>
        <v>0</v>
      </c>
      <c r="M24" s="15">
        <f>(('B) D RI'!S26*C24)-(L24*$M$4))/'B) D RI'!S26</f>
        <v>41451.382114604457</v>
      </c>
      <c r="N24" s="281">
        <f t="shared" si="11"/>
        <v>26.284960123401685</v>
      </c>
      <c r="O24" s="64">
        <f t="shared" si="12"/>
        <v>0.58681226325965163</v>
      </c>
      <c r="R24" s="13"/>
    </row>
    <row r="25" spans="1:25" x14ac:dyDescent="0.25">
      <c r="A25" s="326">
        <f>'A) Base RI'!A27</f>
        <v>5426</v>
      </c>
      <c r="B25" s="34" t="str">
        <f>'A) Base RI'!B27</f>
        <v>Bougy-Villars</v>
      </c>
      <c r="C25" s="324">
        <f>'B) D RI'!U27</f>
        <v>47933.807222222218</v>
      </c>
      <c r="D25" s="34">
        <f>'B) D RI'!AR27</f>
        <v>483</v>
      </c>
      <c r="E25" s="213">
        <f t="shared" si="4"/>
        <v>99.241836899010806</v>
      </c>
      <c r="F25" s="64">
        <f t="shared" si="5"/>
        <v>2.1441987555754913</v>
      </c>
      <c r="G25" s="291">
        <f t="shared" si="6"/>
        <v>43.701181458769305</v>
      </c>
      <c r="H25" s="291">
        <f t="shared" si="7"/>
        <v>29.816017598708925</v>
      </c>
      <c r="I25" s="291">
        <f t="shared" si="8"/>
        <v>6.6740778319416307</v>
      </c>
      <c r="J25" s="291">
        <f t="shared" si="9"/>
        <v>0</v>
      </c>
      <c r="K25" s="292">
        <f t="shared" si="10"/>
        <v>19.381434868222009</v>
      </c>
      <c r="L25" s="59">
        <f>K25*D25*'B) D RI'!S27</f>
        <v>617841.38072918123</v>
      </c>
      <c r="M25" s="15">
        <f>(('B) D RI'!S27*C25)-(L25*$M$4))/'B) D RI'!S27</f>
        <v>41849.005745343922</v>
      </c>
      <c r="N25" s="281">
        <f t="shared" si="11"/>
        <v>86.643904234666508</v>
      </c>
      <c r="O25" s="64">
        <f t="shared" si="12"/>
        <v>1.9343269041648901</v>
      </c>
      <c r="R25" s="13"/>
    </row>
    <row r="26" spans="1:25" x14ac:dyDescent="0.25">
      <c r="A26" s="326">
        <f>'A) Base RI'!A28</f>
        <v>5427</v>
      </c>
      <c r="B26" s="34" t="str">
        <f>'A) Base RI'!B28</f>
        <v>Féchy</v>
      </c>
      <c r="C26" s="324">
        <f>'B) D RI'!U28</f>
        <v>79760.38769230769</v>
      </c>
      <c r="D26" s="34">
        <f>'B) D RI'!AR28</f>
        <v>895</v>
      </c>
      <c r="E26" s="213">
        <f t="shared" si="4"/>
        <v>89.117751611516965</v>
      </c>
      <c r="F26" s="64">
        <f t="shared" si="5"/>
        <v>1.9254598471363547</v>
      </c>
      <c r="G26" s="291">
        <f t="shared" si="6"/>
        <v>33.577096171275464</v>
      </c>
      <c r="H26" s="291">
        <f t="shared" si="7"/>
        <v>19.691932311215083</v>
      </c>
      <c r="I26" s="291">
        <f t="shared" si="8"/>
        <v>0</v>
      </c>
      <c r="J26" s="291">
        <f t="shared" si="9"/>
        <v>0</v>
      </c>
      <c r="K26" s="292">
        <f t="shared" si="10"/>
        <v>14.056947852780677</v>
      </c>
      <c r="L26" s="59">
        <f>K26*D26*'B) D RI'!S28</f>
        <v>805181.97300727724</v>
      </c>
      <c r="M26" s="15">
        <f>(('B) D RI'!S28*C26)-(L26*$M$4))/'B) D RI'!S28</f>
        <v>71582.758278952533</v>
      </c>
      <c r="N26" s="281">
        <f t="shared" si="11"/>
        <v>79.980735507209531</v>
      </c>
      <c r="O26" s="64">
        <f t="shared" si="12"/>
        <v>1.7855715283498499</v>
      </c>
      <c r="R26" s="13"/>
    </row>
    <row r="27" spans="1:25" x14ac:dyDescent="0.25">
      <c r="A27" s="326">
        <f>'A) Base RI'!A29</f>
        <v>5428</v>
      </c>
      <c r="B27" s="34" t="str">
        <f>'A) Base RI'!B29</f>
        <v>Gimel</v>
      </c>
      <c r="C27" s="324">
        <f>'B) D RI'!U29</f>
        <v>62694.643076923086</v>
      </c>
      <c r="D27" s="34">
        <f>'B) D RI'!AR29</f>
        <v>2016</v>
      </c>
      <c r="E27" s="213">
        <f t="shared" si="4"/>
        <v>31.098533272283277</v>
      </c>
      <c r="F27" s="64">
        <f t="shared" si="5"/>
        <v>0.67190852594262551</v>
      </c>
      <c r="G27" s="291">
        <f t="shared" si="6"/>
        <v>0</v>
      </c>
      <c r="H27" s="291">
        <f t="shared" si="7"/>
        <v>0</v>
      </c>
      <c r="I27" s="291">
        <f t="shared" si="8"/>
        <v>0</v>
      </c>
      <c r="J27" s="291">
        <f t="shared" si="9"/>
        <v>0</v>
      </c>
      <c r="K27" s="292">
        <f t="shared" si="10"/>
        <v>0</v>
      </c>
      <c r="L27" s="59">
        <f>K27*D27*'B) D RI'!S29</f>
        <v>0</v>
      </c>
      <c r="M27" s="15">
        <f>(('B) D RI'!S29*C27)-(L27*$M$4))/'B) D RI'!S29</f>
        <v>62694.643076923086</v>
      </c>
      <c r="N27" s="281">
        <f t="shared" si="11"/>
        <v>31.098533272283277</v>
      </c>
      <c r="O27" s="64">
        <f t="shared" si="12"/>
        <v>0.69427538059366944</v>
      </c>
      <c r="R27" s="13"/>
    </row>
    <row r="28" spans="1:25" x14ac:dyDescent="0.25">
      <c r="A28" s="326">
        <f>'A) Base RI'!A30</f>
        <v>5429</v>
      </c>
      <c r="B28" s="34" t="str">
        <f>'A) Base RI'!B30</f>
        <v>Longirod</v>
      </c>
      <c r="C28" s="324">
        <f>'B) D RI'!U30</f>
        <v>14895.063209876542</v>
      </c>
      <c r="D28" s="34">
        <f>'B) D RI'!AR30</f>
        <v>469</v>
      </c>
      <c r="E28" s="213">
        <f t="shared" si="4"/>
        <v>31.759196609544865</v>
      </c>
      <c r="F28" s="64">
        <f t="shared" si="5"/>
        <v>0.68618268238586211</v>
      </c>
      <c r="G28" s="291">
        <f t="shared" si="6"/>
        <v>0</v>
      </c>
      <c r="H28" s="291">
        <f t="shared" si="7"/>
        <v>0</v>
      </c>
      <c r="I28" s="291">
        <f t="shared" si="8"/>
        <v>0</v>
      </c>
      <c r="J28" s="291">
        <f t="shared" si="9"/>
        <v>0</v>
      </c>
      <c r="K28" s="292">
        <f t="shared" si="10"/>
        <v>0</v>
      </c>
      <c r="L28" s="59">
        <f>K28*D28*'B) D RI'!S30</f>
        <v>0</v>
      </c>
      <c r="M28" s="15">
        <f>(('B) D RI'!S30*C28)-(L28*$M$4))/'B) D RI'!S30</f>
        <v>14895.063209876542</v>
      </c>
      <c r="N28" s="281">
        <f t="shared" si="11"/>
        <v>31.759196609544865</v>
      </c>
      <c r="O28" s="64">
        <f t="shared" si="12"/>
        <v>0.70902470288181663</v>
      </c>
      <c r="R28" s="13"/>
    </row>
    <row r="29" spans="1:25" x14ac:dyDescent="0.25">
      <c r="A29" s="326">
        <f>'A) Base RI'!A31</f>
        <v>5430</v>
      </c>
      <c r="B29" s="34" t="str">
        <f>'A) Base RI'!B31</f>
        <v>Marchissy</v>
      </c>
      <c r="C29" s="324">
        <f>'B) D RI'!U31</f>
        <v>13624.129113924049</v>
      </c>
      <c r="D29" s="34">
        <f>'B) D RI'!AR31</f>
        <v>455</v>
      </c>
      <c r="E29" s="213">
        <f t="shared" si="4"/>
        <v>29.943140909723184</v>
      </c>
      <c r="F29" s="64">
        <f t="shared" si="5"/>
        <v>0.64694535573726353</v>
      </c>
      <c r="G29" s="291">
        <f t="shared" si="6"/>
        <v>0</v>
      </c>
      <c r="H29" s="291">
        <f t="shared" si="7"/>
        <v>0</v>
      </c>
      <c r="I29" s="291">
        <f t="shared" si="8"/>
        <v>0</v>
      </c>
      <c r="J29" s="291">
        <f t="shared" si="9"/>
        <v>0</v>
      </c>
      <c r="K29" s="292">
        <f t="shared" si="10"/>
        <v>0</v>
      </c>
      <c r="L29" s="59">
        <f>K29*D29*'B) D RI'!S31</f>
        <v>0</v>
      </c>
      <c r="M29" s="15">
        <f>(('B) D RI'!S31*C29)-(L29*$M$4))/'B) D RI'!S31</f>
        <v>13624.129113924049</v>
      </c>
      <c r="N29" s="281">
        <f t="shared" si="11"/>
        <v>29.943140909723184</v>
      </c>
      <c r="O29" s="64">
        <f t="shared" si="12"/>
        <v>0.6684812228683481</v>
      </c>
      <c r="R29" s="13"/>
    </row>
    <row r="30" spans="1:25" x14ac:dyDescent="0.25">
      <c r="A30" s="326">
        <f>'A) Base RI'!A32</f>
        <v>5431</v>
      </c>
      <c r="B30" s="34" t="str">
        <f>'A) Base RI'!B32</f>
        <v>Mollens</v>
      </c>
      <c r="C30" s="324">
        <f>'B) D RI'!U32</f>
        <v>8975.9641891891897</v>
      </c>
      <c r="D30" s="34">
        <f>'B) D RI'!AR32</f>
        <v>301</v>
      </c>
      <c r="E30" s="213">
        <f t="shared" si="4"/>
        <v>29.820479033851129</v>
      </c>
      <c r="F30" s="64">
        <f t="shared" si="5"/>
        <v>0.64429514842732571</v>
      </c>
      <c r="G30" s="291">
        <f t="shared" si="6"/>
        <v>0</v>
      </c>
      <c r="H30" s="291">
        <f t="shared" si="7"/>
        <v>0</v>
      </c>
      <c r="I30" s="291">
        <f t="shared" si="8"/>
        <v>0</v>
      </c>
      <c r="J30" s="291">
        <f t="shared" si="9"/>
        <v>0</v>
      </c>
      <c r="K30" s="292">
        <f t="shared" si="10"/>
        <v>0</v>
      </c>
      <c r="L30" s="59">
        <f>K30*D30*'B) D RI'!S32</f>
        <v>0</v>
      </c>
      <c r="M30" s="15">
        <f>(('B) D RI'!S32*C30)-(L30*$M$4))/'B) D RI'!S32</f>
        <v>8975.9641891891897</v>
      </c>
      <c r="N30" s="281">
        <f t="shared" si="11"/>
        <v>29.820479033851129</v>
      </c>
      <c r="O30" s="64">
        <f t="shared" si="12"/>
        <v>0.66574279402317482</v>
      </c>
      <c r="R30" s="13"/>
    </row>
    <row r="31" spans="1:25" x14ac:dyDescent="0.25">
      <c r="A31" s="326">
        <f>'A) Base RI'!A33</f>
        <v>5432</v>
      </c>
      <c r="B31" s="34" t="str">
        <f>'A) Base RI'!B33</f>
        <v>Montherod</v>
      </c>
      <c r="C31" s="324">
        <f>'B) D RI'!U33</f>
        <v>18019.761538461538</v>
      </c>
      <c r="D31" s="34">
        <f>'B) D RI'!AR33</f>
        <v>534</v>
      </c>
      <c r="E31" s="213">
        <f t="shared" si="4"/>
        <v>33.744871794871791</v>
      </c>
      <c r="F31" s="64">
        <f t="shared" si="5"/>
        <v>0.7290847728186276</v>
      </c>
      <c r="G31" s="291">
        <f t="shared" si="6"/>
        <v>0</v>
      </c>
      <c r="H31" s="291">
        <f t="shared" si="7"/>
        <v>0</v>
      </c>
      <c r="I31" s="291">
        <f t="shared" si="8"/>
        <v>0</v>
      </c>
      <c r="J31" s="291">
        <f t="shared" si="9"/>
        <v>0</v>
      </c>
      <c r="K31" s="292">
        <f t="shared" si="10"/>
        <v>0</v>
      </c>
      <c r="L31" s="59">
        <f>K31*D31*'B) D RI'!S33</f>
        <v>0</v>
      </c>
      <c r="M31" s="15">
        <f>(('B) D RI'!S33*C31)-(L31*$M$4))/'B) D RI'!S33</f>
        <v>18019.761538461538</v>
      </c>
      <c r="N31" s="281">
        <f t="shared" si="11"/>
        <v>33.744871794871791</v>
      </c>
      <c r="O31" s="64">
        <f t="shared" si="12"/>
        <v>0.7533549413196835</v>
      </c>
      <c r="R31" s="13"/>
    </row>
    <row r="32" spans="1:25" x14ac:dyDescent="0.25">
      <c r="A32" s="326">
        <f>'A) Base RI'!A34</f>
        <v>5434</v>
      </c>
      <c r="B32" s="34" t="str">
        <f>'A) Base RI'!B34</f>
        <v>Saint-George</v>
      </c>
      <c r="C32" s="324">
        <f>'B) D RI'!U34</f>
        <v>37243.682394366202</v>
      </c>
      <c r="D32" s="34">
        <f>'B) D RI'!AR34</f>
        <v>1031</v>
      </c>
      <c r="E32" s="213">
        <f t="shared" si="4"/>
        <v>36.123843253507474</v>
      </c>
      <c r="F32" s="64">
        <f t="shared" si="5"/>
        <v>0.78048434179624582</v>
      </c>
      <c r="G32" s="291">
        <f t="shared" si="6"/>
        <v>0</v>
      </c>
      <c r="H32" s="291">
        <f t="shared" si="7"/>
        <v>0</v>
      </c>
      <c r="I32" s="291">
        <f t="shared" si="8"/>
        <v>0</v>
      </c>
      <c r="J32" s="291">
        <f t="shared" si="9"/>
        <v>0</v>
      </c>
      <c r="K32" s="292">
        <f t="shared" si="10"/>
        <v>0</v>
      </c>
      <c r="L32" s="59">
        <f>K32*D32*'B) D RI'!S34</f>
        <v>0</v>
      </c>
      <c r="M32" s="15">
        <f>(('B) D RI'!S34*C32)-(L32*$M$4))/'B) D RI'!S34</f>
        <v>37243.682394366202</v>
      </c>
      <c r="N32" s="281">
        <f t="shared" si="11"/>
        <v>36.123843253507474</v>
      </c>
      <c r="O32" s="64">
        <f t="shared" si="12"/>
        <v>0.80646552696707219</v>
      </c>
      <c r="R32" s="13"/>
    </row>
    <row r="33" spans="1:18" x14ac:dyDescent="0.25">
      <c r="A33" s="326">
        <f>'A) Base RI'!A35</f>
        <v>5435</v>
      </c>
      <c r="B33" s="34" t="str">
        <f>'A) Base RI'!B35</f>
        <v>Saint-Livres</v>
      </c>
      <c r="C33" s="324">
        <f>'B) D RI'!U35</f>
        <v>25784.308260869562</v>
      </c>
      <c r="D33" s="34">
        <f>'B) D RI'!AR35</f>
        <v>683</v>
      </c>
      <c r="E33" s="213">
        <f t="shared" si="4"/>
        <v>37.751549430262905</v>
      </c>
      <c r="F33" s="64">
        <f t="shared" si="5"/>
        <v>0.81565222731405529</v>
      </c>
      <c r="G33" s="291">
        <f t="shared" si="6"/>
        <v>0</v>
      </c>
      <c r="H33" s="291">
        <f t="shared" si="7"/>
        <v>0</v>
      </c>
      <c r="I33" s="291">
        <f t="shared" si="8"/>
        <v>0</v>
      </c>
      <c r="J33" s="291">
        <f t="shared" si="9"/>
        <v>0</v>
      </c>
      <c r="K33" s="292">
        <f t="shared" si="10"/>
        <v>0</v>
      </c>
      <c r="L33" s="59">
        <f>K33*D33*'B) D RI'!S35</f>
        <v>0</v>
      </c>
      <c r="M33" s="15">
        <f>(('B) D RI'!S35*C33)-(L33*$M$4))/'B) D RI'!S35</f>
        <v>25784.308260869562</v>
      </c>
      <c r="N33" s="281">
        <f t="shared" si="11"/>
        <v>37.751549430262905</v>
      </c>
      <c r="O33" s="64">
        <f t="shared" si="12"/>
        <v>0.84280410009099271</v>
      </c>
      <c r="R33" s="13"/>
    </row>
    <row r="34" spans="1:18" x14ac:dyDescent="0.25">
      <c r="A34" s="326">
        <f>'A) Base RI'!A36</f>
        <v>5436</v>
      </c>
      <c r="B34" s="34" t="str">
        <f>'A) Base RI'!B36</f>
        <v>Saint-Oyens</v>
      </c>
      <c r="C34" s="324">
        <f>'B) D RI'!U36</f>
        <v>11330.196234567902</v>
      </c>
      <c r="D34" s="34">
        <f>'B) D RI'!AR36</f>
        <v>366</v>
      </c>
      <c r="E34" s="213">
        <f t="shared" si="4"/>
        <v>30.956820313027055</v>
      </c>
      <c r="F34" s="64">
        <f t="shared" si="5"/>
        <v>0.66884670483591502</v>
      </c>
      <c r="G34" s="291">
        <f t="shared" si="6"/>
        <v>0</v>
      </c>
      <c r="H34" s="291">
        <f t="shared" si="7"/>
        <v>0</v>
      </c>
      <c r="I34" s="291">
        <f t="shared" si="8"/>
        <v>0</v>
      </c>
      <c r="J34" s="291">
        <f t="shared" si="9"/>
        <v>0</v>
      </c>
      <c r="K34" s="292">
        <f t="shared" si="10"/>
        <v>0</v>
      </c>
      <c r="L34" s="59">
        <f>K34*D34*'B) D RI'!S36</f>
        <v>0</v>
      </c>
      <c r="M34" s="15">
        <f>(('B) D RI'!S36*C34)-(L34*$M$4))/'B) D RI'!S36</f>
        <v>11330.196234567902</v>
      </c>
      <c r="N34" s="281">
        <f t="shared" si="11"/>
        <v>30.956820313027055</v>
      </c>
      <c r="O34" s="64">
        <f t="shared" si="12"/>
        <v>0.69111163592888947</v>
      </c>
      <c r="R34" s="13"/>
    </row>
    <row r="35" spans="1:18" x14ac:dyDescent="0.25">
      <c r="A35" s="326">
        <f>'A) Base RI'!A37</f>
        <v>5437</v>
      </c>
      <c r="B35" s="34" t="str">
        <f>'A) Base RI'!B37</f>
        <v>Saubraz</v>
      </c>
      <c r="C35" s="324">
        <f>'B) D RI'!U37</f>
        <v>9948.7022499999985</v>
      </c>
      <c r="D35" s="34">
        <f>'B) D RI'!AR37</f>
        <v>420</v>
      </c>
      <c r="E35" s="213">
        <f t="shared" si="4"/>
        <v>23.687386309523806</v>
      </c>
      <c r="F35" s="64">
        <f t="shared" si="5"/>
        <v>0.51178480603297982</v>
      </c>
      <c r="G35" s="291">
        <f t="shared" si="6"/>
        <v>0</v>
      </c>
      <c r="H35" s="291">
        <f t="shared" si="7"/>
        <v>0</v>
      </c>
      <c r="I35" s="291">
        <f t="shared" si="8"/>
        <v>0</v>
      </c>
      <c r="J35" s="291">
        <f t="shared" si="9"/>
        <v>0</v>
      </c>
      <c r="K35" s="292">
        <f t="shared" si="10"/>
        <v>0</v>
      </c>
      <c r="L35" s="59">
        <f>K35*D35*'B) D RI'!S37</f>
        <v>0</v>
      </c>
      <c r="M35" s="15">
        <f>(('B) D RI'!S37*C35)-(L35*$M$4))/'B) D RI'!S37</f>
        <v>9948.7022499999985</v>
      </c>
      <c r="N35" s="281">
        <f t="shared" si="11"/>
        <v>23.687386309523806</v>
      </c>
      <c r="O35" s="64">
        <f t="shared" si="12"/>
        <v>0.52882137563610154</v>
      </c>
      <c r="R35" s="13"/>
    </row>
    <row r="36" spans="1:18" x14ac:dyDescent="0.25">
      <c r="A36" s="326">
        <f>'A) Base RI'!A38</f>
        <v>5451</v>
      </c>
      <c r="B36" s="34" t="str">
        <f>'A) Base RI'!B38</f>
        <v>Avenches</v>
      </c>
      <c r="C36" s="324">
        <f>'B) D RI'!U38</f>
        <v>97584.0206372549</v>
      </c>
      <c r="D36" s="34">
        <f>'B) D RI'!AR38</f>
        <v>4210</v>
      </c>
      <c r="E36" s="213">
        <f t="shared" si="4"/>
        <v>23.179102289134182</v>
      </c>
      <c r="F36" s="64">
        <f t="shared" si="5"/>
        <v>0.50080292582949881</v>
      </c>
      <c r="G36" s="291">
        <f t="shared" si="6"/>
        <v>0</v>
      </c>
      <c r="H36" s="291">
        <f t="shared" si="7"/>
        <v>0</v>
      </c>
      <c r="I36" s="291">
        <f t="shared" si="8"/>
        <v>0</v>
      </c>
      <c r="J36" s="291">
        <f t="shared" si="9"/>
        <v>0</v>
      </c>
      <c r="K36" s="292">
        <f t="shared" si="10"/>
        <v>0</v>
      </c>
      <c r="L36" s="59">
        <f>K36*D36*'B) D RI'!S38</f>
        <v>0</v>
      </c>
      <c r="M36" s="15">
        <f>(('B) D RI'!S38*C36)-(L36*$M$4))/'B) D RI'!S38</f>
        <v>97584.0206372549</v>
      </c>
      <c r="N36" s="281">
        <f t="shared" si="11"/>
        <v>23.179102289134182</v>
      </c>
      <c r="O36" s="64">
        <f t="shared" si="12"/>
        <v>0.51747392466097142</v>
      </c>
      <c r="R36" s="13"/>
    </row>
    <row r="37" spans="1:18" x14ac:dyDescent="0.25">
      <c r="A37" s="326">
        <f>'A) Base RI'!A39</f>
        <v>5456</v>
      </c>
      <c r="B37" s="34" t="str">
        <f>'A) Base RI'!B39</f>
        <v>Cudrefin</v>
      </c>
      <c r="C37" s="324">
        <f>'B) D RI'!U39</f>
        <v>55901.49875706216</v>
      </c>
      <c r="D37" s="34">
        <f>'B) D RI'!AR39</f>
        <v>1589</v>
      </c>
      <c r="E37" s="213">
        <f t="shared" si="4"/>
        <v>35.180301294563975</v>
      </c>
      <c r="F37" s="64">
        <f t="shared" si="5"/>
        <v>0.76009836792255903</v>
      </c>
      <c r="G37" s="291">
        <f t="shared" si="6"/>
        <v>0</v>
      </c>
      <c r="H37" s="291">
        <f t="shared" si="7"/>
        <v>0</v>
      </c>
      <c r="I37" s="291">
        <f t="shared" si="8"/>
        <v>0</v>
      </c>
      <c r="J37" s="291">
        <f t="shared" si="9"/>
        <v>0</v>
      </c>
      <c r="K37" s="292">
        <f t="shared" si="10"/>
        <v>0</v>
      </c>
      <c r="L37" s="59">
        <f>K37*D37*'B) D RI'!S39</f>
        <v>0</v>
      </c>
      <c r="M37" s="15">
        <f>(('B) D RI'!S39*C37)-(L37*$M$4))/'B) D RI'!S39</f>
        <v>55901.49875706216</v>
      </c>
      <c r="N37" s="281">
        <f t="shared" si="11"/>
        <v>35.180301294563975</v>
      </c>
      <c r="O37" s="64">
        <f t="shared" si="12"/>
        <v>0.78540093376211106</v>
      </c>
      <c r="R37" s="13"/>
    </row>
    <row r="38" spans="1:18" x14ac:dyDescent="0.25">
      <c r="A38" s="326">
        <f>'A) Base RI'!A40</f>
        <v>5458</v>
      </c>
      <c r="B38" s="34" t="str">
        <f>'A) Base RI'!B40</f>
        <v>Faoug</v>
      </c>
      <c r="C38" s="324">
        <f>'B) D RI'!U40</f>
        <v>34800.236562500002</v>
      </c>
      <c r="D38" s="34">
        <f>'B) D RI'!AR40</f>
        <v>893</v>
      </c>
      <c r="E38" s="213">
        <f t="shared" si="4"/>
        <v>38.970029745240765</v>
      </c>
      <c r="F38" s="64">
        <f t="shared" si="5"/>
        <v>0.8419784628685969</v>
      </c>
      <c r="G38" s="291">
        <f t="shared" si="6"/>
        <v>0</v>
      </c>
      <c r="H38" s="291">
        <f t="shared" si="7"/>
        <v>0</v>
      </c>
      <c r="I38" s="291">
        <f t="shared" si="8"/>
        <v>0</v>
      </c>
      <c r="J38" s="291">
        <f t="shared" si="9"/>
        <v>0</v>
      </c>
      <c r="K38" s="292">
        <f t="shared" si="10"/>
        <v>0</v>
      </c>
      <c r="L38" s="59">
        <f>K38*D38*'B) D RI'!S40</f>
        <v>0</v>
      </c>
      <c r="M38" s="15">
        <f>(('B) D RI'!S40*C38)-(L38*$M$4))/'B) D RI'!S40</f>
        <v>34800.236562500002</v>
      </c>
      <c r="N38" s="281">
        <f t="shared" si="11"/>
        <v>38.970029745240765</v>
      </c>
      <c r="O38" s="64">
        <f t="shared" si="12"/>
        <v>0.87000669762253346</v>
      </c>
      <c r="R38" s="13"/>
    </row>
    <row r="39" spans="1:18" x14ac:dyDescent="0.25">
      <c r="A39" s="326">
        <f>'A) Base RI'!A41</f>
        <v>5464</v>
      </c>
      <c r="B39" s="34" t="str">
        <f>'A) Base RI'!B41</f>
        <v>Vully-les-Lacs</v>
      </c>
      <c r="C39" s="324">
        <f>'B) D RI'!U41</f>
        <v>98954.06119402984</v>
      </c>
      <c r="D39" s="34">
        <f>'B) D RI'!AR41</f>
        <v>3080</v>
      </c>
      <c r="E39" s="213">
        <f t="shared" si="4"/>
        <v>32.127941946113587</v>
      </c>
      <c r="F39" s="64">
        <f t="shared" si="5"/>
        <v>0.69414971843135065</v>
      </c>
      <c r="G39" s="291">
        <f t="shared" si="6"/>
        <v>0</v>
      </c>
      <c r="H39" s="291">
        <f t="shared" si="7"/>
        <v>0</v>
      </c>
      <c r="I39" s="291">
        <f t="shared" si="8"/>
        <v>0</v>
      </c>
      <c r="J39" s="291">
        <f t="shared" si="9"/>
        <v>0</v>
      </c>
      <c r="K39" s="292">
        <f t="shared" si="10"/>
        <v>0</v>
      </c>
      <c r="L39" s="59">
        <f>K39*D39*'B) D RI'!S41</f>
        <v>0</v>
      </c>
      <c r="M39" s="15">
        <f>(('B) D RI'!S41*C39)-(L39*$M$4))/'B) D RI'!S41</f>
        <v>98954.06119402984</v>
      </c>
      <c r="N39" s="281">
        <f t="shared" si="11"/>
        <v>32.127941946113587</v>
      </c>
      <c r="O39" s="64">
        <f t="shared" si="12"/>
        <v>0.71725694993497779</v>
      </c>
      <c r="R39" s="13"/>
    </row>
    <row r="40" spans="1:18" x14ac:dyDescent="0.25">
      <c r="A40" s="326">
        <f>'A) Base RI'!A42</f>
        <v>5471</v>
      </c>
      <c r="B40" s="34" t="str">
        <f>'A) Base RI'!B42</f>
        <v>Bettens</v>
      </c>
      <c r="C40" s="324">
        <f>'B) D RI'!U42</f>
        <v>19215.411857142855</v>
      </c>
      <c r="D40" s="34">
        <f>'B) D RI'!AR42</f>
        <v>574</v>
      </c>
      <c r="E40" s="213">
        <f t="shared" si="4"/>
        <v>33.476327277252359</v>
      </c>
      <c r="F40" s="64">
        <f t="shared" si="5"/>
        <v>0.72328265509803202</v>
      </c>
      <c r="G40" s="291">
        <f t="shared" si="6"/>
        <v>0</v>
      </c>
      <c r="H40" s="291">
        <f t="shared" si="7"/>
        <v>0</v>
      </c>
      <c r="I40" s="291">
        <f t="shared" si="8"/>
        <v>0</v>
      </c>
      <c r="J40" s="291">
        <f t="shared" si="9"/>
        <v>0</v>
      </c>
      <c r="K40" s="292">
        <f t="shared" si="10"/>
        <v>0</v>
      </c>
      <c r="L40" s="59">
        <f>K40*D40*'B) D RI'!S42</f>
        <v>0</v>
      </c>
      <c r="M40" s="15">
        <f>(('B) D RI'!S42*C40)-(L40*$M$4))/'B) D RI'!S42</f>
        <v>19215.411857142855</v>
      </c>
      <c r="N40" s="281">
        <f t="shared" si="11"/>
        <v>33.476327277252359</v>
      </c>
      <c r="O40" s="64">
        <f t="shared" si="12"/>
        <v>0.74735967956427651</v>
      </c>
      <c r="R40" s="13"/>
    </row>
    <row r="41" spans="1:18" x14ac:dyDescent="0.25">
      <c r="A41" s="326">
        <f>'A) Base RI'!A43</f>
        <v>5472</v>
      </c>
      <c r="B41" s="34" t="str">
        <f>'A) Base RI'!B43</f>
        <v>Bournens</v>
      </c>
      <c r="C41" s="324">
        <f>'B) D RI'!U43</f>
        <v>15134.969000000003</v>
      </c>
      <c r="D41" s="34">
        <f>'B) D RI'!AR43</f>
        <v>419</v>
      </c>
      <c r="E41" s="213">
        <f t="shared" si="4"/>
        <v>36.121644391408118</v>
      </c>
      <c r="F41" s="64">
        <f t="shared" si="5"/>
        <v>0.78043683363311178</v>
      </c>
      <c r="G41" s="291">
        <f t="shared" si="6"/>
        <v>0</v>
      </c>
      <c r="H41" s="291">
        <f t="shared" si="7"/>
        <v>0</v>
      </c>
      <c r="I41" s="291">
        <f t="shared" si="8"/>
        <v>0</v>
      </c>
      <c r="J41" s="291">
        <f t="shared" si="9"/>
        <v>0</v>
      </c>
      <c r="K41" s="292">
        <f t="shared" si="10"/>
        <v>0</v>
      </c>
      <c r="L41" s="59">
        <f>K41*D41*'B) D RI'!S43</f>
        <v>0</v>
      </c>
      <c r="M41" s="15">
        <f>(('B) D RI'!S43*C41)-(L41*$M$4))/'B) D RI'!S43</f>
        <v>15134.969000000003</v>
      </c>
      <c r="N41" s="281">
        <f t="shared" si="11"/>
        <v>36.121644391408118</v>
      </c>
      <c r="O41" s="64">
        <f t="shared" si="12"/>
        <v>0.80641643732649215</v>
      </c>
      <c r="R41" s="13"/>
    </row>
    <row r="42" spans="1:18" x14ac:dyDescent="0.25">
      <c r="A42" s="326">
        <f>'A) Base RI'!A44</f>
        <v>5473</v>
      </c>
      <c r="B42" s="34" t="str">
        <f>'A) Base RI'!B44</f>
        <v>Boussens</v>
      </c>
      <c r="C42" s="324">
        <f>'B) D RI'!U44</f>
        <v>33278.780724637691</v>
      </c>
      <c r="D42" s="34">
        <f>'B) D RI'!AR44</f>
        <v>982</v>
      </c>
      <c r="E42" s="213">
        <f t="shared" si="4"/>
        <v>33.888778741993576</v>
      </c>
      <c r="F42" s="64">
        <f t="shared" si="5"/>
        <v>0.73219399677677732</v>
      </c>
      <c r="G42" s="291">
        <f t="shared" si="6"/>
        <v>0</v>
      </c>
      <c r="H42" s="291">
        <f t="shared" si="7"/>
        <v>0</v>
      </c>
      <c r="I42" s="291">
        <f t="shared" si="8"/>
        <v>0</v>
      </c>
      <c r="J42" s="291">
        <f t="shared" si="9"/>
        <v>0</v>
      </c>
      <c r="K42" s="292">
        <f t="shared" si="10"/>
        <v>0</v>
      </c>
      <c r="L42" s="59">
        <f>K42*D42*'B) D RI'!S44</f>
        <v>0</v>
      </c>
      <c r="M42" s="15">
        <f>(('B) D RI'!S44*C42)-(L42*$M$4))/'B) D RI'!S44</f>
        <v>33278.780724637691</v>
      </c>
      <c r="N42" s="281">
        <f t="shared" si="11"/>
        <v>33.888778741993576</v>
      </c>
      <c r="O42" s="64">
        <f t="shared" si="12"/>
        <v>0.75656766680767618</v>
      </c>
      <c r="R42" s="13"/>
    </row>
    <row r="43" spans="1:18" x14ac:dyDescent="0.25">
      <c r="A43" s="326">
        <f>'A) Base RI'!A45</f>
        <v>5474</v>
      </c>
      <c r="B43" s="34" t="str">
        <f>'A) Base RI'!B45</f>
        <v>La Chaux (Cossonay)</v>
      </c>
      <c r="C43" s="324">
        <f>'B) D RI'!U45</f>
        <v>13413.30380952381</v>
      </c>
      <c r="D43" s="34">
        <f>'B) D RI'!AR45</f>
        <v>420</v>
      </c>
      <c r="E43" s="213">
        <f t="shared" si="4"/>
        <v>31.936437641723355</v>
      </c>
      <c r="F43" s="64">
        <f t="shared" si="5"/>
        <v>0.69001211574289234</v>
      </c>
      <c r="G43" s="291">
        <f t="shared" si="6"/>
        <v>0</v>
      </c>
      <c r="H43" s="291">
        <f t="shared" si="7"/>
        <v>0</v>
      </c>
      <c r="I43" s="291">
        <f t="shared" si="8"/>
        <v>0</v>
      </c>
      <c r="J43" s="291">
        <f t="shared" si="9"/>
        <v>0</v>
      </c>
      <c r="K43" s="292">
        <f t="shared" si="10"/>
        <v>0</v>
      </c>
      <c r="L43" s="59">
        <f>K43*D43*'B) D RI'!S45</f>
        <v>0</v>
      </c>
      <c r="M43" s="15">
        <f>(('B) D RI'!S45*C43)-(L43*$M$4))/'B) D RI'!S45</f>
        <v>13413.30380952381</v>
      </c>
      <c r="N43" s="281">
        <f t="shared" si="11"/>
        <v>31.936437641723355</v>
      </c>
      <c r="O43" s="64">
        <f t="shared" si="12"/>
        <v>0.71298161248893976</v>
      </c>
      <c r="R43" s="13"/>
    </row>
    <row r="44" spans="1:18" x14ac:dyDescent="0.25">
      <c r="A44" s="326">
        <f>'A) Base RI'!A46</f>
        <v>5475</v>
      </c>
      <c r="B44" s="34" t="str">
        <f>'A) Base RI'!B46</f>
        <v>Chavannes-le-Veyron</v>
      </c>
      <c r="C44" s="324">
        <f>'B) D RI'!U46</f>
        <v>3783.0914285714284</v>
      </c>
      <c r="D44" s="34">
        <f>'B) D RI'!AR46</f>
        <v>141</v>
      </c>
      <c r="E44" s="213">
        <f t="shared" si="4"/>
        <v>26.830435663627153</v>
      </c>
      <c r="F44" s="64">
        <f t="shared" si="5"/>
        <v>0.5796928851693901</v>
      </c>
      <c r="G44" s="291">
        <f t="shared" si="6"/>
        <v>0</v>
      </c>
      <c r="H44" s="291">
        <f t="shared" si="7"/>
        <v>0</v>
      </c>
      <c r="I44" s="291">
        <f t="shared" si="8"/>
        <v>0</v>
      </c>
      <c r="J44" s="291">
        <f t="shared" si="9"/>
        <v>0</v>
      </c>
      <c r="K44" s="292">
        <f t="shared" si="10"/>
        <v>0</v>
      </c>
      <c r="L44" s="59">
        <f>K44*D44*'B) D RI'!S46</f>
        <v>0</v>
      </c>
      <c r="M44" s="15">
        <f>(('B) D RI'!S46*C44)-(L44*$M$4))/'B) D RI'!S46</f>
        <v>3783.0914285714284</v>
      </c>
      <c r="N44" s="281">
        <f t="shared" si="11"/>
        <v>26.830435663627153</v>
      </c>
      <c r="O44" s="64">
        <f t="shared" si="12"/>
        <v>0.59899001566291699</v>
      </c>
      <c r="R44" s="13"/>
    </row>
    <row r="45" spans="1:18" x14ac:dyDescent="0.25">
      <c r="A45" s="326">
        <f>'A) Base RI'!A47</f>
        <v>5476</v>
      </c>
      <c r="B45" s="34" t="str">
        <f>'A) Base RI'!B47</f>
        <v>Chevilly</v>
      </c>
      <c r="C45" s="324">
        <f>'B) D RI'!U47</f>
        <v>10089.483198198201</v>
      </c>
      <c r="D45" s="34">
        <f>'B) D RI'!AR47</f>
        <v>298</v>
      </c>
      <c r="E45" s="213">
        <f t="shared" si="4"/>
        <v>33.857326168450335</v>
      </c>
      <c r="F45" s="64">
        <f t="shared" si="5"/>
        <v>0.73151443892941814</v>
      </c>
      <c r="G45" s="291">
        <f t="shared" si="6"/>
        <v>0</v>
      </c>
      <c r="H45" s="291">
        <f t="shared" si="7"/>
        <v>0</v>
      </c>
      <c r="I45" s="291">
        <f t="shared" si="8"/>
        <v>0</v>
      </c>
      <c r="J45" s="291">
        <f t="shared" si="9"/>
        <v>0</v>
      </c>
      <c r="K45" s="292">
        <f t="shared" si="10"/>
        <v>0</v>
      </c>
      <c r="L45" s="59">
        <f>K45*D45*'B) D RI'!S47</f>
        <v>0</v>
      </c>
      <c r="M45" s="15">
        <f>(('B) D RI'!S47*C45)-(L45*$M$4))/'B) D RI'!S47</f>
        <v>10089.483198198201</v>
      </c>
      <c r="N45" s="281">
        <f t="shared" si="11"/>
        <v>33.857326168450335</v>
      </c>
      <c r="O45" s="64">
        <f t="shared" si="12"/>
        <v>0.75586548747091475</v>
      </c>
      <c r="R45" s="13"/>
    </row>
    <row r="46" spans="1:18" x14ac:dyDescent="0.25">
      <c r="A46" s="326">
        <f>'A) Base RI'!A48</f>
        <v>5477</v>
      </c>
      <c r="B46" s="34" t="str">
        <f>'A) Base RI'!B48</f>
        <v>Cossonay</v>
      </c>
      <c r="C46" s="324">
        <f>'B) D RI'!U48</f>
        <v>126013.2271830986</v>
      </c>
      <c r="D46" s="34">
        <f>'B) D RI'!AR48</f>
        <v>3808</v>
      </c>
      <c r="E46" s="213">
        <f t="shared" si="4"/>
        <v>33.091708819091018</v>
      </c>
      <c r="F46" s="64">
        <f t="shared" si="5"/>
        <v>0.71497266764586365</v>
      </c>
      <c r="G46" s="291">
        <f t="shared" si="6"/>
        <v>0</v>
      </c>
      <c r="H46" s="291">
        <f t="shared" si="7"/>
        <v>0</v>
      </c>
      <c r="I46" s="291">
        <f t="shared" si="8"/>
        <v>0</v>
      </c>
      <c r="J46" s="291">
        <f t="shared" si="9"/>
        <v>0</v>
      </c>
      <c r="K46" s="292">
        <f t="shared" si="10"/>
        <v>0</v>
      </c>
      <c r="L46" s="59">
        <f>K46*D46*'B) D RI'!S48</f>
        <v>0</v>
      </c>
      <c r="M46" s="15">
        <f>(('B) D RI'!S48*C46)-(L46*$M$4))/'B) D RI'!S48</f>
        <v>126013.2271830986</v>
      </c>
      <c r="N46" s="281">
        <f t="shared" si="11"/>
        <v>33.091708819091018</v>
      </c>
      <c r="O46" s="64">
        <f t="shared" si="12"/>
        <v>0.73877306475240334</v>
      </c>
      <c r="R46" s="13"/>
    </row>
    <row r="47" spans="1:18" x14ac:dyDescent="0.25">
      <c r="A47" s="326">
        <f>'A) Base RI'!A49</f>
        <v>5478</v>
      </c>
      <c r="B47" s="34" t="str">
        <f>'A) Base RI'!B49</f>
        <v>Cottens</v>
      </c>
      <c r="C47" s="324">
        <f>'B) D RI'!U49</f>
        <v>17030.362972972973</v>
      </c>
      <c r="D47" s="34">
        <f>'B) D RI'!AR49</f>
        <v>477</v>
      </c>
      <c r="E47" s="213">
        <f t="shared" si="4"/>
        <v>35.703067029293443</v>
      </c>
      <c r="F47" s="64">
        <f t="shared" si="5"/>
        <v>0.77139313707324586</v>
      </c>
      <c r="G47" s="291">
        <f t="shared" si="6"/>
        <v>0</v>
      </c>
      <c r="H47" s="291">
        <f t="shared" si="7"/>
        <v>0</v>
      </c>
      <c r="I47" s="291">
        <f t="shared" si="8"/>
        <v>0</v>
      </c>
      <c r="J47" s="291">
        <f t="shared" si="9"/>
        <v>0</v>
      </c>
      <c r="K47" s="292">
        <f t="shared" si="10"/>
        <v>0</v>
      </c>
      <c r="L47" s="59">
        <f>K47*D47*'B) D RI'!S49</f>
        <v>0</v>
      </c>
      <c r="M47" s="15">
        <f>(('B) D RI'!S49*C47)-(L47*$M$4))/'B) D RI'!S49</f>
        <v>17030.362972972973</v>
      </c>
      <c r="N47" s="281">
        <f t="shared" si="11"/>
        <v>35.703067029293443</v>
      </c>
      <c r="O47" s="64">
        <f t="shared" si="12"/>
        <v>0.79707168930105821</v>
      </c>
      <c r="R47" s="13"/>
    </row>
    <row r="48" spans="1:18" x14ac:dyDescent="0.25">
      <c r="A48" s="326">
        <f>'A) Base RI'!A50</f>
        <v>5479</v>
      </c>
      <c r="B48" s="34" t="str">
        <f>'A) Base RI'!B50</f>
        <v>Cuarnens</v>
      </c>
      <c r="C48" s="324">
        <f>'B) D RI'!U50</f>
        <v>19628.392987012987</v>
      </c>
      <c r="D48" s="34">
        <f>'B) D RI'!AR50</f>
        <v>479</v>
      </c>
      <c r="E48" s="213">
        <f t="shared" si="4"/>
        <v>40.977855922782851</v>
      </c>
      <c r="F48" s="64">
        <f t="shared" si="5"/>
        <v>0.88535914309198516</v>
      </c>
      <c r="G48" s="291">
        <f t="shared" si="6"/>
        <v>0</v>
      </c>
      <c r="H48" s="291">
        <f t="shared" si="7"/>
        <v>0</v>
      </c>
      <c r="I48" s="291">
        <f t="shared" si="8"/>
        <v>0</v>
      </c>
      <c r="J48" s="291">
        <f t="shared" si="9"/>
        <v>0</v>
      </c>
      <c r="K48" s="292">
        <f t="shared" si="10"/>
        <v>0</v>
      </c>
      <c r="L48" s="59">
        <f>K48*D48*'B) D RI'!S50</f>
        <v>0</v>
      </c>
      <c r="M48" s="15">
        <f>(('B) D RI'!S50*C48)-(L48*$M$4))/'B) D RI'!S50</f>
        <v>19628.392987012987</v>
      </c>
      <c r="N48" s="281">
        <f t="shared" si="11"/>
        <v>40.977855922782851</v>
      </c>
      <c r="O48" s="64">
        <f t="shared" si="12"/>
        <v>0.9148314574069879</v>
      </c>
      <c r="R48" s="13"/>
    </row>
    <row r="49" spans="1:18" x14ac:dyDescent="0.25">
      <c r="A49" s="326">
        <f>'A) Base RI'!A51</f>
        <v>5480</v>
      </c>
      <c r="B49" s="34" t="str">
        <f>'A) Base RI'!B51</f>
        <v>Daillens</v>
      </c>
      <c r="C49" s="324">
        <f>'B) D RI'!U51</f>
        <v>41809.315211267603</v>
      </c>
      <c r="D49" s="34">
        <f>'B) D RI'!AR51</f>
        <v>998</v>
      </c>
      <c r="E49" s="213">
        <f t="shared" si="4"/>
        <v>41.893101414095796</v>
      </c>
      <c r="F49" s="64">
        <f t="shared" si="5"/>
        <v>0.90513374929477353</v>
      </c>
      <c r="G49" s="291">
        <f t="shared" si="6"/>
        <v>0</v>
      </c>
      <c r="H49" s="291">
        <f t="shared" si="7"/>
        <v>0</v>
      </c>
      <c r="I49" s="291">
        <f t="shared" si="8"/>
        <v>0</v>
      </c>
      <c r="J49" s="291">
        <f t="shared" si="9"/>
        <v>0</v>
      </c>
      <c r="K49" s="292">
        <f t="shared" si="10"/>
        <v>0</v>
      </c>
      <c r="L49" s="59">
        <f>K49*D49*'B) D RI'!S51</f>
        <v>0</v>
      </c>
      <c r="M49" s="15">
        <f>(('B) D RI'!S51*C49)-(L49*$M$4))/'B) D RI'!S51</f>
        <v>41809.315211267603</v>
      </c>
      <c r="N49" s="281">
        <f t="shared" si="11"/>
        <v>41.893101414095796</v>
      </c>
      <c r="O49" s="64">
        <f t="shared" si="12"/>
        <v>0.93526433140314735</v>
      </c>
      <c r="R49" s="13"/>
    </row>
    <row r="50" spans="1:18" x14ac:dyDescent="0.25">
      <c r="A50" s="326">
        <f>'A) Base RI'!A52</f>
        <v>5481</v>
      </c>
      <c r="B50" s="34" t="str">
        <f>'A) Base RI'!B52</f>
        <v>Dizy</v>
      </c>
      <c r="C50" s="324">
        <f>'B) D RI'!U52</f>
        <v>8477.634430379745</v>
      </c>
      <c r="D50" s="34">
        <f>'B) D RI'!AR52</f>
        <v>229</v>
      </c>
      <c r="E50" s="213">
        <f t="shared" si="4"/>
        <v>37.020237687247793</v>
      </c>
      <c r="F50" s="64">
        <f t="shared" si="5"/>
        <v>0.79985165591888419</v>
      </c>
      <c r="G50" s="291">
        <f t="shared" si="6"/>
        <v>0</v>
      </c>
      <c r="H50" s="291">
        <f t="shared" si="7"/>
        <v>0</v>
      </c>
      <c r="I50" s="291">
        <f t="shared" si="8"/>
        <v>0</v>
      </c>
      <c r="J50" s="291">
        <f t="shared" si="9"/>
        <v>0</v>
      </c>
      <c r="K50" s="292">
        <f t="shared" si="10"/>
        <v>0</v>
      </c>
      <c r="L50" s="59">
        <f>K50*D50*'B) D RI'!S52</f>
        <v>0</v>
      </c>
      <c r="M50" s="15">
        <f>(('B) D RI'!S52*C50)-(L50*$M$4))/'B) D RI'!S52</f>
        <v>8477.634430379745</v>
      </c>
      <c r="N50" s="281">
        <f t="shared" si="11"/>
        <v>37.020237687247793</v>
      </c>
      <c r="O50" s="64">
        <f t="shared" si="12"/>
        <v>0.82647755072388951</v>
      </c>
      <c r="R50" s="13"/>
    </row>
    <row r="51" spans="1:18" x14ac:dyDescent="0.25">
      <c r="A51" s="326">
        <f>'A) Base RI'!A53</f>
        <v>5482</v>
      </c>
      <c r="B51" s="34" t="str">
        <f>'A) Base RI'!B53</f>
        <v>Eclépens</v>
      </c>
      <c r="C51" s="324">
        <f>'B) D RI'!U53</f>
        <v>50368.719782608692</v>
      </c>
      <c r="D51" s="34">
        <f>'B) D RI'!AR53</f>
        <v>1091</v>
      </c>
      <c r="E51" s="213">
        <f t="shared" si="4"/>
        <v>46.167479177459846</v>
      </c>
      <c r="F51" s="64">
        <f t="shared" si="5"/>
        <v>0.99748507780143181</v>
      </c>
      <c r="G51" s="291">
        <f t="shared" si="6"/>
        <v>0</v>
      </c>
      <c r="H51" s="291">
        <f t="shared" si="7"/>
        <v>0</v>
      </c>
      <c r="I51" s="291">
        <f t="shared" si="8"/>
        <v>0</v>
      </c>
      <c r="J51" s="291">
        <f t="shared" si="9"/>
        <v>0</v>
      </c>
      <c r="K51" s="292">
        <f t="shared" si="10"/>
        <v>0</v>
      </c>
      <c r="L51" s="59">
        <f>K51*D51*'B) D RI'!S53</f>
        <v>0</v>
      </c>
      <c r="M51" s="15">
        <f>(('B) D RI'!S53*C51)-(L51*$M$4))/'B) D RI'!S53</f>
        <v>50368.719782608692</v>
      </c>
      <c r="N51" s="281">
        <f t="shared" si="11"/>
        <v>46.167479177459846</v>
      </c>
      <c r="O51" s="64">
        <f t="shared" si="12"/>
        <v>1.0306899009140278</v>
      </c>
      <c r="R51" s="13"/>
    </row>
    <row r="52" spans="1:18" x14ac:dyDescent="0.25">
      <c r="A52" s="326">
        <f>'A) Base RI'!A54</f>
        <v>5483</v>
      </c>
      <c r="B52" s="34" t="str">
        <f>'A) Base RI'!B54</f>
        <v>Ferreyres</v>
      </c>
      <c r="C52" s="324">
        <f>'B) D RI'!U54</f>
        <v>12305.209605263159</v>
      </c>
      <c r="D52" s="34">
        <f>'B) D RI'!AR54</f>
        <v>322</v>
      </c>
      <c r="E52" s="213">
        <f t="shared" si="4"/>
        <v>38.214936662307949</v>
      </c>
      <c r="F52" s="64">
        <f t="shared" si="5"/>
        <v>0.8256640767250214</v>
      </c>
      <c r="G52" s="291">
        <f t="shared" si="6"/>
        <v>0</v>
      </c>
      <c r="H52" s="291">
        <f t="shared" si="7"/>
        <v>0</v>
      </c>
      <c r="I52" s="291">
        <f t="shared" si="8"/>
        <v>0</v>
      </c>
      <c r="J52" s="291">
        <f t="shared" si="9"/>
        <v>0</v>
      </c>
      <c r="K52" s="292">
        <f t="shared" si="10"/>
        <v>0</v>
      </c>
      <c r="L52" s="59">
        <f>K52*D52*'B) D RI'!S54</f>
        <v>0</v>
      </c>
      <c r="M52" s="15">
        <f>(('B) D RI'!S54*C52)-(L52*$M$4))/'B) D RI'!S54</f>
        <v>12305.209605263159</v>
      </c>
      <c r="N52" s="281">
        <f t="shared" si="11"/>
        <v>38.214936662307949</v>
      </c>
      <c r="O52" s="64">
        <f t="shared" si="12"/>
        <v>0.85314922936360227</v>
      </c>
      <c r="R52" s="13"/>
    </row>
    <row r="53" spans="1:18" x14ac:dyDescent="0.25">
      <c r="A53" s="326">
        <f>'A) Base RI'!A55</f>
        <v>5484</v>
      </c>
      <c r="B53" s="34" t="str">
        <f>'A) Base RI'!B55</f>
        <v>Gollion</v>
      </c>
      <c r="C53" s="324">
        <f>'B) D RI'!U55</f>
        <v>34769.525540540541</v>
      </c>
      <c r="D53" s="34">
        <f>'B) D RI'!AR55</f>
        <v>918</v>
      </c>
      <c r="E53" s="213">
        <f t="shared" si="4"/>
        <v>37.875300153094273</v>
      </c>
      <c r="F53" s="64">
        <f t="shared" si="5"/>
        <v>0.81832596002787639</v>
      </c>
      <c r="G53" s="291">
        <f t="shared" si="6"/>
        <v>0</v>
      </c>
      <c r="H53" s="291">
        <f t="shared" si="7"/>
        <v>0</v>
      </c>
      <c r="I53" s="291">
        <f t="shared" si="8"/>
        <v>0</v>
      </c>
      <c r="J53" s="291">
        <f t="shared" si="9"/>
        <v>0</v>
      </c>
      <c r="K53" s="292">
        <f t="shared" si="10"/>
        <v>0</v>
      </c>
      <c r="L53" s="59">
        <f>K53*D53*'B) D RI'!S55</f>
        <v>0</v>
      </c>
      <c r="M53" s="15">
        <f>(('B) D RI'!S55*C53)-(L53*$M$4))/'B) D RI'!S55</f>
        <v>34769.525540540541</v>
      </c>
      <c r="N53" s="281">
        <f t="shared" si="11"/>
        <v>37.875300153094273</v>
      </c>
      <c r="O53" s="64">
        <f t="shared" si="12"/>
        <v>0.84556683746642591</v>
      </c>
      <c r="R53" s="13"/>
    </row>
    <row r="54" spans="1:18" x14ac:dyDescent="0.25">
      <c r="A54" s="326">
        <f>'A) Base RI'!A56</f>
        <v>5485</v>
      </c>
      <c r="B54" s="34" t="str">
        <f>'A) Base RI'!B56</f>
        <v>Grancy</v>
      </c>
      <c r="C54" s="324">
        <f>'B) D RI'!U56</f>
        <v>17864.595714285719</v>
      </c>
      <c r="D54" s="34">
        <f>'B) D RI'!AR56</f>
        <v>403</v>
      </c>
      <c r="E54" s="213">
        <f t="shared" si="4"/>
        <v>44.329021623537763</v>
      </c>
      <c r="F54" s="64">
        <f t="shared" si="5"/>
        <v>0.95776374129181518</v>
      </c>
      <c r="G54" s="291">
        <f t="shared" si="6"/>
        <v>0</v>
      </c>
      <c r="H54" s="291">
        <f t="shared" si="7"/>
        <v>0</v>
      </c>
      <c r="I54" s="291">
        <f t="shared" si="8"/>
        <v>0</v>
      </c>
      <c r="J54" s="291">
        <f t="shared" si="9"/>
        <v>0</v>
      </c>
      <c r="K54" s="292">
        <f t="shared" si="10"/>
        <v>0</v>
      </c>
      <c r="L54" s="59">
        <f>K54*D54*'B) D RI'!S56</f>
        <v>0</v>
      </c>
      <c r="M54" s="15">
        <f>(('B) D RI'!S56*C54)-(L54*$M$4))/'B) D RI'!S56</f>
        <v>17864.595714285719</v>
      </c>
      <c r="N54" s="281">
        <f t="shared" si="11"/>
        <v>44.329021623537763</v>
      </c>
      <c r="O54" s="64">
        <f t="shared" si="12"/>
        <v>0.9896462990573397</v>
      </c>
      <c r="R54" s="13"/>
    </row>
    <row r="55" spans="1:18" x14ac:dyDescent="0.25">
      <c r="A55" s="326">
        <f>'A) Base RI'!A57</f>
        <v>5486</v>
      </c>
      <c r="B55" s="34" t="str">
        <f>'A) Base RI'!B57</f>
        <v>L'Isle</v>
      </c>
      <c r="C55" s="324">
        <f>'B) D RI'!U57</f>
        <v>26187.199605263158</v>
      </c>
      <c r="D55" s="34">
        <f>'B) D RI'!AR57</f>
        <v>1005</v>
      </c>
      <c r="E55" s="213">
        <f t="shared" si="4"/>
        <v>26.056915030112595</v>
      </c>
      <c r="F55" s="64">
        <f t="shared" si="5"/>
        <v>0.56298035715077166</v>
      </c>
      <c r="G55" s="291">
        <f t="shared" si="6"/>
        <v>0</v>
      </c>
      <c r="H55" s="291">
        <f t="shared" si="7"/>
        <v>0</v>
      </c>
      <c r="I55" s="291">
        <f t="shared" si="8"/>
        <v>0</v>
      </c>
      <c r="J55" s="291">
        <f t="shared" si="9"/>
        <v>0</v>
      </c>
      <c r="K55" s="292">
        <f t="shared" si="10"/>
        <v>0</v>
      </c>
      <c r="L55" s="59">
        <f>K55*D55*'B) D RI'!S57</f>
        <v>0</v>
      </c>
      <c r="M55" s="15">
        <f>(('B) D RI'!S57*C55)-(L55*$M$4))/'B) D RI'!S57</f>
        <v>26187.199605263158</v>
      </c>
      <c r="N55" s="281">
        <f t="shared" si="11"/>
        <v>26.056915030112595</v>
      </c>
      <c r="O55" s="64">
        <f t="shared" si="12"/>
        <v>0.58172115196673058</v>
      </c>
      <c r="R55" s="13"/>
    </row>
    <row r="56" spans="1:18" x14ac:dyDescent="0.25">
      <c r="A56" s="326">
        <f>'A) Base RI'!A58</f>
        <v>5487</v>
      </c>
      <c r="B56" s="34" t="str">
        <f>'A) Base RI'!B58</f>
        <v>Lussery-Villars</v>
      </c>
      <c r="C56" s="324">
        <f>'B) D RI'!U58</f>
        <v>14370.481805555557</v>
      </c>
      <c r="D56" s="34">
        <f>'B) D RI'!AR58</f>
        <v>459</v>
      </c>
      <c r="E56" s="213">
        <f t="shared" si="4"/>
        <v>31.308239227789883</v>
      </c>
      <c r="F56" s="64">
        <f t="shared" si="5"/>
        <v>0.67643938976865081</v>
      </c>
      <c r="G56" s="291">
        <f t="shared" si="6"/>
        <v>0</v>
      </c>
      <c r="H56" s="291">
        <f t="shared" si="7"/>
        <v>0</v>
      </c>
      <c r="I56" s="291">
        <f t="shared" si="8"/>
        <v>0</v>
      </c>
      <c r="J56" s="291">
        <f t="shared" si="9"/>
        <v>0</v>
      </c>
      <c r="K56" s="292">
        <f t="shared" si="10"/>
        <v>0</v>
      </c>
      <c r="L56" s="59">
        <f>K56*D56*'B) D RI'!S58</f>
        <v>0</v>
      </c>
      <c r="M56" s="15">
        <f>(('B) D RI'!S58*C56)-(L56*$M$4))/'B) D RI'!S58</f>
        <v>14370.481805555557</v>
      </c>
      <c r="N56" s="281">
        <f t="shared" si="11"/>
        <v>31.308239227789883</v>
      </c>
      <c r="O56" s="64">
        <f t="shared" si="12"/>
        <v>0.69895707026685638</v>
      </c>
      <c r="R56" s="13"/>
    </row>
    <row r="57" spans="1:18" x14ac:dyDescent="0.25">
      <c r="A57" s="326">
        <f>'A) Base RI'!A59</f>
        <v>5488</v>
      </c>
      <c r="B57" s="34" t="str">
        <f>'A) Base RI'!B59</f>
        <v>Mauraz</v>
      </c>
      <c r="C57" s="324">
        <f>'B) D RI'!U59</f>
        <v>1634.9372972972974</v>
      </c>
      <c r="D57" s="34">
        <f>'B) D RI'!AR59</f>
        <v>60</v>
      </c>
      <c r="E57" s="213">
        <f t="shared" si="4"/>
        <v>27.248954954954957</v>
      </c>
      <c r="F57" s="64">
        <f t="shared" si="5"/>
        <v>0.58873532706375575</v>
      </c>
      <c r="G57" s="291">
        <f t="shared" si="6"/>
        <v>0</v>
      </c>
      <c r="H57" s="291">
        <f t="shared" si="7"/>
        <v>0</v>
      </c>
      <c r="I57" s="291">
        <f t="shared" si="8"/>
        <v>0</v>
      </c>
      <c r="J57" s="291">
        <f t="shared" si="9"/>
        <v>0</v>
      </c>
      <c r="K57" s="292">
        <f t="shared" si="10"/>
        <v>0</v>
      </c>
      <c r="L57" s="59">
        <f>K57*D57*'B) D RI'!S59</f>
        <v>0</v>
      </c>
      <c r="M57" s="15">
        <f>(('B) D RI'!S59*C57)-(L57*$M$4))/'B) D RI'!S59</f>
        <v>1634.9372972972974</v>
      </c>
      <c r="N57" s="281">
        <f t="shared" si="11"/>
        <v>27.248954954954957</v>
      </c>
      <c r="O57" s="64">
        <f t="shared" si="12"/>
        <v>0.60833346725686632</v>
      </c>
      <c r="R57" s="13"/>
    </row>
    <row r="58" spans="1:18" x14ac:dyDescent="0.25">
      <c r="A58" s="326">
        <f>'A) Base RI'!A60</f>
        <v>5489</v>
      </c>
      <c r="B58" s="34" t="str">
        <f>'A) Base RI'!B60</f>
        <v>Mex</v>
      </c>
      <c r="C58" s="324">
        <f>'B) D RI'!U60</f>
        <v>57398.642786885255</v>
      </c>
      <c r="D58" s="34">
        <f>'B) D RI'!AR60</f>
        <v>718</v>
      </c>
      <c r="E58" s="213">
        <f t="shared" si="4"/>
        <v>79.942399424631276</v>
      </c>
      <c r="F58" s="64">
        <f t="shared" si="5"/>
        <v>1.7272190713120688</v>
      </c>
      <c r="G58" s="291">
        <f t="shared" si="6"/>
        <v>24.401743984389775</v>
      </c>
      <c r="H58" s="291">
        <f t="shared" si="7"/>
        <v>10.516580124329394</v>
      </c>
      <c r="I58" s="291">
        <f t="shared" si="8"/>
        <v>0</v>
      </c>
      <c r="J58" s="291">
        <f t="shared" si="9"/>
        <v>0</v>
      </c>
      <c r="K58" s="292">
        <f t="shared" si="10"/>
        <v>9.8362858468132579</v>
      </c>
      <c r="L58" s="59">
        <f>K58*D58*'B) D RI'!S60</f>
        <v>430809.64751872706</v>
      </c>
      <c r="M58" s="15">
        <f>(('B) D RI'!S60*C58)-(L58*$M$4))/'B) D RI'!S60</f>
        <v>52808.048182177503</v>
      </c>
      <c r="N58" s="281">
        <f t="shared" si="11"/>
        <v>73.548813624202651</v>
      </c>
      <c r="O58" s="64">
        <f t="shared" si="12"/>
        <v>1.6419787429867769</v>
      </c>
      <c r="R58" s="13"/>
    </row>
    <row r="59" spans="1:18" x14ac:dyDescent="0.25">
      <c r="A59" s="326">
        <f>'A) Base RI'!A61</f>
        <v>5490</v>
      </c>
      <c r="B59" s="34" t="str">
        <f>'A) Base RI'!B61</f>
        <v>Moiry</v>
      </c>
      <c r="C59" s="324">
        <f>'B) D RI'!U61</f>
        <v>8164.7235802469131</v>
      </c>
      <c r="D59" s="34">
        <f>'B) D RI'!AR61</f>
        <v>316</v>
      </c>
      <c r="E59" s="213">
        <f t="shared" si="4"/>
        <v>25.837732848882638</v>
      </c>
      <c r="F59" s="64">
        <f t="shared" si="5"/>
        <v>0.5582447519370568</v>
      </c>
      <c r="G59" s="291">
        <f t="shared" si="6"/>
        <v>0</v>
      </c>
      <c r="H59" s="291">
        <f t="shared" si="7"/>
        <v>0</v>
      </c>
      <c r="I59" s="291">
        <f t="shared" si="8"/>
        <v>0</v>
      </c>
      <c r="J59" s="291">
        <f t="shared" si="9"/>
        <v>0</v>
      </c>
      <c r="K59" s="292">
        <f t="shared" si="10"/>
        <v>0</v>
      </c>
      <c r="L59" s="59">
        <f>K59*D59*'B) D RI'!S61</f>
        <v>0</v>
      </c>
      <c r="M59" s="15">
        <f>(('B) D RI'!S61*C59)-(L59*$M$4))/'B) D RI'!S61</f>
        <v>8164.7235802469131</v>
      </c>
      <c r="N59" s="281">
        <f t="shared" si="11"/>
        <v>25.837732848882638</v>
      </c>
      <c r="O59" s="64">
        <f t="shared" si="12"/>
        <v>0.57682790536373396</v>
      </c>
      <c r="R59" s="13"/>
    </row>
    <row r="60" spans="1:18" x14ac:dyDescent="0.25">
      <c r="A60" s="326">
        <f>'A) Base RI'!A62</f>
        <v>5491</v>
      </c>
      <c r="B60" s="34" t="str">
        <f>'A) Base RI'!B62</f>
        <v>Mont-la-Ville</v>
      </c>
      <c r="C60" s="324">
        <f>'B) D RI'!U62</f>
        <v>10538.480394736844</v>
      </c>
      <c r="D60" s="34">
        <f>'B) D RI'!AR62</f>
        <v>417</v>
      </c>
      <c r="E60" s="213">
        <f t="shared" si="4"/>
        <v>25.272135239177082</v>
      </c>
      <c r="F60" s="64">
        <f t="shared" si="5"/>
        <v>0.54602456608820726</v>
      </c>
      <c r="G60" s="291">
        <f t="shared" si="6"/>
        <v>0</v>
      </c>
      <c r="H60" s="291">
        <f t="shared" si="7"/>
        <v>0</v>
      </c>
      <c r="I60" s="291">
        <f t="shared" si="8"/>
        <v>0</v>
      </c>
      <c r="J60" s="291">
        <f t="shared" si="9"/>
        <v>0</v>
      </c>
      <c r="K60" s="292">
        <f t="shared" si="10"/>
        <v>0</v>
      </c>
      <c r="L60" s="59">
        <f>K60*D60*'B) D RI'!S62</f>
        <v>0</v>
      </c>
      <c r="M60" s="15">
        <f>(('B) D RI'!S62*C60)-(L60*$M$4))/'B) D RI'!S62</f>
        <v>10538.480394736844</v>
      </c>
      <c r="N60" s="281">
        <f t="shared" si="11"/>
        <v>25.272135239177082</v>
      </c>
      <c r="O60" s="64">
        <f t="shared" si="12"/>
        <v>0.56420092735473659</v>
      </c>
      <c r="R60" s="13"/>
    </row>
    <row r="61" spans="1:18" x14ac:dyDescent="0.25">
      <c r="A61" s="326">
        <f>'A) Base RI'!A63</f>
        <v>5492</v>
      </c>
      <c r="B61" s="34" t="str">
        <f>'A) Base RI'!B63</f>
        <v>Montricher</v>
      </c>
      <c r="C61" s="324">
        <f>'B) D RI'!U63</f>
        <v>223685.74057291666</v>
      </c>
      <c r="D61" s="34">
        <f>'B) D RI'!AR63</f>
        <v>986</v>
      </c>
      <c r="E61" s="213">
        <f t="shared" si="4"/>
        <v>226.86180585488506</v>
      </c>
      <c r="F61" s="64">
        <f t="shared" si="5"/>
        <v>4.901529606879957</v>
      </c>
      <c r="G61" s="291">
        <f t="shared" si="6"/>
        <v>171.32115041464357</v>
      </c>
      <c r="H61" s="291">
        <f t="shared" si="7"/>
        <v>157.43598655458317</v>
      </c>
      <c r="I61" s="291">
        <f t="shared" si="8"/>
        <v>134.29404678781589</v>
      </c>
      <c r="J61" s="291">
        <f t="shared" si="9"/>
        <v>88.010167254281299</v>
      </c>
      <c r="K61" s="292">
        <f t="shared" si="10"/>
        <v>99.64963420893973</v>
      </c>
      <c r="L61" s="59">
        <f>K61*D61*'B) D RI'!S63</f>
        <v>6288290.5171209332</v>
      </c>
      <c r="M61" s="15">
        <f>(('B) D RI'!S63*C61)-(L61*$M$4))/'B) D RI'!S63</f>
        <v>159820.2900084072</v>
      </c>
      <c r="N61" s="281">
        <f t="shared" si="11"/>
        <v>162.08954361907425</v>
      </c>
      <c r="O61" s="64">
        <f t="shared" si="12"/>
        <v>3.6186523203872172</v>
      </c>
      <c r="R61" s="13"/>
    </row>
    <row r="62" spans="1:18" x14ac:dyDescent="0.25">
      <c r="A62" s="326">
        <f>'A) Base RI'!A64</f>
        <v>5493</v>
      </c>
      <c r="B62" s="34" t="str">
        <f>'A) Base RI'!B64</f>
        <v>Orny</v>
      </c>
      <c r="C62" s="324">
        <f>'B) D RI'!U64</f>
        <v>9903.4061011591148</v>
      </c>
      <c r="D62" s="34">
        <f>'B) D RI'!AR64</f>
        <v>356</v>
      </c>
      <c r="E62" s="213">
        <f t="shared" si="4"/>
        <v>27.818556463930097</v>
      </c>
      <c r="F62" s="64">
        <f t="shared" si="5"/>
        <v>0.60104202033829945</v>
      </c>
      <c r="G62" s="291">
        <f t="shared" si="6"/>
        <v>0</v>
      </c>
      <c r="H62" s="291">
        <f t="shared" si="7"/>
        <v>0</v>
      </c>
      <c r="I62" s="291">
        <f t="shared" si="8"/>
        <v>0</v>
      </c>
      <c r="J62" s="291">
        <f t="shared" si="9"/>
        <v>0</v>
      </c>
      <c r="K62" s="292">
        <f t="shared" si="10"/>
        <v>0</v>
      </c>
      <c r="L62" s="59">
        <f>K62*D62*'B) D RI'!S64</f>
        <v>0</v>
      </c>
      <c r="M62" s="15">
        <f>(('B) D RI'!S64*C62)-(L62*$M$4))/'B) D RI'!S64</f>
        <v>9903.4061011591148</v>
      </c>
      <c r="N62" s="281">
        <f t="shared" si="11"/>
        <v>27.818556463930097</v>
      </c>
      <c r="O62" s="64">
        <f t="shared" si="12"/>
        <v>0.62104983239756251</v>
      </c>
      <c r="R62" s="13"/>
    </row>
    <row r="63" spans="1:18" x14ac:dyDescent="0.25">
      <c r="A63" s="326">
        <f>'A) Base RI'!A65</f>
        <v>5494</v>
      </c>
      <c r="B63" s="34" t="str">
        <f>'A) Base RI'!B65</f>
        <v>Pampigny</v>
      </c>
      <c r="C63" s="324">
        <f>'B) D RI'!U65</f>
        <v>37200.871473015875</v>
      </c>
      <c r="D63" s="34">
        <f>'B) D RI'!AR65</f>
        <v>1124</v>
      </c>
      <c r="E63" s="213">
        <f t="shared" si="4"/>
        <v>33.096860741117325</v>
      </c>
      <c r="F63" s="64">
        <f t="shared" si="5"/>
        <v>0.7150839790155723</v>
      </c>
      <c r="G63" s="291">
        <f t="shared" si="6"/>
        <v>0</v>
      </c>
      <c r="H63" s="291">
        <f t="shared" si="7"/>
        <v>0</v>
      </c>
      <c r="I63" s="291">
        <f t="shared" si="8"/>
        <v>0</v>
      </c>
      <c r="J63" s="291">
        <f t="shared" si="9"/>
        <v>0</v>
      </c>
      <c r="K63" s="292">
        <f t="shared" si="10"/>
        <v>0</v>
      </c>
      <c r="L63" s="59">
        <f>K63*D63*'B) D RI'!S65</f>
        <v>0</v>
      </c>
      <c r="M63" s="15">
        <f>(('B) D RI'!S65*C63)-(L63*$M$4))/'B) D RI'!S65</f>
        <v>37200.871473015875</v>
      </c>
      <c r="N63" s="281">
        <f t="shared" si="11"/>
        <v>33.096860741117325</v>
      </c>
      <c r="O63" s="64">
        <f t="shared" si="12"/>
        <v>0.738888081515229</v>
      </c>
      <c r="R63" s="13"/>
    </row>
    <row r="64" spans="1:18" x14ac:dyDescent="0.25">
      <c r="A64" s="326">
        <f>'A) Base RI'!A66</f>
        <v>5495</v>
      </c>
      <c r="B64" s="34" t="str">
        <f>'A) Base RI'!B66</f>
        <v>Penthalaz</v>
      </c>
      <c r="C64" s="324">
        <f>'B) D RI'!U66</f>
        <v>93529.013513513521</v>
      </c>
      <c r="D64" s="34">
        <f>'B) D RI'!AR66</f>
        <v>3282</v>
      </c>
      <c r="E64" s="213">
        <f t="shared" si="4"/>
        <v>28.497566579376453</v>
      </c>
      <c r="F64" s="64">
        <f t="shared" si="5"/>
        <v>0.61571257350475095</v>
      </c>
      <c r="G64" s="291">
        <f t="shared" si="6"/>
        <v>0</v>
      </c>
      <c r="H64" s="291">
        <f t="shared" si="7"/>
        <v>0</v>
      </c>
      <c r="I64" s="291">
        <f t="shared" si="8"/>
        <v>0</v>
      </c>
      <c r="J64" s="291">
        <f t="shared" si="9"/>
        <v>0</v>
      </c>
      <c r="K64" s="292">
        <f t="shared" si="10"/>
        <v>0</v>
      </c>
      <c r="L64" s="59">
        <f>K64*D64*'B) D RI'!S66</f>
        <v>0</v>
      </c>
      <c r="M64" s="15">
        <f>(('B) D RI'!S66*C64)-(L64*$M$4))/'B) D RI'!S66</f>
        <v>93529.013513513521</v>
      </c>
      <c r="N64" s="281">
        <f t="shared" si="11"/>
        <v>28.497566579376453</v>
      </c>
      <c r="O64" s="64">
        <f t="shared" si="12"/>
        <v>0.63620874687757845</v>
      </c>
      <c r="R64" s="13"/>
    </row>
    <row r="65" spans="1:18" x14ac:dyDescent="0.25">
      <c r="A65" s="326">
        <f>'A) Base RI'!A67</f>
        <v>5496</v>
      </c>
      <c r="B65" s="34" t="str">
        <f>'A) Base RI'!B67</f>
        <v>Penthaz</v>
      </c>
      <c r="C65" s="324">
        <f>'B) D RI'!U67</f>
        <v>55364.179859154945</v>
      </c>
      <c r="D65" s="34">
        <f>'B) D RI'!AR67</f>
        <v>1726</v>
      </c>
      <c r="E65" s="213">
        <f t="shared" si="4"/>
        <v>32.076581610170884</v>
      </c>
      <c r="F65" s="64">
        <f t="shared" si="5"/>
        <v>0.69304003755627419</v>
      </c>
      <c r="G65" s="291">
        <f t="shared" si="6"/>
        <v>0</v>
      </c>
      <c r="H65" s="291">
        <f t="shared" si="7"/>
        <v>0</v>
      </c>
      <c r="I65" s="291">
        <f t="shared" si="8"/>
        <v>0</v>
      </c>
      <c r="J65" s="291">
        <f t="shared" si="9"/>
        <v>0</v>
      </c>
      <c r="K65" s="292">
        <f t="shared" si="10"/>
        <v>0</v>
      </c>
      <c r="L65" s="59">
        <f>K65*D65*'B) D RI'!S67</f>
        <v>0</v>
      </c>
      <c r="M65" s="15">
        <f>(('B) D RI'!S67*C65)-(L65*$M$4))/'B) D RI'!S67</f>
        <v>55364.179859154945</v>
      </c>
      <c r="N65" s="281">
        <f t="shared" si="11"/>
        <v>32.076581610170884</v>
      </c>
      <c r="O65" s="64">
        <f t="shared" si="12"/>
        <v>0.7161103294023683</v>
      </c>
      <c r="R65" s="13"/>
    </row>
    <row r="66" spans="1:18" x14ac:dyDescent="0.25">
      <c r="A66" s="326">
        <f>'A) Base RI'!A68</f>
        <v>5497</v>
      </c>
      <c r="B66" s="34" t="str">
        <f>'A) Base RI'!B68</f>
        <v>Pompaples</v>
      </c>
      <c r="C66" s="324">
        <f>'B) D RI'!U68</f>
        <v>21756.171818181818</v>
      </c>
      <c r="D66" s="34">
        <f>'B) D RI'!AR68</f>
        <v>854</v>
      </c>
      <c r="E66" s="213">
        <f t="shared" si="4"/>
        <v>25.475611028315946</v>
      </c>
      <c r="F66" s="64">
        <f t="shared" si="5"/>
        <v>0.55042082221862609</v>
      </c>
      <c r="G66" s="291">
        <f t="shared" si="6"/>
        <v>0</v>
      </c>
      <c r="H66" s="291">
        <f t="shared" si="7"/>
        <v>0</v>
      </c>
      <c r="I66" s="291">
        <f t="shared" si="8"/>
        <v>0</v>
      </c>
      <c r="J66" s="291">
        <f t="shared" si="9"/>
        <v>0</v>
      </c>
      <c r="K66" s="292">
        <f t="shared" si="10"/>
        <v>0</v>
      </c>
      <c r="L66" s="59">
        <f>K66*D66*'B) D RI'!S68</f>
        <v>0</v>
      </c>
      <c r="M66" s="15">
        <f>(('B) D RI'!S68*C66)-(L66*$M$4))/'B) D RI'!S68</f>
        <v>21756.171818181818</v>
      </c>
      <c r="N66" s="281">
        <f t="shared" si="11"/>
        <v>25.475611028315946</v>
      </c>
      <c r="O66" s="64">
        <f t="shared" si="12"/>
        <v>0.56874352843849529</v>
      </c>
      <c r="R66" s="13"/>
    </row>
    <row r="67" spans="1:18" x14ac:dyDescent="0.25">
      <c r="A67" s="326">
        <f>'A) Base RI'!A69</f>
        <v>5498</v>
      </c>
      <c r="B67" s="34" t="str">
        <f>'A) Base RI'!B69</f>
        <v>La Sarraz</v>
      </c>
      <c r="C67" s="324">
        <f>'B) D RI'!U69</f>
        <v>71866.729696969705</v>
      </c>
      <c r="D67" s="34">
        <f>'B) D RI'!AR69</f>
        <v>2609</v>
      </c>
      <c r="E67" s="213">
        <f t="shared" si="4"/>
        <v>27.545699385576736</v>
      </c>
      <c r="F67" s="64">
        <f t="shared" si="5"/>
        <v>0.59514672631577337</v>
      </c>
      <c r="G67" s="291">
        <f t="shared" si="6"/>
        <v>0</v>
      </c>
      <c r="H67" s="291">
        <f t="shared" si="7"/>
        <v>0</v>
      </c>
      <c r="I67" s="291">
        <f t="shared" si="8"/>
        <v>0</v>
      </c>
      <c r="J67" s="291">
        <f t="shared" si="9"/>
        <v>0</v>
      </c>
      <c r="K67" s="292">
        <f t="shared" si="10"/>
        <v>0</v>
      </c>
      <c r="L67" s="59">
        <f>K67*D67*'B) D RI'!S69</f>
        <v>0</v>
      </c>
      <c r="M67" s="15">
        <f>(('B) D RI'!S69*C67)-(L67*$M$4))/'B) D RI'!S69</f>
        <v>71866.729696969705</v>
      </c>
      <c r="N67" s="281">
        <f t="shared" si="11"/>
        <v>27.545699385576736</v>
      </c>
      <c r="O67" s="64">
        <f t="shared" si="12"/>
        <v>0.61495829263705903</v>
      </c>
      <c r="R67" s="13"/>
    </row>
    <row r="68" spans="1:18" x14ac:dyDescent="0.25">
      <c r="A68" s="326">
        <f>'A) Base RI'!A70</f>
        <v>5499</v>
      </c>
      <c r="B68" s="34" t="str">
        <f>'A) Base RI'!B70</f>
        <v>Senarclens</v>
      </c>
      <c r="C68" s="324">
        <f>'B) D RI'!U70</f>
        <v>20247.622335766424</v>
      </c>
      <c r="D68" s="34">
        <f>'B) D RI'!AR70</f>
        <v>505</v>
      </c>
      <c r="E68" s="213">
        <f t="shared" si="4"/>
        <v>40.09430165498302</v>
      </c>
      <c r="F68" s="64">
        <f t="shared" si="5"/>
        <v>0.86626925095881468</v>
      </c>
      <c r="G68" s="291">
        <f t="shared" si="6"/>
        <v>0</v>
      </c>
      <c r="H68" s="291">
        <f t="shared" si="7"/>
        <v>0</v>
      </c>
      <c r="I68" s="291">
        <f t="shared" si="8"/>
        <v>0</v>
      </c>
      <c r="J68" s="291">
        <f t="shared" si="9"/>
        <v>0</v>
      </c>
      <c r="K68" s="292">
        <f t="shared" si="10"/>
        <v>0</v>
      </c>
      <c r="L68" s="59">
        <f>K68*D68*'B) D RI'!S70</f>
        <v>0</v>
      </c>
      <c r="M68" s="15">
        <f>(('B) D RI'!S70*C68)-(L68*$M$4))/'B) D RI'!S70</f>
        <v>20247.622335766424</v>
      </c>
      <c r="N68" s="281">
        <f t="shared" si="11"/>
        <v>40.09430165498302</v>
      </c>
      <c r="O68" s="64">
        <f t="shared" si="12"/>
        <v>0.89510609061296587</v>
      </c>
      <c r="R68" s="13"/>
    </row>
    <row r="69" spans="1:18" x14ac:dyDescent="0.25">
      <c r="A69" s="326">
        <f>'A) Base RI'!A71</f>
        <v>5500</v>
      </c>
      <c r="B69" s="34" t="str">
        <f>'A) Base RI'!B71</f>
        <v>Sévery</v>
      </c>
      <c r="C69" s="324">
        <f>'B) D RI'!U71</f>
        <v>8952.9604888888862</v>
      </c>
      <c r="D69" s="34">
        <f>'B) D RI'!AR71</f>
        <v>233</v>
      </c>
      <c r="E69" s="213">
        <f t="shared" si="4"/>
        <v>38.42472312827848</v>
      </c>
      <c r="F69" s="64">
        <f t="shared" si="5"/>
        <v>0.83019668004360303</v>
      </c>
      <c r="G69" s="291">
        <f t="shared" si="6"/>
        <v>0</v>
      </c>
      <c r="H69" s="291">
        <f t="shared" si="7"/>
        <v>0</v>
      </c>
      <c r="I69" s="291">
        <f t="shared" si="8"/>
        <v>0</v>
      </c>
      <c r="J69" s="291">
        <f t="shared" si="9"/>
        <v>0</v>
      </c>
      <c r="K69" s="292">
        <f t="shared" si="10"/>
        <v>0</v>
      </c>
      <c r="L69" s="59">
        <f>K69*D69*'B) D RI'!S71</f>
        <v>0</v>
      </c>
      <c r="M69" s="15">
        <f>(('B) D RI'!S71*C69)-(L69*$M$4))/'B) D RI'!S71</f>
        <v>8952.9604888888862</v>
      </c>
      <c r="N69" s="281">
        <f t="shared" si="11"/>
        <v>38.42472312827848</v>
      </c>
      <c r="O69" s="64">
        <f t="shared" si="12"/>
        <v>0.8578327164345152</v>
      </c>
      <c r="R69" s="13"/>
    </row>
    <row r="70" spans="1:18" x14ac:dyDescent="0.25">
      <c r="A70" s="326">
        <f>'A) Base RI'!A72</f>
        <v>5501</v>
      </c>
      <c r="B70" s="34" t="str">
        <f>'A) Base RI'!B72</f>
        <v>Sullens</v>
      </c>
      <c r="C70" s="324">
        <f>'B) D RI'!U72</f>
        <v>34510.891142857145</v>
      </c>
      <c r="D70" s="34">
        <f>'B) D RI'!AR72</f>
        <v>1005</v>
      </c>
      <c r="E70" s="213">
        <f t="shared" ref="E70:E133" si="13">C70/D70</f>
        <v>34.339195167022034</v>
      </c>
      <c r="F70" s="64">
        <f t="shared" ref="F70:F133" si="14">E70/$E$314</f>
        <v>0.74192560159400345</v>
      </c>
      <c r="G70" s="291">
        <f t="shared" ref="G70:G133" si="15">IF(E70-$G$2&lt;0,0,E70-$G$2)</f>
        <v>0</v>
      </c>
      <c r="H70" s="291">
        <f t="shared" ref="H70:H133" si="16">IF(E70-$H$2&lt;0,0,E70-$H$2)</f>
        <v>0</v>
      </c>
      <c r="I70" s="291">
        <f t="shared" ref="I70:I133" si="17">IF(E70-$I$2&lt;0,0,E70-$I$2)</f>
        <v>0</v>
      </c>
      <c r="J70" s="291">
        <f t="shared" ref="J70:J133" si="18">IF(E70-$J$2&lt;0,0,E70-$J$2)</f>
        <v>0</v>
      </c>
      <c r="K70" s="292">
        <f t="shared" ref="K70:K133" si="19">(G70-H70)*$G$3+(H70-I70)*$H$3+(I70-J70)*$I$3+(J70*$J$3)</f>
        <v>0</v>
      </c>
      <c r="L70" s="59">
        <f>K70*D70*'B) D RI'!S72</f>
        <v>0</v>
      </c>
      <c r="M70" s="15">
        <f>(('B) D RI'!S72*C70)-(L70*$M$4))/'B) D RI'!S72</f>
        <v>34510.891142857145</v>
      </c>
      <c r="N70" s="281">
        <f t="shared" ref="N70:N133" si="20">M70/D70</f>
        <v>34.339195167022034</v>
      </c>
      <c r="O70" s="64">
        <f t="shared" ref="O70:O133" si="21">N70/N$314</f>
        <v>0.76662322255283988</v>
      </c>
      <c r="R70" s="13"/>
    </row>
    <row r="71" spans="1:18" x14ac:dyDescent="0.25">
      <c r="A71" s="326">
        <f>'A) Base RI'!A73</f>
        <v>5503</v>
      </c>
      <c r="B71" s="34" t="str">
        <f>'A) Base RI'!B73</f>
        <v>Vufflens-la-Ville</v>
      </c>
      <c r="C71" s="324">
        <f>'B) D RI'!U73</f>
        <v>69488.630199004954</v>
      </c>
      <c r="D71" s="34">
        <f>'B) D RI'!AR73</f>
        <v>1284</v>
      </c>
      <c r="E71" s="213">
        <f t="shared" si="13"/>
        <v>54.118870871499183</v>
      </c>
      <c r="F71" s="64">
        <f t="shared" si="14"/>
        <v>1.1692812144731259</v>
      </c>
      <c r="G71" s="291">
        <f t="shared" si="15"/>
        <v>0</v>
      </c>
      <c r="H71" s="291">
        <f t="shared" si="16"/>
        <v>0</v>
      </c>
      <c r="I71" s="291">
        <f t="shared" si="17"/>
        <v>0</v>
      </c>
      <c r="J71" s="291">
        <f t="shared" si="18"/>
        <v>0</v>
      </c>
      <c r="K71" s="292">
        <f t="shared" si="19"/>
        <v>0</v>
      </c>
      <c r="L71" s="59">
        <f>K71*D71*'B) D RI'!S73</f>
        <v>0</v>
      </c>
      <c r="M71" s="15">
        <f>(('B) D RI'!S73*C71)-(L71*$M$4))/'B) D RI'!S73</f>
        <v>69488.630199004954</v>
      </c>
      <c r="N71" s="281">
        <f t="shared" si="20"/>
        <v>54.118870871499183</v>
      </c>
      <c r="O71" s="64">
        <f t="shared" si="21"/>
        <v>1.2082048803599759</v>
      </c>
      <c r="R71" s="13"/>
    </row>
    <row r="72" spans="1:18" x14ac:dyDescent="0.25">
      <c r="A72" s="326">
        <f>'A) Base RI'!A74</f>
        <v>5511</v>
      </c>
      <c r="B72" s="34" t="str">
        <f>'A) Base RI'!B74</f>
        <v>Assens</v>
      </c>
      <c r="C72" s="324">
        <f>'B) D RI'!U74</f>
        <v>49567.304285714286</v>
      </c>
      <c r="D72" s="34">
        <f>'B) D RI'!AR74</f>
        <v>1070</v>
      </c>
      <c r="E72" s="213">
        <f t="shared" si="13"/>
        <v>46.32458344459279</v>
      </c>
      <c r="F72" s="64">
        <f t="shared" si="14"/>
        <v>1.0008794403465835</v>
      </c>
      <c r="G72" s="291">
        <f t="shared" si="15"/>
        <v>0</v>
      </c>
      <c r="H72" s="291">
        <f t="shared" si="16"/>
        <v>0</v>
      </c>
      <c r="I72" s="291">
        <f t="shared" si="17"/>
        <v>0</v>
      </c>
      <c r="J72" s="291">
        <f t="shared" si="18"/>
        <v>0</v>
      </c>
      <c r="K72" s="292">
        <f t="shared" si="19"/>
        <v>0</v>
      </c>
      <c r="L72" s="59">
        <f>K72*D72*'B) D RI'!S74</f>
        <v>0</v>
      </c>
      <c r="M72" s="15">
        <f>(('B) D RI'!S74*C72)-(L72*$M$4))/'B) D RI'!S74</f>
        <v>49567.304285714286</v>
      </c>
      <c r="N72" s="281">
        <f t="shared" si="20"/>
        <v>46.32458344459279</v>
      </c>
      <c r="O72" s="64">
        <f t="shared" si="21"/>
        <v>1.0341972568366244</v>
      </c>
      <c r="R72" s="13"/>
    </row>
    <row r="73" spans="1:18" x14ac:dyDescent="0.25">
      <c r="A73" s="326">
        <f>'A) Base RI'!A75</f>
        <v>5512</v>
      </c>
      <c r="B73" s="34" t="str">
        <f>'A) Base RI'!B75</f>
        <v>Bercher</v>
      </c>
      <c r="C73" s="324">
        <f>'B) D RI'!U75</f>
        <v>38296.029873417712</v>
      </c>
      <c r="D73" s="34">
        <f>'B) D RI'!AR75</f>
        <v>1221</v>
      </c>
      <c r="E73" s="213">
        <f t="shared" si="13"/>
        <v>31.364479830808936</v>
      </c>
      <c r="F73" s="64">
        <f t="shared" si="14"/>
        <v>0.67765451269235266</v>
      </c>
      <c r="G73" s="291">
        <f t="shared" si="15"/>
        <v>0</v>
      </c>
      <c r="H73" s="291">
        <f t="shared" si="16"/>
        <v>0</v>
      </c>
      <c r="I73" s="291">
        <f t="shared" si="17"/>
        <v>0</v>
      </c>
      <c r="J73" s="291">
        <f t="shared" si="18"/>
        <v>0</v>
      </c>
      <c r="K73" s="292">
        <f t="shared" si="19"/>
        <v>0</v>
      </c>
      <c r="L73" s="59">
        <f>K73*D73*'B) D RI'!S75</f>
        <v>0</v>
      </c>
      <c r="M73" s="15">
        <f>(('B) D RI'!S75*C73)-(L73*$M$4))/'B) D RI'!S75</f>
        <v>38296.029873417712</v>
      </c>
      <c r="N73" s="281">
        <f t="shared" si="20"/>
        <v>31.364479830808936</v>
      </c>
      <c r="O73" s="64">
        <f t="shared" si="21"/>
        <v>0.70021264286007157</v>
      </c>
      <c r="R73" s="13"/>
    </row>
    <row r="74" spans="1:18" x14ac:dyDescent="0.25">
      <c r="A74" s="326">
        <f>'A) Base RI'!A76</f>
        <v>5513</v>
      </c>
      <c r="B74" s="34" t="str">
        <f>'A) Base RI'!B76</f>
        <v>Bioley-Orjulaz</v>
      </c>
      <c r="C74" s="324">
        <f>'B) D RI'!U76</f>
        <v>23261.0975</v>
      </c>
      <c r="D74" s="34">
        <f>'B) D RI'!AR76</f>
        <v>499</v>
      </c>
      <c r="E74" s="213">
        <f t="shared" si="13"/>
        <v>46.615425851703407</v>
      </c>
      <c r="F74" s="64">
        <f t="shared" si="14"/>
        <v>1.0071633216901923</v>
      </c>
      <c r="G74" s="291">
        <f t="shared" si="15"/>
        <v>0</v>
      </c>
      <c r="H74" s="291">
        <f t="shared" si="16"/>
        <v>0</v>
      </c>
      <c r="I74" s="291">
        <f t="shared" si="17"/>
        <v>0</v>
      </c>
      <c r="J74" s="291">
        <f t="shared" si="18"/>
        <v>0</v>
      </c>
      <c r="K74" s="292">
        <f t="shared" si="19"/>
        <v>0</v>
      </c>
      <c r="L74" s="59">
        <f>K74*D74*'B) D RI'!S76</f>
        <v>0</v>
      </c>
      <c r="M74" s="15">
        <f>(('B) D RI'!S76*C74)-(L74*$M$4))/'B) D RI'!S76</f>
        <v>23261.0975</v>
      </c>
      <c r="N74" s="281">
        <f t="shared" si="20"/>
        <v>46.615425851703407</v>
      </c>
      <c r="O74" s="64">
        <f t="shared" si="21"/>
        <v>1.04069031942326</v>
      </c>
      <c r="R74" s="13"/>
    </row>
    <row r="75" spans="1:18" x14ac:dyDescent="0.25">
      <c r="A75" s="326">
        <f>'A) Base RI'!A77</f>
        <v>5514</v>
      </c>
      <c r="B75" s="34" t="str">
        <f>'A) Base RI'!B77</f>
        <v>Bottens</v>
      </c>
      <c r="C75" s="324">
        <f>'B) D RI'!U77</f>
        <v>41051.716376811593</v>
      </c>
      <c r="D75" s="34">
        <f>'B) D RI'!AR77</f>
        <v>1263</v>
      </c>
      <c r="E75" s="213">
        <f t="shared" si="13"/>
        <v>32.503338382273625</v>
      </c>
      <c r="F75" s="64">
        <f t="shared" si="14"/>
        <v>0.70226045676926474</v>
      </c>
      <c r="G75" s="291">
        <f t="shared" si="15"/>
        <v>0</v>
      </c>
      <c r="H75" s="291">
        <f t="shared" si="16"/>
        <v>0</v>
      </c>
      <c r="I75" s="291">
        <f t="shared" si="17"/>
        <v>0</v>
      </c>
      <c r="J75" s="291">
        <f t="shared" si="18"/>
        <v>0</v>
      </c>
      <c r="K75" s="292">
        <f t="shared" si="19"/>
        <v>0</v>
      </c>
      <c r="L75" s="59">
        <f>K75*D75*'B) D RI'!S77</f>
        <v>0</v>
      </c>
      <c r="M75" s="15">
        <f>(('B) D RI'!S77*C75)-(L75*$M$4))/'B) D RI'!S77</f>
        <v>41051.716376811593</v>
      </c>
      <c r="N75" s="281">
        <f t="shared" si="20"/>
        <v>32.503338382273625</v>
      </c>
      <c r="O75" s="64">
        <f t="shared" si="21"/>
        <v>0.72563768292024711</v>
      </c>
      <c r="R75" s="13"/>
    </row>
    <row r="76" spans="1:18" x14ac:dyDescent="0.25">
      <c r="A76" s="326">
        <f>'A) Base RI'!A78</f>
        <v>5515</v>
      </c>
      <c r="B76" s="34" t="str">
        <f>'A) Base RI'!B78</f>
        <v>Bretigny-sur-Morrens</v>
      </c>
      <c r="C76" s="324">
        <f>'B) D RI'!U78</f>
        <v>27741.095753424659</v>
      </c>
      <c r="D76" s="34">
        <f>'B) D RI'!AR78</f>
        <v>825</v>
      </c>
      <c r="E76" s="213">
        <f t="shared" si="13"/>
        <v>33.62557061021171</v>
      </c>
      <c r="F76" s="64">
        <f t="shared" si="14"/>
        <v>0.72650717591312952</v>
      </c>
      <c r="G76" s="291">
        <f t="shared" si="15"/>
        <v>0</v>
      </c>
      <c r="H76" s="291">
        <f t="shared" si="16"/>
        <v>0</v>
      </c>
      <c r="I76" s="291">
        <f t="shared" si="17"/>
        <v>0</v>
      </c>
      <c r="J76" s="291">
        <f t="shared" si="18"/>
        <v>0</v>
      </c>
      <c r="K76" s="292">
        <f t="shared" si="19"/>
        <v>0</v>
      </c>
      <c r="L76" s="59">
        <f>K76*D76*'B) D RI'!S78</f>
        <v>0</v>
      </c>
      <c r="M76" s="15">
        <f>(('B) D RI'!S78*C76)-(L76*$M$4))/'B) D RI'!S78</f>
        <v>27741.095753424659</v>
      </c>
      <c r="N76" s="281">
        <f t="shared" si="20"/>
        <v>33.62557061021171</v>
      </c>
      <c r="O76" s="64">
        <f t="shared" si="21"/>
        <v>0.75069153997339</v>
      </c>
      <c r="R76" s="13"/>
    </row>
    <row r="77" spans="1:18" x14ac:dyDescent="0.25">
      <c r="A77" s="326">
        <f>'A) Base RI'!A79</f>
        <v>5516</v>
      </c>
      <c r="B77" s="34" t="str">
        <f>'A) Base RI'!B79</f>
        <v>Cugy</v>
      </c>
      <c r="C77" s="324">
        <f>'B) D RI'!U79</f>
        <v>111403.80442857141</v>
      </c>
      <c r="D77" s="34">
        <f>'B) D RI'!AR79</f>
        <v>2744</v>
      </c>
      <c r="E77" s="213">
        <f t="shared" si="13"/>
        <v>40.599054092044973</v>
      </c>
      <c r="F77" s="64">
        <f t="shared" si="14"/>
        <v>0.87717482849788508</v>
      </c>
      <c r="G77" s="291">
        <f t="shared" si="15"/>
        <v>0</v>
      </c>
      <c r="H77" s="291">
        <f t="shared" si="16"/>
        <v>0</v>
      </c>
      <c r="I77" s="291">
        <f t="shared" si="17"/>
        <v>0</v>
      </c>
      <c r="J77" s="291">
        <f t="shared" si="18"/>
        <v>0</v>
      </c>
      <c r="K77" s="292">
        <f t="shared" si="19"/>
        <v>0</v>
      </c>
      <c r="L77" s="59">
        <f>K77*D77*'B) D RI'!S79</f>
        <v>0</v>
      </c>
      <c r="M77" s="15">
        <f>(('B) D RI'!S79*C77)-(L77*$M$4))/'B) D RI'!S79</f>
        <v>111403.80442857141</v>
      </c>
      <c r="N77" s="281">
        <f t="shared" si="20"/>
        <v>40.599054092044973</v>
      </c>
      <c r="O77" s="64">
        <f t="shared" si="21"/>
        <v>0.90637469891929701</v>
      </c>
      <c r="R77" s="13"/>
    </row>
    <row r="78" spans="1:18" x14ac:dyDescent="0.25">
      <c r="A78" s="326">
        <f>'A) Base RI'!A80</f>
        <v>5518</v>
      </c>
      <c r="B78" s="34" t="str">
        <f>'A) Base RI'!B80</f>
        <v>Echallens</v>
      </c>
      <c r="C78" s="324">
        <f>'B) D RI'!U80</f>
        <v>193638.72135135136</v>
      </c>
      <c r="D78" s="34">
        <f>'B) D RI'!AR80</f>
        <v>5728</v>
      </c>
      <c r="E78" s="213">
        <f t="shared" si="13"/>
        <v>33.80564269402084</v>
      </c>
      <c r="F78" s="64">
        <f t="shared" si="14"/>
        <v>0.73039777639053038</v>
      </c>
      <c r="G78" s="291">
        <f t="shared" si="15"/>
        <v>0</v>
      </c>
      <c r="H78" s="291">
        <f t="shared" si="16"/>
        <v>0</v>
      </c>
      <c r="I78" s="291">
        <f t="shared" si="17"/>
        <v>0</v>
      </c>
      <c r="J78" s="291">
        <f t="shared" si="18"/>
        <v>0</v>
      </c>
      <c r="K78" s="292">
        <f t="shared" si="19"/>
        <v>0</v>
      </c>
      <c r="L78" s="59">
        <f>K78*D78*'B) D RI'!S80</f>
        <v>0</v>
      </c>
      <c r="M78" s="15">
        <f>(('B) D RI'!S80*C78)-(L78*$M$4))/'B) D RI'!S80</f>
        <v>193638.72135135136</v>
      </c>
      <c r="N78" s="281">
        <f t="shared" si="20"/>
        <v>33.80564269402084</v>
      </c>
      <c r="O78" s="64">
        <f t="shared" si="21"/>
        <v>0.75471165286509034</v>
      </c>
      <c r="R78" s="13"/>
    </row>
    <row r="79" spans="1:18" x14ac:dyDescent="0.25">
      <c r="A79" s="326">
        <f>'A) Base RI'!A81</f>
        <v>5520</v>
      </c>
      <c r="B79" s="34" t="str">
        <f>'A) Base RI'!B81</f>
        <v>Essertines-sur-Yverdon</v>
      </c>
      <c r="C79" s="324">
        <f>'B) D RI'!U81</f>
        <v>32024.354520547942</v>
      </c>
      <c r="D79" s="34">
        <f>'B) D RI'!AR81</f>
        <v>981</v>
      </c>
      <c r="E79" s="213">
        <f t="shared" si="13"/>
        <v>32.644601957745103</v>
      </c>
      <c r="F79" s="64">
        <f t="shared" si="14"/>
        <v>0.70531256858217206</v>
      </c>
      <c r="G79" s="291">
        <f t="shared" si="15"/>
        <v>0</v>
      </c>
      <c r="H79" s="291">
        <f t="shared" si="16"/>
        <v>0</v>
      </c>
      <c r="I79" s="291">
        <f t="shared" si="17"/>
        <v>0</v>
      </c>
      <c r="J79" s="291">
        <f t="shared" si="18"/>
        <v>0</v>
      </c>
      <c r="K79" s="292">
        <f t="shared" si="19"/>
        <v>0</v>
      </c>
      <c r="L79" s="59">
        <f>K79*D79*'B) D RI'!S81</f>
        <v>0</v>
      </c>
      <c r="M79" s="15">
        <f>(('B) D RI'!S81*C79)-(L79*$M$4))/'B) D RI'!S81</f>
        <v>32024.354520547942</v>
      </c>
      <c r="N79" s="281">
        <f t="shared" si="20"/>
        <v>32.644601957745103</v>
      </c>
      <c r="O79" s="64">
        <f t="shared" si="21"/>
        <v>0.72879139508299695</v>
      </c>
      <c r="R79" s="13"/>
    </row>
    <row r="80" spans="1:18" x14ac:dyDescent="0.25">
      <c r="A80" s="326">
        <f>'A) Base RI'!A82</f>
        <v>5521</v>
      </c>
      <c r="B80" s="34" t="str">
        <f>'A) Base RI'!B82</f>
        <v>Etagnières</v>
      </c>
      <c r="C80" s="324">
        <f>'B) D RI'!U82</f>
        <v>41782.284931506838</v>
      </c>
      <c r="D80" s="34">
        <f>'B) D RI'!AR82</f>
        <v>1119</v>
      </c>
      <c r="E80" s="213">
        <f t="shared" si="13"/>
        <v>37.338949894107991</v>
      </c>
      <c r="F80" s="64">
        <f t="shared" si="14"/>
        <v>0.80673768643474186</v>
      </c>
      <c r="G80" s="291">
        <f t="shared" si="15"/>
        <v>0</v>
      </c>
      <c r="H80" s="291">
        <f t="shared" si="16"/>
        <v>0</v>
      </c>
      <c r="I80" s="291">
        <f t="shared" si="17"/>
        <v>0</v>
      </c>
      <c r="J80" s="291">
        <f t="shared" si="18"/>
        <v>0</v>
      </c>
      <c r="K80" s="292">
        <f t="shared" si="19"/>
        <v>0</v>
      </c>
      <c r="L80" s="59">
        <f>K80*D80*'B) D RI'!S82</f>
        <v>0</v>
      </c>
      <c r="M80" s="15">
        <f>(('B) D RI'!S82*C80)-(L80*$M$4))/'B) D RI'!S82</f>
        <v>41782.284931506838</v>
      </c>
      <c r="N80" s="281">
        <f t="shared" si="20"/>
        <v>37.338949894107991</v>
      </c>
      <c r="O80" s="64">
        <f t="shared" si="21"/>
        <v>0.83359280715030504</v>
      </c>
      <c r="R80" s="13"/>
    </row>
    <row r="81" spans="1:18" x14ac:dyDescent="0.25">
      <c r="A81" s="326">
        <f>'A) Base RI'!A83</f>
        <v>5522</v>
      </c>
      <c r="B81" s="34" t="str">
        <f>'A) Base RI'!B83</f>
        <v>Fey</v>
      </c>
      <c r="C81" s="324">
        <f>'B) D RI'!U83</f>
        <v>20521.084933333332</v>
      </c>
      <c r="D81" s="34">
        <f>'B) D RI'!AR83</f>
        <v>703</v>
      </c>
      <c r="E81" s="213">
        <f t="shared" si="13"/>
        <v>29.190732479848268</v>
      </c>
      <c r="F81" s="64">
        <f t="shared" si="14"/>
        <v>0.63068897365654863</v>
      </c>
      <c r="G81" s="291">
        <f t="shared" si="15"/>
        <v>0</v>
      </c>
      <c r="H81" s="291">
        <f t="shared" si="16"/>
        <v>0</v>
      </c>
      <c r="I81" s="291">
        <f t="shared" si="17"/>
        <v>0</v>
      </c>
      <c r="J81" s="291">
        <f t="shared" si="18"/>
        <v>0</v>
      </c>
      <c r="K81" s="292">
        <f t="shared" si="19"/>
        <v>0</v>
      </c>
      <c r="L81" s="59">
        <f>K81*D81*'B) D RI'!S83</f>
        <v>0</v>
      </c>
      <c r="M81" s="15">
        <f>(('B) D RI'!S83*C81)-(L81*$M$4))/'B) D RI'!S83</f>
        <v>20521.084933333332</v>
      </c>
      <c r="N81" s="281">
        <f t="shared" si="20"/>
        <v>29.190732479848268</v>
      </c>
      <c r="O81" s="64">
        <f t="shared" si="21"/>
        <v>0.65168368954291422</v>
      </c>
      <c r="R81" s="13"/>
    </row>
    <row r="82" spans="1:18" x14ac:dyDescent="0.25">
      <c r="A82" s="326">
        <f>'A) Base RI'!A84</f>
        <v>5523</v>
      </c>
      <c r="B82" s="34" t="str">
        <f>'A) Base RI'!B84</f>
        <v>Froideville</v>
      </c>
      <c r="C82" s="324">
        <f>'B) D RI'!U84</f>
        <v>83854.770526315799</v>
      </c>
      <c r="D82" s="34">
        <f>'B) D RI'!AR84</f>
        <v>2561</v>
      </c>
      <c r="E82" s="213">
        <f t="shared" si="13"/>
        <v>32.742979510470832</v>
      </c>
      <c r="F82" s="64">
        <f t="shared" si="14"/>
        <v>0.70743809379132072</v>
      </c>
      <c r="G82" s="291">
        <f t="shared" si="15"/>
        <v>0</v>
      </c>
      <c r="H82" s="291">
        <f t="shared" si="16"/>
        <v>0</v>
      </c>
      <c r="I82" s="291">
        <f t="shared" si="17"/>
        <v>0</v>
      </c>
      <c r="J82" s="291">
        <f t="shared" si="18"/>
        <v>0</v>
      </c>
      <c r="K82" s="292">
        <f t="shared" si="19"/>
        <v>0</v>
      </c>
      <c r="L82" s="59">
        <f>K82*D82*'B) D RI'!S84</f>
        <v>0</v>
      </c>
      <c r="M82" s="15">
        <f>(('B) D RI'!S84*C82)-(L82*$M$4))/'B) D RI'!S84</f>
        <v>83854.770526315799</v>
      </c>
      <c r="N82" s="281">
        <f t="shared" si="20"/>
        <v>32.742979510470832</v>
      </c>
      <c r="O82" s="64">
        <f t="shared" si="21"/>
        <v>0.73098767592565017</v>
      </c>
      <c r="R82" s="13"/>
    </row>
    <row r="83" spans="1:18" x14ac:dyDescent="0.25">
      <c r="A83" s="326">
        <f>'A) Base RI'!A85</f>
        <v>5527</v>
      </c>
      <c r="B83" s="34" t="str">
        <f>'A) Base RI'!B85</f>
        <v>Morrens</v>
      </c>
      <c r="C83" s="324">
        <f>'B) D RI'!U85</f>
        <v>39746.766619718313</v>
      </c>
      <c r="D83" s="34">
        <f>'B) D RI'!AR85</f>
        <v>1092</v>
      </c>
      <c r="E83" s="213">
        <f t="shared" si="13"/>
        <v>36.398137930144976</v>
      </c>
      <c r="F83" s="64">
        <f t="shared" si="14"/>
        <v>0.78641069627218729</v>
      </c>
      <c r="G83" s="291">
        <f t="shared" si="15"/>
        <v>0</v>
      </c>
      <c r="H83" s="291">
        <f t="shared" si="16"/>
        <v>0</v>
      </c>
      <c r="I83" s="291">
        <f t="shared" si="17"/>
        <v>0</v>
      </c>
      <c r="J83" s="291">
        <f t="shared" si="18"/>
        <v>0</v>
      </c>
      <c r="K83" s="292">
        <f t="shared" si="19"/>
        <v>0</v>
      </c>
      <c r="L83" s="59">
        <f>K83*D83*'B) D RI'!S85</f>
        <v>0</v>
      </c>
      <c r="M83" s="15">
        <f>(('B) D RI'!S85*C83)-(L83*$M$4))/'B) D RI'!S85</f>
        <v>39746.766619718313</v>
      </c>
      <c r="N83" s="281">
        <f t="shared" si="20"/>
        <v>36.398137930144976</v>
      </c>
      <c r="O83" s="64">
        <f t="shared" si="21"/>
        <v>0.81258916113817459</v>
      </c>
      <c r="R83" s="13"/>
    </row>
    <row r="84" spans="1:18" x14ac:dyDescent="0.25">
      <c r="A84" s="326">
        <f>'A) Base RI'!A86</f>
        <v>5529</v>
      </c>
      <c r="B84" s="34" t="str">
        <f>'A) Base RI'!B86</f>
        <v>Oulens-sous-Echallens</v>
      </c>
      <c r="C84" s="324">
        <f>'B) D RI'!U86</f>
        <v>20201.042816901412</v>
      </c>
      <c r="D84" s="34">
        <f>'B) D RI'!AR86</f>
        <v>577</v>
      </c>
      <c r="E84" s="213">
        <f t="shared" si="13"/>
        <v>35.010472819586504</v>
      </c>
      <c r="F84" s="64">
        <f t="shared" si="14"/>
        <v>0.75642908875475678</v>
      </c>
      <c r="G84" s="291">
        <f t="shared" si="15"/>
        <v>0</v>
      </c>
      <c r="H84" s="291">
        <f t="shared" si="16"/>
        <v>0</v>
      </c>
      <c r="I84" s="291">
        <f t="shared" si="17"/>
        <v>0</v>
      </c>
      <c r="J84" s="291">
        <f t="shared" si="18"/>
        <v>0</v>
      </c>
      <c r="K84" s="292">
        <f t="shared" si="19"/>
        <v>0</v>
      </c>
      <c r="L84" s="59">
        <f>K84*D84*'B) D RI'!S86</f>
        <v>0</v>
      </c>
      <c r="M84" s="15">
        <f>(('B) D RI'!S86*C84)-(L84*$M$4))/'B) D RI'!S86</f>
        <v>20201.042816901412</v>
      </c>
      <c r="N84" s="281">
        <f t="shared" si="20"/>
        <v>35.010472819586504</v>
      </c>
      <c r="O84" s="64">
        <f t="shared" si="21"/>
        <v>0.78160950964354303</v>
      </c>
      <c r="R84" s="13"/>
    </row>
    <row r="85" spans="1:18" x14ac:dyDescent="0.25">
      <c r="A85" s="326">
        <f>'A) Base RI'!A87</f>
        <v>5530</v>
      </c>
      <c r="B85" s="34" t="str">
        <f>'A) Base RI'!B87</f>
        <v>Pailly</v>
      </c>
      <c r="C85" s="324">
        <f>'B) D RI'!U87</f>
        <v>17056.622387096773</v>
      </c>
      <c r="D85" s="34">
        <f>'B) D RI'!AR87</f>
        <v>543</v>
      </c>
      <c r="E85" s="213">
        <f t="shared" si="13"/>
        <v>31.411827600546545</v>
      </c>
      <c r="F85" s="64">
        <f t="shared" si="14"/>
        <v>0.67867749888570539</v>
      </c>
      <c r="G85" s="291">
        <f t="shared" si="15"/>
        <v>0</v>
      </c>
      <c r="H85" s="291">
        <f t="shared" si="16"/>
        <v>0</v>
      </c>
      <c r="I85" s="291">
        <f t="shared" si="17"/>
        <v>0</v>
      </c>
      <c r="J85" s="291">
        <f t="shared" si="18"/>
        <v>0</v>
      </c>
      <c r="K85" s="292">
        <f t="shared" si="19"/>
        <v>0</v>
      </c>
      <c r="L85" s="59">
        <f>K85*D85*'B) D RI'!S87</f>
        <v>0</v>
      </c>
      <c r="M85" s="15">
        <f>(('B) D RI'!S87*C85)-(L85*$M$4))/'B) D RI'!S87</f>
        <v>17056.622387096773</v>
      </c>
      <c r="N85" s="281">
        <f t="shared" si="20"/>
        <v>31.411827600546545</v>
      </c>
      <c r="O85" s="64">
        <f t="shared" si="21"/>
        <v>0.70126968277147272</v>
      </c>
      <c r="R85" s="13"/>
    </row>
    <row r="86" spans="1:18" x14ac:dyDescent="0.25">
      <c r="A86" s="326">
        <f>'A) Base RI'!A88</f>
        <v>5531</v>
      </c>
      <c r="B86" s="34" t="str">
        <f>'A) Base RI'!B88</f>
        <v>Penthéréaz</v>
      </c>
      <c r="C86" s="324">
        <f>'B) D RI'!U88</f>
        <v>13134.769871794872</v>
      </c>
      <c r="D86" s="34">
        <f>'B) D RI'!AR88</f>
        <v>418</v>
      </c>
      <c r="E86" s="213">
        <f t="shared" si="13"/>
        <v>31.422894430131272</v>
      </c>
      <c r="F86" s="64">
        <f t="shared" si="14"/>
        <v>0.67891660653390307</v>
      </c>
      <c r="G86" s="291">
        <f t="shared" si="15"/>
        <v>0</v>
      </c>
      <c r="H86" s="291">
        <f t="shared" si="16"/>
        <v>0</v>
      </c>
      <c r="I86" s="291">
        <f t="shared" si="17"/>
        <v>0</v>
      </c>
      <c r="J86" s="291">
        <f t="shared" si="18"/>
        <v>0</v>
      </c>
      <c r="K86" s="292">
        <f t="shared" si="19"/>
        <v>0</v>
      </c>
      <c r="L86" s="59">
        <f>K86*D86*'B) D RI'!S88</f>
        <v>0</v>
      </c>
      <c r="M86" s="15">
        <f>(('B) D RI'!S88*C86)-(L86*$M$4))/'B) D RI'!S88</f>
        <v>13134.769871794872</v>
      </c>
      <c r="N86" s="281">
        <f t="shared" si="20"/>
        <v>31.422894430131272</v>
      </c>
      <c r="O86" s="64">
        <f t="shared" si="21"/>
        <v>0.70151674996446955</v>
      </c>
      <c r="R86" s="13"/>
    </row>
    <row r="87" spans="1:18" x14ac:dyDescent="0.25">
      <c r="A87" s="326">
        <f>'A) Base RI'!A89</f>
        <v>5533</v>
      </c>
      <c r="B87" s="34" t="str">
        <f>'A) Base RI'!B89</f>
        <v>Poliez-Pittet</v>
      </c>
      <c r="C87" s="324">
        <f>'B) D RI'!U89</f>
        <v>28042.897605633803</v>
      </c>
      <c r="D87" s="34">
        <f>'B) D RI'!AR89</f>
        <v>849</v>
      </c>
      <c r="E87" s="213">
        <f t="shared" si="13"/>
        <v>33.030503657990344</v>
      </c>
      <c r="F87" s="64">
        <f t="shared" si="14"/>
        <v>0.71365028149937981</v>
      </c>
      <c r="G87" s="291">
        <f t="shared" si="15"/>
        <v>0</v>
      </c>
      <c r="H87" s="291">
        <f t="shared" si="16"/>
        <v>0</v>
      </c>
      <c r="I87" s="291">
        <f t="shared" si="17"/>
        <v>0</v>
      </c>
      <c r="J87" s="291">
        <f t="shared" si="18"/>
        <v>0</v>
      </c>
      <c r="K87" s="292">
        <f t="shared" si="19"/>
        <v>0</v>
      </c>
      <c r="L87" s="59">
        <f>K87*D87*'B) D RI'!S89</f>
        <v>0</v>
      </c>
      <c r="M87" s="15">
        <f>(('B) D RI'!S89*C87)-(L87*$M$4))/'B) D RI'!S89</f>
        <v>28042.897605633803</v>
      </c>
      <c r="N87" s="281">
        <f t="shared" si="20"/>
        <v>33.030503657990344</v>
      </c>
      <c r="O87" s="64">
        <f t="shared" si="21"/>
        <v>0.73740665830019492</v>
      </c>
      <c r="R87" s="13"/>
    </row>
    <row r="88" spans="1:18" x14ac:dyDescent="0.25">
      <c r="A88" s="326">
        <f>'A) Base RI'!A90</f>
        <v>5534</v>
      </c>
      <c r="B88" s="34" t="str">
        <f>'A) Base RI'!B90</f>
        <v>Rueyres</v>
      </c>
      <c r="C88" s="324">
        <f>'B) D RI'!U90</f>
        <v>9722.0657534246584</v>
      </c>
      <c r="D88" s="34">
        <f>'B) D RI'!AR90</f>
        <v>257</v>
      </c>
      <c r="E88" s="213">
        <f t="shared" si="13"/>
        <v>37.82904962422046</v>
      </c>
      <c r="F88" s="64">
        <f t="shared" si="14"/>
        <v>0.81732668059538416</v>
      </c>
      <c r="G88" s="291">
        <f t="shared" si="15"/>
        <v>0</v>
      </c>
      <c r="H88" s="291">
        <f t="shared" si="16"/>
        <v>0</v>
      </c>
      <c r="I88" s="291">
        <f t="shared" si="17"/>
        <v>0</v>
      </c>
      <c r="J88" s="291">
        <f t="shared" si="18"/>
        <v>0</v>
      </c>
      <c r="K88" s="292">
        <f t="shared" si="19"/>
        <v>0</v>
      </c>
      <c r="L88" s="59">
        <f>K88*D88*'B) D RI'!S90</f>
        <v>0</v>
      </c>
      <c r="M88" s="15">
        <f>(('B) D RI'!S90*C88)-(L88*$M$4))/'B) D RI'!S90</f>
        <v>9722.0657534246584</v>
      </c>
      <c r="N88" s="281">
        <f t="shared" si="20"/>
        <v>37.82904962422046</v>
      </c>
      <c r="O88" s="64">
        <f t="shared" si="21"/>
        <v>0.84453429347937103</v>
      </c>
      <c r="R88" s="13"/>
    </row>
    <row r="89" spans="1:18" x14ac:dyDescent="0.25">
      <c r="A89" s="326">
        <f>'A) Base RI'!A91</f>
        <v>5535</v>
      </c>
      <c r="B89" s="34" t="str">
        <f>'A) Base RI'!B91</f>
        <v>Saint-Barthélemy</v>
      </c>
      <c r="C89" s="324">
        <f>'B) D RI'!U91</f>
        <v>23314.139350649355</v>
      </c>
      <c r="D89" s="34">
        <f>'B) D RI'!AR91</f>
        <v>769</v>
      </c>
      <c r="E89" s="213">
        <f t="shared" si="13"/>
        <v>30.317476398763791</v>
      </c>
      <c r="F89" s="64">
        <f t="shared" si="14"/>
        <v>0.65503317146950746</v>
      </c>
      <c r="G89" s="291">
        <f t="shared" si="15"/>
        <v>0</v>
      </c>
      <c r="H89" s="291">
        <f t="shared" si="16"/>
        <v>0</v>
      </c>
      <c r="I89" s="291">
        <f t="shared" si="17"/>
        <v>0</v>
      </c>
      <c r="J89" s="291">
        <f t="shared" si="18"/>
        <v>0</v>
      </c>
      <c r="K89" s="292">
        <f t="shared" si="19"/>
        <v>0</v>
      </c>
      <c r="L89" s="59">
        <f>K89*D89*'B) D RI'!S91</f>
        <v>0</v>
      </c>
      <c r="M89" s="15">
        <f>(('B) D RI'!S91*C89)-(L89*$M$4))/'B) D RI'!S91</f>
        <v>23314.139350649355</v>
      </c>
      <c r="N89" s="281">
        <f t="shared" si="20"/>
        <v>30.317476398763791</v>
      </c>
      <c r="O89" s="64">
        <f t="shared" si="21"/>
        <v>0.67683827018784393</v>
      </c>
      <c r="R89" s="13"/>
    </row>
    <row r="90" spans="1:18" x14ac:dyDescent="0.25">
      <c r="A90" s="326">
        <f>'A) Base RI'!A92</f>
        <v>5537</v>
      </c>
      <c r="B90" s="34" t="str">
        <f>'A) Base RI'!B92</f>
        <v>Villars-le-Terroir</v>
      </c>
      <c r="C90" s="324">
        <f>'B) D RI'!U92</f>
        <v>33778.811643835616</v>
      </c>
      <c r="D90" s="34">
        <f>'B) D RI'!AR92</f>
        <v>1150</v>
      </c>
      <c r="E90" s="213">
        <f t="shared" si="13"/>
        <v>29.372879690291839</v>
      </c>
      <c r="F90" s="64">
        <f t="shared" si="14"/>
        <v>0.63462440889402905</v>
      </c>
      <c r="G90" s="291">
        <f t="shared" si="15"/>
        <v>0</v>
      </c>
      <c r="H90" s="291">
        <f t="shared" si="16"/>
        <v>0</v>
      </c>
      <c r="I90" s="291">
        <f t="shared" si="17"/>
        <v>0</v>
      </c>
      <c r="J90" s="291">
        <f t="shared" si="18"/>
        <v>0</v>
      </c>
      <c r="K90" s="292">
        <f t="shared" si="19"/>
        <v>0</v>
      </c>
      <c r="L90" s="59">
        <f>K90*D90*'B) D RI'!S92</f>
        <v>0</v>
      </c>
      <c r="M90" s="15">
        <f>(('B) D RI'!S92*C90)-(L90*$M$4))/'B) D RI'!S92</f>
        <v>33778.811643835616</v>
      </c>
      <c r="N90" s="281">
        <f t="shared" si="20"/>
        <v>29.372879690291839</v>
      </c>
      <c r="O90" s="64">
        <f t="shared" si="21"/>
        <v>0.65575012967845259</v>
      </c>
      <c r="R90" s="13"/>
    </row>
    <row r="91" spans="1:18" x14ac:dyDescent="0.25">
      <c r="A91" s="326">
        <f>'A) Base RI'!A93</f>
        <v>5539</v>
      </c>
      <c r="B91" s="34" t="str">
        <f>'A) Base RI'!B93</f>
        <v>Vuarrens</v>
      </c>
      <c r="C91" s="324">
        <f>'B) D RI'!U93</f>
        <v>26961.993700000003</v>
      </c>
      <c r="D91" s="34">
        <f>'B) D RI'!AR93</f>
        <v>1003</v>
      </c>
      <c r="E91" s="213">
        <f t="shared" si="13"/>
        <v>26.881349651046861</v>
      </c>
      <c r="F91" s="64">
        <f t="shared" si="14"/>
        <v>0.58079292232990565</v>
      </c>
      <c r="G91" s="291">
        <f t="shared" si="15"/>
        <v>0</v>
      </c>
      <c r="H91" s="291">
        <f t="shared" si="16"/>
        <v>0</v>
      </c>
      <c r="I91" s="291">
        <f t="shared" si="17"/>
        <v>0</v>
      </c>
      <c r="J91" s="291">
        <f t="shared" si="18"/>
        <v>0</v>
      </c>
      <c r="K91" s="292">
        <f t="shared" si="19"/>
        <v>0</v>
      </c>
      <c r="L91" s="59">
        <f>K91*D91*'B) D RI'!S93</f>
        <v>0</v>
      </c>
      <c r="M91" s="15">
        <f>(('B) D RI'!S93*C91)-(L91*$M$4))/'B) D RI'!S93</f>
        <v>26961.993700000003</v>
      </c>
      <c r="N91" s="281">
        <f t="shared" si="20"/>
        <v>26.881349651046861</v>
      </c>
      <c r="O91" s="64">
        <f t="shared" si="21"/>
        <v>0.60012667145577592</v>
      </c>
      <c r="R91" s="13"/>
    </row>
    <row r="92" spans="1:18" x14ac:dyDescent="0.25">
      <c r="A92" s="326">
        <f>'A) Base RI'!A94</f>
        <v>5540</v>
      </c>
      <c r="B92" s="34" t="str">
        <f>'A) Base RI'!B94</f>
        <v>Montilliez</v>
      </c>
      <c r="C92" s="324">
        <f>'B) D RI'!U94</f>
        <v>57534.065472972972</v>
      </c>
      <c r="D92" s="34">
        <f>'B) D RI'!AR94</f>
        <v>1731</v>
      </c>
      <c r="E92" s="213">
        <f t="shared" si="13"/>
        <v>33.237472832451168</v>
      </c>
      <c r="F92" s="64">
        <f t="shared" si="14"/>
        <v>0.7181220149959392</v>
      </c>
      <c r="G92" s="291">
        <f t="shared" si="15"/>
        <v>0</v>
      </c>
      <c r="H92" s="291">
        <f t="shared" si="16"/>
        <v>0</v>
      </c>
      <c r="I92" s="291">
        <f t="shared" si="17"/>
        <v>0</v>
      </c>
      <c r="J92" s="291">
        <f t="shared" si="18"/>
        <v>0</v>
      </c>
      <c r="K92" s="292">
        <f t="shared" si="19"/>
        <v>0</v>
      </c>
      <c r="L92" s="59">
        <f>K92*D92*'B) D RI'!S94</f>
        <v>0</v>
      </c>
      <c r="M92" s="15">
        <f>(('B) D RI'!S94*C92)-(L92*$M$4))/'B) D RI'!S94</f>
        <v>57534.065472972972</v>
      </c>
      <c r="N92" s="281">
        <f t="shared" si="20"/>
        <v>33.237472832451168</v>
      </c>
      <c r="O92" s="64">
        <f t="shared" si="21"/>
        <v>0.74202724928150698</v>
      </c>
      <c r="R92" s="13"/>
    </row>
    <row r="93" spans="1:18" x14ac:dyDescent="0.25">
      <c r="A93" s="326">
        <f>'A) Base RI'!A95</f>
        <v>5541</v>
      </c>
      <c r="B93" s="34" t="str">
        <f>'A) Base RI'!B95</f>
        <v>Goumoëns</v>
      </c>
      <c r="C93" s="324">
        <f>'B) D RI'!U95</f>
        <v>38967.18311688312</v>
      </c>
      <c r="D93" s="34">
        <f>'B) D RI'!AR95</f>
        <v>1110</v>
      </c>
      <c r="E93" s="213">
        <f t="shared" si="13"/>
        <v>35.10557037557038</v>
      </c>
      <c r="F93" s="64">
        <f t="shared" si="14"/>
        <v>0.758483747027622</v>
      </c>
      <c r="G93" s="291">
        <f t="shared" si="15"/>
        <v>0</v>
      </c>
      <c r="H93" s="291">
        <f t="shared" si="16"/>
        <v>0</v>
      </c>
      <c r="I93" s="291">
        <f t="shared" si="17"/>
        <v>0</v>
      </c>
      <c r="J93" s="291">
        <f t="shared" si="18"/>
        <v>0</v>
      </c>
      <c r="K93" s="292">
        <f t="shared" si="19"/>
        <v>0</v>
      </c>
      <c r="L93" s="59">
        <f>K93*D93*'B) D RI'!S95</f>
        <v>0</v>
      </c>
      <c r="M93" s="15">
        <f>(('B) D RI'!S95*C93)-(L93*$M$4))/'B) D RI'!S95</f>
        <v>38967.18311688312</v>
      </c>
      <c r="N93" s="281">
        <f t="shared" si="20"/>
        <v>35.10557037557038</v>
      </c>
      <c r="O93" s="64">
        <f t="shared" si="21"/>
        <v>0.78373256449298434</v>
      </c>
      <c r="R93" s="13"/>
    </row>
    <row r="94" spans="1:18" x14ac:dyDescent="0.25">
      <c r="A94" s="326">
        <f>'A) Base RI'!A96</f>
        <v>5551</v>
      </c>
      <c r="B94" s="34" t="str">
        <f>'A) Base RI'!B96</f>
        <v>Bonvillars</v>
      </c>
      <c r="C94" s="324">
        <f>'B) D RI'!U96</f>
        <v>18919.686363636367</v>
      </c>
      <c r="D94" s="34">
        <f>'B) D RI'!AR96</f>
        <v>495</v>
      </c>
      <c r="E94" s="213">
        <f t="shared" si="13"/>
        <v>38.221588613406801</v>
      </c>
      <c r="F94" s="64">
        <f t="shared" si="14"/>
        <v>0.82580779741494392</v>
      </c>
      <c r="G94" s="291">
        <f t="shared" si="15"/>
        <v>0</v>
      </c>
      <c r="H94" s="291">
        <f t="shared" si="16"/>
        <v>0</v>
      </c>
      <c r="I94" s="291">
        <f t="shared" si="17"/>
        <v>0</v>
      </c>
      <c r="J94" s="291">
        <f t="shared" si="18"/>
        <v>0</v>
      </c>
      <c r="K94" s="292">
        <f t="shared" si="19"/>
        <v>0</v>
      </c>
      <c r="L94" s="59">
        <f>K94*D94*'B) D RI'!S96</f>
        <v>0</v>
      </c>
      <c r="M94" s="15">
        <f>(('B) D RI'!S96*C94)-(L94*$M$4))/'B) D RI'!S96</f>
        <v>18919.686363636367</v>
      </c>
      <c r="N94" s="281">
        <f t="shared" si="20"/>
        <v>38.221588613406801</v>
      </c>
      <c r="O94" s="64">
        <f t="shared" si="21"/>
        <v>0.85329773430563316</v>
      </c>
      <c r="R94" s="13"/>
    </row>
    <row r="95" spans="1:18" x14ac:dyDescent="0.25">
      <c r="A95" s="326">
        <f>'A) Base RI'!A97</f>
        <v>5552</v>
      </c>
      <c r="B95" s="34" t="str">
        <f>'A) Base RI'!B97</f>
        <v>Bullet</v>
      </c>
      <c r="C95" s="324">
        <f>'B) D RI'!U97</f>
        <v>17961.232428571428</v>
      </c>
      <c r="D95" s="34">
        <f>'B) D RI'!AR97</f>
        <v>644</v>
      </c>
      <c r="E95" s="213">
        <f t="shared" si="13"/>
        <v>27.890112466725821</v>
      </c>
      <c r="F95" s="64">
        <f t="shared" si="14"/>
        <v>0.60258804464561533</v>
      </c>
      <c r="G95" s="291">
        <f t="shared" si="15"/>
        <v>0</v>
      </c>
      <c r="H95" s="291">
        <f t="shared" si="16"/>
        <v>0</v>
      </c>
      <c r="I95" s="291">
        <f t="shared" si="17"/>
        <v>0</v>
      </c>
      <c r="J95" s="291">
        <f t="shared" si="18"/>
        <v>0</v>
      </c>
      <c r="K95" s="292">
        <f t="shared" si="19"/>
        <v>0</v>
      </c>
      <c r="L95" s="59">
        <f>K95*D95*'B) D RI'!S97</f>
        <v>0</v>
      </c>
      <c r="M95" s="15">
        <f>(('B) D RI'!S97*C95)-(L95*$M$4))/'B) D RI'!S97</f>
        <v>17961.232428571428</v>
      </c>
      <c r="N95" s="281">
        <f t="shared" si="20"/>
        <v>27.890112466725821</v>
      </c>
      <c r="O95" s="64">
        <f t="shared" si="21"/>
        <v>0.62264732159873459</v>
      </c>
      <c r="R95" s="13"/>
    </row>
    <row r="96" spans="1:18" x14ac:dyDescent="0.25">
      <c r="A96" s="326">
        <f>'A) Base RI'!A98</f>
        <v>5553</v>
      </c>
      <c r="B96" s="34" t="str">
        <f>'A) Base RI'!B98</f>
        <v>Champagne</v>
      </c>
      <c r="C96" s="324">
        <f>'B) D RI'!U98</f>
        <v>34503.509846153851</v>
      </c>
      <c r="D96" s="34">
        <f>'B) D RI'!AR98</f>
        <v>1027</v>
      </c>
      <c r="E96" s="213">
        <f t="shared" si="13"/>
        <v>33.596406860909298</v>
      </c>
      <c r="F96" s="64">
        <f t="shared" si="14"/>
        <v>0.72587706993246559</v>
      </c>
      <c r="G96" s="291">
        <f t="shared" si="15"/>
        <v>0</v>
      </c>
      <c r="H96" s="291">
        <f t="shared" si="16"/>
        <v>0</v>
      </c>
      <c r="I96" s="291">
        <f t="shared" si="17"/>
        <v>0</v>
      </c>
      <c r="J96" s="291">
        <f t="shared" si="18"/>
        <v>0</v>
      </c>
      <c r="K96" s="292">
        <f t="shared" si="19"/>
        <v>0</v>
      </c>
      <c r="L96" s="59">
        <f>K96*D96*'B) D RI'!S98</f>
        <v>0</v>
      </c>
      <c r="M96" s="15">
        <f>(('B) D RI'!S98*C96)-(L96*$M$4))/'B) D RI'!S98</f>
        <v>34503.509846153851</v>
      </c>
      <c r="N96" s="281">
        <f t="shared" si="20"/>
        <v>33.596406860909298</v>
      </c>
      <c r="O96" s="64">
        <f t="shared" si="21"/>
        <v>0.75004045868382585</v>
      </c>
      <c r="R96" s="13"/>
    </row>
    <row r="97" spans="1:18" x14ac:dyDescent="0.25">
      <c r="A97" s="326">
        <f>'A) Base RI'!A99</f>
        <v>5554</v>
      </c>
      <c r="B97" s="34" t="str">
        <f>'A) Base RI'!B99</f>
        <v>Concise</v>
      </c>
      <c r="C97" s="324">
        <f>'B) D RI'!U99</f>
        <v>31707.482800000005</v>
      </c>
      <c r="D97" s="34">
        <f>'B) D RI'!AR99</f>
        <v>969</v>
      </c>
      <c r="E97" s="213">
        <f t="shared" si="13"/>
        <v>32.721860474716209</v>
      </c>
      <c r="F97" s="64">
        <f t="shared" si="14"/>
        <v>0.70698180024014334</v>
      </c>
      <c r="G97" s="291">
        <f t="shared" si="15"/>
        <v>0</v>
      </c>
      <c r="H97" s="291">
        <f t="shared" si="16"/>
        <v>0</v>
      </c>
      <c r="I97" s="291">
        <f t="shared" si="17"/>
        <v>0</v>
      </c>
      <c r="J97" s="291">
        <f t="shared" si="18"/>
        <v>0</v>
      </c>
      <c r="K97" s="292">
        <f t="shared" si="19"/>
        <v>0</v>
      </c>
      <c r="L97" s="59">
        <f>K97*D97*'B) D RI'!S99</f>
        <v>0</v>
      </c>
      <c r="M97" s="15">
        <f>(('B) D RI'!S99*C97)-(L97*$M$4))/'B) D RI'!S99</f>
        <v>31707.482800000005</v>
      </c>
      <c r="N97" s="281">
        <f t="shared" si="20"/>
        <v>32.721860474716209</v>
      </c>
      <c r="O97" s="64">
        <f t="shared" si="21"/>
        <v>0.73051619302779336</v>
      </c>
      <c r="R97" s="13"/>
    </row>
    <row r="98" spans="1:18" x14ac:dyDescent="0.25">
      <c r="A98" s="326">
        <f>'A) Base RI'!A100</f>
        <v>5555</v>
      </c>
      <c r="B98" s="34" t="str">
        <f>'A) Base RI'!B100</f>
        <v>Corcelles-près-Concise</v>
      </c>
      <c r="C98" s="324">
        <f>'B) D RI'!U100</f>
        <v>13647.491690140843</v>
      </c>
      <c r="D98" s="34">
        <f>'B) D RI'!AR100</f>
        <v>377</v>
      </c>
      <c r="E98" s="213">
        <f t="shared" si="13"/>
        <v>36.200243209922661</v>
      </c>
      <c r="F98" s="64">
        <f t="shared" si="14"/>
        <v>0.7821350235710921</v>
      </c>
      <c r="G98" s="291">
        <f t="shared" si="15"/>
        <v>0</v>
      </c>
      <c r="H98" s="291">
        <f t="shared" si="16"/>
        <v>0</v>
      </c>
      <c r="I98" s="291">
        <f t="shared" si="17"/>
        <v>0</v>
      </c>
      <c r="J98" s="291">
        <f t="shared" si="18"/>
        <v>0</v>
      </c>
      <c r="K98" s="292">
        <f t="shared" si="19"/>
        <v>0</v>
      </c>
      <c r="L98" s="59">
        <f>K98*D98*'B) D RI'!S100</f>
        <v>0</v>
      </c>
      <c r="M98" s="15">
        <f>(('B) D RI'!S100*C98)-(L98*$M$4))/'B) D RI'!S100</f>
        <v>13647.491690140843</v>
      </c>
      <c r="N98" s="281">
        <f t="shared" si="20"/>
        <v>36.200243209922661</v>
      </c>
      <c r="O98" s="64">
        <f t="shared" si="21"/>
        <v>0.80817115753019486</v>
      </c>
      <c r="R98" s="13"/>
    </row>
    <row r="99" spans="1:18" x14ac:dyDescent="0.25">
      <c r="A99" s="326">
        <f>'A) Base RI'!A101</f>
        <v>5556</v>
      </c>
      <c r="B99" s="34" t="str">
        <f>'A) Base RI'!B101</f>
        <v>Fiez</v>
      </c>
      <c r="C99" s="324">
        <f>'B) D RI'!U101</f>
        <v>12912.419806763286</v>
      </c>
      <c r="D99" s="34">
        <f>'B) D RI'!AR101</f>
        <v>425</v>
      </c>
      <c r="E99" s="213">
        <f t="shared" si="13"/>
        <v>30.382164251207733</v>
      </c>
      <c r="F99" s="64">
        <f t="shared" si="14"/>
        <v>0.65643080393022357</v>
      </c>
      <c r="G99" s="291">
        <f t="shared" si="15"/>
        <v>0</v>
      </c>
      <c r="H99" s="291">
        <f t="shared" si="16"/>
        <v>0</v>
      </c>
      <c r="I99" s="291">
        <f t="shared" si="17"/>
        <v>0</v>
      </c>
      <c r="J99" s="291">
        <f t="shared" si="18"/>
        <v>0</v>
      </c>
      <c r="K99" s="292">
        <f t="shared" si="19"/>
        <v>0</v>
      </c>
      <c r="L99" s="59">
        <f>K99*D99*'B) D RI'!S101</f>
        <v>0</v>
      </c>
      <c r="M99" s="15">
        <f>(('B) D RI'!S101*C99)-(L99*$M$4))/'B) D RI'!S101</f>
        <v>12912.419806763286</v>
      </c>
      <c r="N99" s="281">
        <f t="shared" si="20"/>
        <v>30.382164251207733</v>
      </c>
      <c r="O99" s="64">
        <f t="shared" si="21"/>
        <v>0.67828242779431636</v>
      </c>
      <c r="R99" s="13"/>
    </row>
    <row r="100" spans="1:18" x14ac:dyDescent="0.25">
      <c r="A100" s="326">
        <f>'A) Base RI'!A102</f>
        <v>5557</v>
      </c>
      <c r="B100" s="34" t="str">
        <f>'A) Base RI'!B102</f>
        <v>Fontaines-sur-Grandson</v>
      </c>
      <c r="C100" s="324">
        <f>'B) D RI'!U102</f>
        <v>4472.1762318840592</v>
      </c>
      <c r="D100" s="34">
        <f>'B) D RI'!AR102</f>
        <v>210</v>
      </c>
      <c r="E100" s="213">
        <f t="shared" si="13"/>
        <v>21.296077294685997</v>
      </c>
      <c r="F100" s="64">
        <f t="shared" si="14"/>
        <v>0.4601186743487245</v>
      </c>
      <c r="G100" s="291">
        <f t="shared" si="15"/>
        <v>0</v>
      </c>
      <c r="H100" s="291">
        <f t="shared" si="16"/>
        <v>0</v>
      </c>
      <c r="I100" s="291">
        <f t="shared" si="17"/>
        <v>0</v>
      </c>
      <c r="J100" s="291">
        <f t="shared" si="18"/>
        <v>0</v>
      </c>
      <c r="K100" s="292">
        <f t="shared" si="19"/>
        <v>0</v>
      </c>
      <c r="L100" s="59">
        <f>K100*D100*'B) D RI'!S102</f>
        <v>0</v>
      </c>
      <c r="M100" s="15">
        <f>(('B) D RI'!S102*C100)-(L100*$M$4))/'B) D RI'!S102</f>
        <v>4472.1762318840592</v>
      </c>
      <c r="N100" s="281">
        <f t="shared" si="20"/>
        <v>21.296077294685997</v>
      </c>
      <c r="O100" s="64">
        <f t="shared" si="21"/>
        <v>0.47543535379843244</v>
      </c>
      <c r="R100" s="13"/>
    </row>
    <row r="101" spans="1:18" x14ac:dyDescent="0.25">
      <c r="A101" s="326">
        <f>'A) Base RI'!A103</f>
        <v>5559</v>
      </c>
      <c r="B101" s="34" t="str">
        <f>'A) Base RI'!B103</f>
        <v>Giez</v>
      </c>
      <c r="C101" s="324">
        <f>'B) D RI'!U103</f>
        <v>14390.805000000002</v>
      </c>
      <c r="D101" s="34">
        <f>'B) D RI'!AR103</f>
        <v>421</v>
      </c>
      <c r="E101" s="213">
        <f t="shared" si="13"/>
        <v>34.182434679334925</v>
      </c>
      <c r="F101" s="64">
        <f t="shared" si="14"/>
        <v>0.73853866667698709</v>
      </c>
      <c r="G101" s="291">
        <f t="shared" si="15"/>
        <v>0</v>
      </c>
      <c r="H101" s="291">
        <f t="shared" si="16"/>
        <v>0</v>
      </c>
      <c r="I101" s="291">
        <f t="shared" si="17"/>
        <v>0</v>
      </c>
      <c r="J101" s="291">
        <f t="shared" si="18"/>
        <v>0</v>
      </c>
      <c r="K101" s="292">
        <f t="shared" si="19"/>
        <v>0</v>
      </c>
      <c r="L101" s="59">
        <f>K101*D101*'B) D RI'!S103</f>
        <v>0</v>
      </c>
      <c r="M101" s="15">
        <f>(('B) D RI'!S103*C101)-(L101*$M$4))/'B) D RI'!S103</f>
        <v>14390.805000000002</v>
      </c>
      <c r="N101" s="281">
        <f t="shared" si="20"/>
        <v>34.182434679334925</v>
      </c>
      <c r="O101" s="64">
        <f t="shared" si="21"/>
        <v>0.76312354151328365</v>
      </c>
      <c r="R101" s="13"/>
    </row>
    <row r="102" spans="1:18" x14ac:dyDescent="0.25">
      <c r="A102" s="326">
        <f>'A) Base RI'!A104</f>
        <v>5560</v>
      </c>
      <c r="B102" s="34" t="str">
        <f>'A) Base RI'!B104</f>
        <v>Grandevent</v>
      </c>
      <c r="C102" s="324">
        <f>'B) D RI'!U104</f>
        <v>6268.2104411764703</v>
      </c>
      <c r="D102" s="34">
        <f>'B) D RI'!AR104</f>
        <v>229</v>
      </c>
      <c r="E102" s="213">
        <f t="shared" si="13"/>
        <v>27.372097996403802</v>
      </c>
      <c r="F102" s="64">
        <f t="shared" si="14"/>
        <v>0.59139593033837157</v>
      </c>
      <c r="G102" s="291">
        <f t="shared" si="15"/>
        <v>0</v>
      </c>
      <c r="H102" s="291">
        <f t="shared" si="16"/>
        <v>0</v>
      </c>
      <c r="I102" s="291">
        <f t="shared" si="17"/>
        <v>0</v>
      </c>
      <c r="J102" s="291">
        <f t="shared" si="18"/>
        <v>0</v>
      </c>
      <c r="K102" s="292">
        <f t="shared" si="19"/>
        <v>0</v>
      </c>
      <c r="L102" s="59">
        <f>K102*D102*'B) D RI'!S104</f>
        <v>0</v>
      </c>
      <c r="M102" s="15">
        <f>(('B) D RI'!S104*C102)-(L102*$M$4))/'B) D RI'!S104</f>
        <v>6268.2104411764703</v>
      </c>
      <c r="N102" s="281">
        <f t="shared" si="20"/>
        <v>27.372097996403802</v>
      </c>
      <c r="O102" s="64">
        <f t="shared" si="21"/>
        <v>0.61108263813321628</v>
      </c>
      <c r="R102" s="13"/>
    </row>
    <row r="103" spans="1:18" x14ac:dyDescent="0.25">
      <c r="A103" s="326">
        <f>'A) Base RI'!A105</f>
        <v>5561</v>
      </c>
      <c r="B103" s="34" t="str">
        <f>'A) Base RI'!B105</f>
        <v>Grandson</v>
      </c>
      <c r="C103" s="324">
        <f>'B) D RI'!U105</f>
        <v>116951.12594202899</v>
      </c>
      <c r="D103" s="34">
        <f>'B) D RI'!AR105</f>
        <v>3284</v>
      </c>
      <c r="E103" s="213">
        <f t="shared" si="13"/>
        <v>35.612401322176915</v>
      </c>
      <c r="F103" s="64">
        <f t="shared" si="14"/>
        <v>0.76943423241723408</v>
      </c>
      <c r="G103" s="291">
        <f t="shared" si="15"/>
        <v>0</v>
      </c>
      <c r="H103" s="291">
        <f t="shared" si="16"/>
        <v>0</v>
      </c>
      <c r="I103" s="291">
        <f t="shared" si="17"/>
        <v>0</v>
      </c>
      <c r="J103" s="291">
        <f t="shared" si="18"/>
        <v>0</v>
      </c>
      <c r="K103" s="292">
        <f t="shared" si="19"/>
        <v>0</v>
      </c>
      <c r="L103" s="59">
        <f>K103*D103*'B) D RI'!S105</f>
        <v>0</v>
      </c>
      <c r="M103" s="15">
        <f>(('B) D RI'!S105*C103)-(L103*$M$4))/'B) D RI'!S105</f>
        <v>116951.12594202899</v>
      </c>
      <c r="N103" s="281">
        <f t="shared" si="20"/>
        <v>35.612401322176915</v>
      </c>
      <c r="O103" s="64">
        <f t="shared" si="21"/>
        <v>0.79504757556669037</v>
      </c>
      <c r="R103" s="13"/>
    </row>
    <row r="104" spans="1:18" x14ac:dyDescent="0.25">
      <c r="A104" s="326">
        <f>'A) Base RI'!A106</f>
        <v>5562</v>
      </c>
      <c r="B104" s="34" t="str">
        <f>'A) Base RI'!B106</f>
        <v>Mauborget</v>
      </c>
      <c r="C104" s="324">
        <f>'B) D RI'!U106</f>
        <v>5914.7906428571432</v>
      </c>
      <c r="D104" s="34">
        <f>'B) D RI'!AR106</f>
        <v>119</v>
      </c>
      <c r="E104" s="213">
        <f t="shared" si="13"/>
        <v>49.704123049219689</v>
      </c>
      <c r="F104" s="64">
        <f t="shared" si="14"/>
        <v>1.073897079288848</v>
      </c>
      <c r="G104" s="291">
        <f t="shared" si="15"/>
        <v>0</v>
      </c>
      <c r="H104" s="291">
        <f t="shared" si="16"/>
        <v>0</v>
      </c>
      <c r="I104" s="291">
        <f t="shared" si="17"/>
        <v>0</v>
      </c>
      <c r="J104" s="291">
        <f t="shared" si="18"/>
        <v>0</v>
      </c>
      <c r="K104" s="292">
        <f t="shared" si="19"/>
        <v>0</v>
      </c>
      <c r="L104" s="59">
        <f>K104*D104*'B) D RI'!S106</f>
        <v>0</v>
      </c>
      <c r="M104" s="15">
        <f>(('B) D RI'!S106*C104)-(L104*$M$4))/'B) D RI'!S106</f>
        <v>5914.7906428571432</v>
      </c>
      <c r="N104" s="281">
        <f t="shared" si="20"/>
        <v>49.704123049219689</v>
      </c>
      <c r="O104" s="64">
        <f t="shared" si="21"/>
        <v>1.1096455464614248</v>
      </c>
      <c r="R104" s="13"/>
    </row>
    <row r="105" spans="1:18" x14ac:dyDescent="0.25">
      <c r="A105" s="326">
        <f>'A) Base RI'!A107</f>
        <v>5563</v>
      </c>
      <c r="B105" s="34" t="str">
        <f>'A) Base RI'!B107</f>
        <v>Mutrux</v>
      </c>
      <c r="C105" s="324">
        <f>'B) D RI'!U107</f>
        <v>3113.0356687898088</v>
      </c>
      <c r="D105" s="34">
        <f>'B) D RI'!AR107</f>
        <v>163</v>
      </c>
      <c r="E105" s="213">
        <f t="shared" si="13"/>
        <v>19.098378336133795</v>
      </c>
      <c r="F105" s="64">
        <f t="shared" si="14"/>
        <v>0.41263564179610807</v>
      </c>
      <c r="G105" s="291">
        <f t="shared" si="15"/>
        <v>0</v>
      </c>
      <c r="H105" s="291">
        <f t="shared" si="16"/>
        <v>0</v>
      </c>
      <c r="I105" s="291">
        <f t="shared" si="17"/>
        <v>0</v>
      </c>
      <c r="J105" s="291">
        <f t="shared" si="18"/>
        <v>0</v>
      </c>
      <c r="K105" s="292">
        <f t="shared" si="19"/>
        <v>0</v>
      </c>
      <c r="L105" s="59">
        <f>K105*D105*'B) D RI'!S107</f>
        <v>0</v>
      </c>
      <c r="M105" s="15">
        <f>(('B) D RI'!S107*C105)-(L105*$M$4))/'B) D RI'!S107</f>
        <v>3113.0356687898088</v>
      </c>
      <c r="N105" s="281">
        <f t="shared" si="20"/>
        <v>19.098378336133795</v>
      </c>
      <c r="O105" s="64">
        <f t="shared" si="21"/>
        <v>0.42637168036020551</v>
      </c>
      <c r="R105" s="13"/>
    </row>
    <row r="106" spans="1:18" x14ac:dyDescent="0.25">
      <c r="A106" s="326">
        <f>'A) Base RI'!A108</f>
        <v>5564</v>
      </c>
      <c r="B106" s="34" t="str">
        <f>'A) Base RI'!B108</f>
        <v>Novalles</v>
      </c>
      <c r="C106" s="324">
        <f>'B) D RI'!U108</f>
        <v>2626.7922039473683</v>
      </c>
      <c r="D106" s="34">
        <f>'B) D RI'!AR108</f>
        <v>101</v>
      </c>
      <c r="E106" s="213">
        <f t="shared" si="13"/>
        <v>26.007843603439291</v>
      </c>
      <c r="F106" s="64">
        <f t="shared" si="14"/>
        <v>0.56192012997950036</v>
      </c>
      <c r="G106" s="291">
        <f t="shared" si="15"/>
        <v>0</v>
      </c>
      <c r="H106" s="291">
        <f t="shared" si="16"/>
        <v>0</v>
      </c>
      <c r="I106" s="291">
        <f t="shared" si="17"/>
        <v>0</v>
      </c>
      <c r="J106" s="291">
        <f t="shared" si="18"/>
        <v>0</v>
      </c>
      <c r="K106" s="292">
        <f t="shared" si="19"/>
        <v>0</v>
      </c>
      <c r="L106" s="59">
        <f>K106*D106*'B) D RI'!S108</f>
        <v>0</v>
      </c>
      <c r="M106" s="15">
        <f>(('B) D RI'!S108*C106)-(L106*$M$4))/'B) D RI'!S108</f>
        <v>2626.7922039473683</v>
      </c>
      <c r="N106" s="281">
        <f t="shared" si="20"/>
        <v>26.007843603439291</v>
      </c>
      <c r="O106" s="64">
        <f t="shared" si="21"/>
        <v>0.5806256313795829</v>
      </c>
      <c r="R106" s="13"/>
    </row>
    <row r="107" spans="1:18" x14ac:dyDescent="0.25">
      <c r="A107" s="326">
        <f>'A) Base RI'!A109</f>
        <v>5565</v>
      </c>
      <c r="B107" s="34" t="str">
        <f>'A) Base RI'!B109</f>
        <v>Onnens</v>
      </c>
      <c r="C107" s="324">
        <f>'B) D RI'!U109</f>
        <v>19016.562615384613</v>
      </c>
      <c r="D107" s="34">
        <f>'B) D RI'!AR109</f>
        <v>477</v>
      </c>
      <c r="E107" s="213">
        <f t="shared" si="13"/>
        <v>39.867007579422669</v>
      </c>
      <c r="F107" s="64">
        <f t="shared" si="14"/>
        <v>0.86135838182141522</v>
      </c>
      <c r="G107" s="291">
        <f t="shared" si="15"/>
        <v>0</v>
      </c>
      <c r="H107" s="291">
        <f t="shared" si="16"/>
        <v>0</v>
      </c>
      <c r="I107" s="291">
        <f t="shared" si="17"/>
        <v>0</v>
      </c>
      <c r="J107" s="291">
        <f t="shared" si="18"/>
        <v>0</v>
      </c>
      <c r="K107" s="292">
        <f t="shared" si="19"/>
        <v>0</v>
      </c>
      <c r="L107" s="59">
        <f>K107*D107*'B) D RI'!S109</f>
        <v>0</v>
      </c>
      <c r="M107" s="15">
        <f>(('B) D RI'!S109*C107)-(L107*$M$4))/'B) D RI'!S109</f>
        <v>19016.562615384613</v>
      </c>
      <c r="N107" s="281">
        <f t="shared" si="20"/>
        <v>39.867007579422669</v>
      </c>
      <c r="O107" s="64">
        <f t="shared" si="21"/>
        <v>0.89003174580593936</v>
      </c>
      <c r="R107" s="13"/>
    </row>
    <row r="108" spans="1:18" x14ac:dyDescent="0.25">
      <c r="A108" s="326">
        <f>'A) Base RI'!A110</f>
        <v>5566</v>
      </c>
      <c r="B108" s="34" t="str">
        <f>'A) Base RI'!B110</f>
        <v>Provence</v>
      </c>
      <c r="C108" s="324">
        <f>'B) D RI'!U110</f>
        <v>7944.5948559670787</v>
      </c>
      <c r="D108" s="34">
        <f>'B) D RI'!AR110</f>
        <v>388</v>
      </c>
      <c r="E108" s="213">
        <f t="shared" si="13"/>
        <v>20.475759938059483</v>
      </c>
      <c r="F108" s="64">
        <f t="shared" si="14"/>
        <v>0.44239506593702776</v>
      </c>
      <c r="G108" s="291">
        <f t="shared" si="15"/>
        <v>0</v>
      </c>
      <c r="H108" s="291">
        <f t="shared" si="16"/>
        <v>0</v>
      </c>
      <c r="I108" s="291">
        <f t="shared" si="17"/>
        <v>0</v>
      </c>
      <c r="J108" s="291">
        <f t="shared" si="18"/>
        <v>0</v>
      </c>
      <c r="K108" s="292">
        <f t="shared" si="19"/>
        <v>0</v>
      </c>
      <c r="L108" s="59">
        <f>K108*D108*'B) D RI'!S110</f>
        <v>0</v>
      </c>
      <c r="M108" s="15">
        <f>(('B) D RI'!S110*C108)-(L108*$M$4))/'B) D RI'!S110</f>
        <v>7944.5948559670787</v>
      </c>
      <c r="N108" s="281">
        <f t="shared" si="20"/>
        <v>20.475759938059483</v>
      </c>
      <c r="O108" s="64">
        <f t="shared" si="21"/>
        <v>0.45712175231784241</v>
      </c>
      <c r="R108" s="13"/>
    </row>
    <row r="109" spans="1:18" x14ac:dyDescent="0.25">
      <c r="A109" s="326">
        <f>'A) Base RI'!A111</f>
        <v>5568</v>
      </c>
      <c r="B109" s="34" t="str">
        <f>'A) Base RI'!B111</f>
        <v>Sainte-Croix</v>
      </c>
      <c r="C109" s="324">
        <f>'B) D RI'!U111</f>
        <v>100789.16114285712</v>
      </c>
      <c r="D109" s="34">
        <f>'B) D RI'!AR111</f>
        <v>4919</v>
      </c>
      <c r="E109" s="213">
        <f t="shared" si="13"/>
        <v>20.489766444980102</v>
      </c>
      <c r="F109" s="64">
        <f t="shared" si="14"/>
        <v>0.44269768765028478</v>
      </c>
      <c r="G109" s="291">
        <f t="shared" si="15"/>
        <v>0</v>
      </c>
      <c r="H109" s="291">
        <f t="shared" si="16"/>
        <v>0</v>
      </c>
      <c r="I109" s="291">
        <f t="shared" si="17"/>
        <v>0</v>
      </c>
      <c r="J109" s="291">
        <f t="shared" si="18"/>
        <v>0</v>
      </c>
      <c r="K109" s="292">
        <f t="shared" si="19"/>
        <v>0</v>
      </c>
      <c r="L109" s="59">
        <f>K109*D109*'B) D RI'!S111</f>
        <v>0</v>
      </c>
      <c r="M109" s="15">
        <f>(('B) D RI'!S111*C109)-(L109*$M$4))/'B) D RI'!S111</f>
        <v>100789.16114285712</v>
      </c>
      <c r="N109" s="281">
        <f t="shared" si="20"/>
        <v>20.489766444980102</v>
      </c>
      <c r="O109" s="64">
        <f t="shared" si="21"/>
        <v>0.45743444786647036</v>
      </c>
      <c r="R109" s="13"/>
    </row>
    <row r="110" spans="1:18" x14ac:dyDescent="0.25">
      <c r="A110" s="326">
        <f>'A) Base RI'!A112</f>
        <v>5571</v>
      </c>
      <c r="B110" s="34" t="str">
        <f>'A) Base RI'!B112</f>
        <v>Tévenon</v>
      </c>
      <c r="C110" s="324">
        <f>'B) D RI'!U112</f>
        <v>21355.706643835612</v>
      </c>
      <c r="D110" s="34">
        <f>'B) D RI'!AR112</f>
        <v>843</v>
      </c>
      <c r="E110" s="213">
        <f t="shared" si="13"/>
        <v>25.332985342628248</v>
      </c>
      <c r="F110" s="64">
        <f t="shared" si="14"/>
        <v>0.54733928093200246</v>
      </c>
      <c r="G110" s="291">
        <f t="shared" si="15"/>
        <v>0</v>
      </c>
      <c r="H110" s="291">
        <f t="shared" si="16"/>
        <v>0</v>
      </c>
      <c r="I110" s="291">
        <f t="shared" si="17"/>
        <v>0</v>
      </c>
      <c r="J110" s="291">
        <f t="shared" si="18"/>
        <v>0</v>
      </c>
      <c r="K110" s="292">
        <f t="shared" si="19"/>
        <v>0</v>
      </c>
      <c r="L110" s="59">
        <f>K110*D110*'B) D RI'!S112</f>
        <v>0</v>
      </c>
      <c r="M110" s="15">
        <f>(('B) D RI'!S112*C110)-(L110*$M$4))/'B) D RI'!S112</f>
        <v>21355.706643835612</v>
      </c>
      <c r="N110" s="281">
        <f t="shared" si="20"/>
        <v>25.332985342628248</v>
      </c>
      <c r="O110" s="64">
        <f t="shared" si="21"/>
        <v>0.56555940713778063</v>
      </c>
      <c r="R110" s="13"/>
    </row>
    <row r="111" spans="1:18" x14ac:dyDescent="0.25">
      <c r="A111" s="326">
        <f>'A) Base RI'!A113</f>
        <v>5581</v>
      </c>
      <c r="B111" s="34" t="str">
        <f>'A) Base RI'!B113</f>
        <v>Belmont-sur-Lausanne</v>
      </c>
      <c r="C111" s="324">
        <f>'B) D RI'!U113</f>
        <v>192798.41534772189</v>
      </c>
      <c r="D111" s="34">
        <f>'B) D RI'!AR113</f>
        <v>3662</v>
      </c>
      <c r="E111" s="213">
        <f t="shared" si="13"/>
        <v>52.648393049623671</v>
      </c>
      <c r="F111" s="64">
        <f t="shared" si="14"/>
        <v>1.1375103725148565</v>
      </c>
      <c r="G111" s="291">
        <f t="shared" si="15"/>
        <v>0</v>
      </c>
      <c r="H111" s="291">
        <f t="shared" si="16"/>
        <v>0</v>
      </c>
      <c r="I111" s="291">
        <f t="shared" si="17"/>
        <v>0</v>
      </c>
      <c r="J111" s="291">
        <f t="shared" si="18"/>
        <v>0</v>
      </c>
      <c r="K111" s="292">
        <f t="shared" si="19"/>
        <v>0</v>
      </c>
      <c r="L111" s="59">
        <f>K111*D111*'B) D RI'!S113</f>
        <v>0</v>
      </c>
      <c r="M111" s="15">
        <f>(('B) D RI'!S113*C111)-(L111*$M$4))/'B) D RI'!S113</f>
        <v>192798.41534772189</v>
      </c>
      <c r="N111" s="281">
        <f t="shared" si="20"/>
        <v>52.648393049623671</v>
      </c>
      <c r="O111" s="64">
        <f t="shared" si="21"/>
        <v>1.1753764334200982</v>
      </c>
      <c r="R111" s="13"/>
    </row>
    <row r="112" spans="1:18" x14ac:dyDescent="0.25">
      <c r="A112" s="326">
        <f>'A) Base RI'!A114</f>
        <v>5582</v>
      </c>
      <c r="B112" s="34" t="str">
        <f>'A) Base RI'!B114</f>
        <v>Cheseaux-sur-Lausanne</v>
      </c>
      <c r="C112" s="324">
        <f>'B) D RI'!U114</f>
        <v>181145.82187919464</v>
      </c>
      <c r="D112" s="34">
        <f>'B) D RI'!AR114</f>
        <v>4357</v>
      </c>
      <c r="E112" s="213">
        <f t="shared" si="13"/>
        <v>41.575814064538591</v>
      </c>
      <c r="F112" s="64">
        <f t="shared" si="14"/>
        <v>0.89827850395330822</v>
      </c>
      <c r="G112" s="291">
        <f t="shared" si="15"/>
        <v>0</v>
      </c>
      <c r="H112" s="291">
        <f t="shared" si="16"/>
        <v>0</v>
      </c>
      <c r="I112" s="291">
        <f t="shared" si="17"/>
        <v>0</v>
      </c>
      <c r="J112" s="291">
        <f t="shared" si="18"/>
        <v>0</v>
      </c>
      <c r="K112" s="292">
        <f t="shared" si="19"/>
        <v>0</v>
      </c>
      <c r="L112" s="59">
        <f>K112*D112*'B) D RI'!S114</f>
        <v>0</v>
      </c>
      <c r="M112" s="15">
        <f>(('B) D RI'!S114*C112)-(L112*$M$4))/'B) D RI'!S114</f>
        <v>181145.82187919464</v>
      </c>
      <c r="N112" s="281">
        <f t="shared" si="20"/>
        <v>41.575814064538591</v>
      </c>
      <c r="O112" s="64">
        <f t="shared" si="21"/>
        <v>0.92818088494467033</v>
      </c>
      <c r="R112" s="13"/>
    </row>
    <row r="113" spans="1:18" x14ac:dyDescent="0.25">
      <c r="A113" s="326">
        <f>'A) Base RI'!A115</f>
        <v>5583</v>
      </c>
      <c r="B113" s="34" t="str">
        <f>'A) Base RI'!B115</f>
        <v>Crissier</v>
      </c>
      <c r="C113" s="324">
        <f>'B) D RI'!U115</f>
        <v>315798.9015384615</v>
      </c>
      <c r="D113" s="34">
        <f>'B) D RI'!AR115</f>
        <v>8008</v>
      </c>
      <c r="E113" s="213">
        <f t="shared" si="13"/>
        <v>39.435427265042648</v>
      </c>
      <c r="F113" s="64">
        <f t="shared" si="14"/>
        <v>0.85203374614416338</v>
      </c>
      <c r="G113" s="291">
        <f t="shared" si="15"/>
        <v>0</v>
      </c>
      <c r="H113" s="291">
        <f t="shared" si="16"/>
        <v>0</v>
      </c>
      <c r="I113" s="291">
        <f t="shared" si="17"/>
        <v>0</v>
      </c>
      <c r="J113" s="291">
        <f t="shared" si="18"/>
        <v>0</v>
      </c>
      <c r="K113" s="292">
        <f t="shared" si="19"/>
        <v>0</v>
      </c>
      <c r="L113" s="59">
        <f>K113*D113*'B) D RI'!S115</f>
        <v>0</v>
      </c>
      <c r="M113" s="15">
        <f>(('B) D RI'!S115*C113)-(L113*$M$4))/'B) D RI'!S115</f>
        <v>315798.9015384615</v>
      </c>
      <c r="N113" s="281">
        <f t="shared" si="20"/>
        <v>39.435427265042648</v>
      </c>
      <c r="O113" s="64">
        <f t="shared" si="21"/>
        <v>0.88039670660973468</v>
      </c>
      <c r="R113" s="13"/>
    </row>
    <row r="114" spans="1:18" x14ac:dyDescent="0.25">
      <c r="A114" s="326">
        <f>'A) Base RI'!A116</f>
        <v>5584</v>
      </c>
      <c r="B114" s="34" t="str">
        <f>'A) Base RI'!B116</f>
        <v>Epalinges</v>
      </c>
      <c r="C114" s="324">
        <f>'B) D RI'!U116</f>
        <v>424408.2359090909</v>
      </c>
      <c r="D114" s="34">
        <f>'B) D RI'!AR116</f>
        <v>9335</v>
      </c>
      <c r="E114" s="213">
        <f t="shared" si="13"/>
        <v>45.464192384476796</v>
      </c>
      <c r="F114" s="64">
        <f t="shared" si="14"/>
        <v>0.98229000772366337</v>
      </c>
      <c r="G114" s="291">
        <f t="shared" si="15"/>
        <v>0</v>
      </c>
      <c r="H114" s="291">
        <f t="shared" si="16"/>
        <v>0</v>
      </c>
      <c r="I114" s="291">
        <f t="shared" si="17"/>
        <v>0</v>
      </c>
      <c r="J114" s="291">
        <f t="shared" si="18"/>
        <v>0</v>
      </c>
      <c r="K114" s="292">
        <f t="shared" si="19"/>
        <v>0</v>
      </c>
      <c r="L114" s="59">
        <f>K114*D114*'B) D RI'!S116</f>
        <v>0</v>
      </c>
      <c r="M114" s="15">
        <f>(('B) D RI'!S116*C114)-(L114*$M$4))/'B) D RI'!S116</f>
        <v>424408.2359090909</v>
      </c>
      <c r="N114" s="281">
        <f t="shared" si="20"/>
        <v>45.464192384476796</v>
      </c>
      <c r="O114" s="64">
        <f t="shared" si="21"/>
        <v>1.0149890091198803</v>
      </c>
      <c r="R114" s="13"/>
    </row>
    <row r="115" spans="1:18" x14ac:dyDescent="0.25">
      <c r="A115" s="326">
        <f>'A) Base RI'!A117</f>
        <v>5585</v>
      </c>
      <c r="B115" s="34" t="str">
        <f>'A) Base RI'!B117</f>
        <v>Jouxtens-Mézery</v>
      </c>
      <c r="C115" s="324">
        <f>'B) D RI'!U117</f>
        <v>171676.58132075472</v>
      </c>
      <c r="D115" s="34">
        <f>'B) D RI'!AR117</f>
        <v>1469</v>
      </c>
      <c r="E115" s="213">
        <f t="shared" si="13"/>
        <v>116.86629089227687</v>
      </c>
      <c r="F115" s="64">
        <f t="shared" si="14"/>
        <v>2.524989090588277</v>
      </c>
      <c r="G115" s="291">
        <f t="shared" si="15"/>
        <v>61.325635452035364</v>
      </c>
      <c r="H115" s="291">
        <f t="shared" si="16"/>
        <v>47.440471591974983</v>
      </c>
      <c r="I115" s="291">
        <f t="shared" si="17"/>
        <v>24.298531825207689</v>
      </c>
      <c r="J115" s="291">
        <f t="shared" si="18"/>
        <v>0</v>
      </c>
      <c r="K115" s="292">
        <f t="shared" si="19"/>
        <v>29.251129104451003</v>
      </c>
      <c r="L115" s="59">
        <f>K115*D115*'B) D RI'!S117</f>
        <v>2277405.1586852418</v>
      </c>
      <c r="M115" s="15">
        <f>(('B) D RI'!S117*C115)-(L115*$M$4))/'B) D RI'!S117</f>
        <v>143746.14069536969</v>
      </c>
      <c r="N115" s="281">
        <f t="shared" si="20"/>
        <v>97.853056974383719</v>
      </c>
      <c r="O115" s="64">
        <f t="shared" si="21"/>
        <v>2.1845714644585326</v>
      </c>
      <c r="R115" s="13"/>
    </row>
    <row r="116" spans="1:18" x14ac:dyDescent="0.25">
      <c r="A116" s="326">
        <f>'A) Base RI'!A118</f>
        <v>5586</v>
      </c>
      <c r="B116" s="34" t="str">
        <f>'A) Base RI'!B118</f>
        <v>Lausanne</v>
      </c>
      <c r="C116" s="324">
        <f>'B) D RI'!U118</f>
        <v>6228304.1083544316</v>
      </c>
      <c r="D116" s="34">
        <f>'B) D RI'!AR118</f>
        <v>139624</v>
      </c>
      <c r="E116" s="213">
        <f t="shared" si="13"/>
        <v>44.607689998527697</v>
      </c>
      <c r="F116" s="64">
        <f t="shared" si="14"/>
        <v>0.96378459299652219</v>
      </c>
      <c r="G116" s="291">
        <f t="shared" si="15"/>
        <v>0</v>
      </c>
      <c r="H116" s="291">
        <f t="shared" si="16"/>
        <v>0</v>
      </c>
      <c r="I116" s="291">
        <f t="shared" si="17"/>
        <v>0</v>
      </c>
      <c r="J116" s="291">
        <f t="shared" si="18"/>
        <v>0</v>
      </c>
      <c r="K116" s="292">
        <f t="shared" si="19"/>
        <v>0</v>
      </c>
      <c r="L116" s="59">
        <f>K116*D116*'B) D RI'!S118</f>
        <v>0</v>
      </c>
      <c r="M116" s="15">
        <f>(('B) D RI'!S118*C116)-(L116*$M$4))/'B) D RI'!S118</f>
        <v>6228304.1083544316</v>
      </c>
      <c r="N116" s="281">
        <f t="shared" si="20"/>
        <v>44.607689998527697</v>
      </c>
      <c r="O116" s="64">
        <f t="shared" si="21"/>
        <v>0.99586757613210086</v>
      </c>
      <c r="R116" s="13"/>
    </row>
    <row r="117" spans="1:18" x14ac:dyDescent="0.25">
      <c r="A117" s="326">
        <f>'A) Base RI'!A119</f>
        <v>5587</v>
      </c>
      <c r="B117" s="34" t="str">
        <f>'A) Base RI'!B119</f>
        <v>Le Mont-sur-Lausanne</v>
      </c>
      <c r="C117" s="324">
        <f>'B) D RI'!U119</f>
        <v>419199.48633333331</v>
      </c>
      <c r="D117" s="34">
        <f>'B) D RI'!AR119</f>
        <v>8093</v>
      </c>
      <c r="E117" s="213">
        <f t="shared" si="13"/>
        <v>51.797786523332917</v>
      </c>
      <c r="F117" s="64">
        <f t="shared" si="14"/>
        <v>1.1191323425211854</v>
      </c>
      <c r="G117" s="291">
        <f t="shared" si="15"/>
        <v>0</v>
      </c>
      <c r="H117" s="291">
        <f t="shared" si="16"/>
        <v>0</v>
      </c>
      <c r="I117" s="291">
        <f t="shared" si="17"/>
        <v>0</v>
      </c>
      <c r="J117" s="291">
        <f t="shared" si="18"/>
        <v>0</v>
      </c>
      <c r="K117" s="292">
        <f t="shared" si="19"/>
        <v>0</v>
      </c>
      <c r="L117" s="59">
        <f>K117*D117*'B) D RI'!S119</f>
        <v>0</v>
      </c>
      <c r="M117" s="15">
        <f>(('B) D RI'!S119*C117)-(L117*$M$4))/'B) D RI'!S119</f>
        <v>419199.48633333331</v>
      </c>
      <c r="N117" s="281">
        <f t="shared" si="20"/>
        <v>51.797786523332917</v>
      </c>
      <c r="O117" s="64">
        <f t="shared" si="21"/>
        <v>1.1563866256177378</v>
      </c>
      <c r="R117" s="13"/>
    </row>
    <row r="118" spans="1:18" x14ac:dyDescent="0.25">
      <c r="A118" s="326">
        <f>'A) Base RI'!A120</f>
        <v>5588</v>
      </c>
      <c r="B118" s="34" t="str">
        <f>'A) Base RI'!B120</f>
        <v>Paudex</v>
      </c>
      <c r="C118" s="324">
        <f>'B) D RI'!U120</f>
        <v>145215.51428571431</v>
      </c>
      <c r="D118" s="34">
        <f>'B) D RI'!AR120</f>
        <v>1480</v>
      </c>
      <c r="E118" s="213">
        <f t="shared" si="13"/>
        <v>98.11859073359075</v>
      </c>
      <c r="F118" s="64">
        <f t="shared" si="14"/>
        <v>2.1199301295065331</v>
      </c>
      <c r="G118" s="291">
        <f t="shared" si="15"/>
        <v>42.577935293349249</v>
      </c>
      <c r="H118" s="291">
        <f t="shared" si="16"/>
        <v>28.692771433288868</v>
      </c>
      <c r="I118" s="291">
        <f t="shared" si="17"/>
        <v>5.5508316665215744</v>
      </c>
      <c r="J118" s="291">
        <f t="shared" si="18"/>
        <v>0</v>
      </c>
      <c r="K118" s="292">
        <f t="shared" si="19"/>
        <v>18.752417015586776</v>
      </c>
      <c r="L118" s="59">
        <f>K118*D118*'B) D RI'!S120</f>
        <v>1706844.9967587083</v>
      </c>
      <c r="M118" s="15">
        <f>(('B) D RI'!S120*C118)-(L118*$M$4))/'B) D RI'!S120</f>
        <v>127175.68911671983</v>
      </c>
      <c r="N118" s="281">
        <f t="shared" si="20"/>
        <v>85.929519673459353</v>
      </c>
      <c r="O118" s="64">
        <f t="shared" si="21"/>
        <v>1.9183782544719998</v>
      </c>
      <c r="R118" s="13"/>
    </row>
    <row r="119" spans="1:18" x14ac:dyDescent="0.25">
      <c r="A119" s="326">
        <f>'A) Base RI'!A121</f>
        <v>5589</v>
      </c>
      <c r="B119" s="34" t="str">
        <f>'A) Base RI'!B121</f>
        <v>Prilly</v>
      </c>
      <c r="C119" s="324">
        <f>'B) D RI'!U121</f>
        <v>433086.92517006805</v>
      </c>
      <c r="D119" s="34">
        <f>'B) D RI'!AR121</f>
        <v>12105</v>
      </c>
      <c r="E119" s="213">
        <f t="shared" si="13"/>
        <v>35.777523764565721</v>
      </c>
      <c r="F119" s="64">
        <f t="shared" si="14"/>
        <v>0.77300183401098488</v>
      </c>
      <c r="G119" s="291">
        <f t="shared" si="15"/>
        <v>0</v>
      </c>
      <c r="H119" s="291">
        <f t="shared" si="16"/>
        <v>0</v>
      </c>
      <c r="I119" s="291">
        <f t="shared" si="17"/>
        <v>0</v>
      </c>
      <c r="J119" s="291">
        <f t="shared" si="18"/>
        <v>0</v>
      </c>
      <c r="K119" s="292">
        <f t="shared" si="19"/>
        <v>0</v>
      </c>
      <c r="L119" s="59">
        <f>K119*D119*'B) D RI'!S121</f>
        <v>0</v>
      </c>
      <c r="M119" s="15">
        <f>(('B) D RI'!S121*C119)-(L119*$M$4))/'B) D RI'!S121</f>
        <v>433086.92517006805</v>
      </c>
      <c r="N119" s="281">
        <f t="shared" si="20"/>
        <v>35.777523764565721</v>
      </c>
      <c r="O119" s="64">
        <f t="shared" si="21"/>
        <v>0.79873393741309362</v>
      </c>
      <c r="R119" s="13"/>
    </row>
    <row r="120" spans="1:18" x14ac:dyDescent="0.25">
      <c r="A120" s="326">
        <f>'A) Base RI'!A122</f>
        <v>5590</v>
      </c>
      <c r="B120" s="34" t="str">
        <f>'A) Base RI'!B122</f>
        <v>Pully</v>
      </c>
      <c r="C120" s="324">
        <f>'B) D RI'!U122</f>
        <v>1436772.8338407492</v>
      </c>
      <c r="D120" s="34">
        <f>'B) D RI'!AR122</f>
        <v>18194</v>
      </c>
      <c r="E120" s="213">
        <f t="shared" si="13"/>
        <v>78.969596231765919</v>
      </c>
      <c r="F120" s="64">
        <f t="shared" si="14"/>
        <v>1.7062008852250421</v>
      </c>
      <c r="G120" s="291">
        <f t="shared" si="15"/>
        <v>23.428940791524418</v>
      </c>
      <c r="H120" s="291">
        <f t="shared" si="16"/>
        <v>9.5437769314640377</v>
      </c>
      <c r="I120" s="291">
        <f t="shared" si="17"/>
        <v>0</v>
      </c>
      <c r="J120" s="291">
        <f t="shared" si="18"/>
        <v>0</v>
      </c>
      <c r="K120" s="292">
        <f t="shared" si="19"/>
        <v>9.3887963780951935</v>
      </c>
      <c r="L120" s="59">
        <f>K120*D120*'B) D RI'!S122</f>
        <v>10420005.4394869</v>
      </c>
      <c r="M120" s="15">
        <f>(('B) D RI'!S122*C120)-(L120*$M$4))/'B) D RI'!S122</f>
        <v>1325739.9889937579</v>
      </c>
      <c r="N120" s="281">
        <f t="shared" si="20"/>
        <v>72.866878586004063</v>
      </c>
      <c r="O120" s="64">
        <f t="shared" si="21"/>
        <v>1.626754529547507</v>
      </c>
      <c r="R120" s="13"/>
    </row>
    <row r="121" spans="1:18" x14ac:dyDescent="0.25">
      <c r="A121" s="326">
        <f>'A) Base RI'!A123</f>
        <v>5591</v>
      </c>
      <c r="B121" s="34" t="str">
        <f>'A) Base RI'!B123</f>
        <v>Renens</v>
      </c>
      <c r="C121" s="324">
        <f>'B) D RI'!U123</f>
        <v>547576.12760691531</v>
      </c>
      <c r="D121" s="34">
        <f>'B) D RI'!AR123</f>
        <v>21114</v>
      </c>
      <c r="E121" s="213">
        <f t="shared" si="13"/>
        <v>25.934267671067317</v>
      </c>
      <c r="F121" s="64">
        <f t="shared" si="14"/>
        <v>0.5603304634884132</v>
      </c>
      <c r="G121" s="291">
        <f t="shared" si="15"/>
        <v>0</v>
      </c>
      <c r="H121" s="291">
        <f t="shared" si="16"/>
        <v>0</v>
      </c>
      <c r="I121" s="291">
        <f t="shared" si="17"/>
        <v>0</v>
      </c>
      <c r="J121" s="291">
        <f t="shared" si="18"/>
        <v>0</v>
      </c>
      <c r="K121" s="292">
        <f t="shared" si="19"/>
        <v>0</v>
      </c>
      <c r="L121" s="59">
        <f>K121*D121*'B) D RI'!S123</f>
        <v>0</v>
      </c>
      <c r="M121" s="15">
        <f>(('B) D RI'!S123*C121)-(L121*$M$4))/'B) D RI'!S123</f>
        <v>547576.12760691531</v>
      </c>
      <c r="N121" s="281">
        <f t="shared" si="20"/>
        <v>25.934267671067317</v>
      </c>
      <c r="O121" s="64">
        <f t="shared" si="21"/>
        <v>0.57898304721000693</v>
      </c>
      <c r="R121" s="13"/>
    </row>
    <row r="122" spans="1:18" x14ac:dyDescent="0.25">
      <c r="A122" s="326">
        <f>'A) Base RI'!A124</f>
        <v>5592</v>
      </c>
      <c r="B122" s="34" t="str">
        <f>'A) Base RI'!B124</f>
        <v>Romanel-sur-Lausanne</v>
      </c>
      <c r="C122" s="324">
        <f>'B) D RI'!U124</f>
        <v>115829.88928571428</v>
      </c>
      <c r="D122" s="34">
        <f>'B) D RI'!AR124</f>
        <v>3300</v>
      </c>
      <c r="E122" s="213">
        <f t="shared" si="13"/>
        <v>35.099966450216449</v>
      </c>
      <c r="F122" s="64">
        <f t="shared" si="14"/>
        <v>0.75836266976680444</v>
      </c>
      <c r="G122" s="291">
        <f t="shared" si="15"/>
        <v>0</v>
      </c>
      <c r="H122" s="291">
        <f t="shared" si="16"/>
        <v>0</v>
      </c>
      <c r="I122" s="291">
        <f t="shared" si="17"/>
        <v>0</v>
      </c>
      <c r="J122" s="291">
        <f t="shared" si="18"/>
        <v>0</v>
      </c>
      <c r="K122" s="292">
        <f t="shared" si="19"/>
        <v>0</v>
      </c>
      <c r="L122" s="59">
        <f>K122*D122*'B) D RI'!S124</f>
        <v>0</v>
      </c>
      <c r="M122" s="15">
        <f>(('B) D RI'!S124*C122)-(L122*$M$4))/'B) D RI'!S124</f>
        <v>115829.88928571428</v>
      </c>
      <c r="N122" s="281">
        <f t="shared" si="20"/>
        <v>35.099966450216449</v>
      </c>
      <c r="O122" s="64">
        <f t="shared" si="21"/>
        <v>0.78360745674678123</v>
      </c>
      <c r="R122" s="13"/>
    </row>
    <row r="123" spans="1:18" x14ac:dyDescent="0.25">
      <c r="A123" s="326">
        <f>'A) Base RI'!A125</f>
        <v>5601</v>
      </c>
      <c r="B123" s="34" t="str">
        <f>'A) Base RI'!B125</f>
        <v>Chexbres</v>
      </c>
      <c r="C123" s="324">
        <f>'B) D RI'!U125</f>
        <v>117508.63062500001</v>
      </c>
      <c r="D123" s="34">
        <f>'B) D RI'!AR125</f>
        <v>2250</v>
      </c>
      <c r="E123" s="213">
        <f t="shared" si="13"/>
        <v>52.226058055555555</v>
      </c>
      <c r="F123" s="64">
        <f t="shared" si="14"/>
        <v>1.1283854893303751</v>
      </c>
      <c r="G123" s="291">
        <f t="shared" si="15"/>
        <v>0</v>
      </c>
      <c r="H123" s="291">
        <f t="shared" si="16"/>
        <v>0</v>
      </c>
      <c r="I123" s="291">
        <f t="shared" si="17"/>
        <v>0</v>
      </c>
      <c r="J123" s="291">
        <f t="shared" si="18"/>
        <v>0</v>
      </c>
      <c r="K123" s="292">
        <f t="shared" si="19"/>
        <v>0</v>
      </c>
      <c r="L123" s="59">
        <f>K123*D123*'B) D RI'!S125</f>
        <v>0</v>
      </c>
      <c r="M123" s="15">
        <f>(('B) D RI'!S125*C123)-(L123*$M$4))/'B) D RI'!S125</f>
        <v>117508.63062500001</v>
      </c>
      <c r="N123" s="281">
        <f t="shared" si="20"/>
        <v>52.226058055555555</v>
      </c>
      <c r="O123" s="64">
        <f t="shared" si="21"/>
        <v>1.1659477961857501</v>
      </c>
      <c r="R123" s="13"/>
    </row>
    <row r="124" spans="1:18" x14ac:dyDescent="0.25">
      <c r="A124" s="326">
        <f>'A) Base RI'!A126</f>
        <v>5604</v>
      </c>
      <c r="B124" s="34" t="str">
        <f>'A) Base RI'!B126</f>
        <v>Forel (Lavaux)</v>
      </c>
      <c r="C124" s="324">
        <f>'B) D RI'!U126</f>
        <v>71631.535147058821</v>
      </c>
      <c r="D124" s="34">
        <f>'B) D RI'!AR126</f>
        <v>2084</v>
      </c>
      <c r="E124" s="213">
        <f t="shared" si="13"/>
        <v>34.372137786496552</v>
      </c>
      <c r="F124" s="64">
        <f t="shared" si="14"/>
        <v>0.74263735306787571</v>
      </c>
      <c r="G124" s="291">
        <f t="shared" si="15"/>
        <v>0</v>
      </c>
      <c r="H124" s="291">
        <f t="shared" si="16"/>
        <v>0</v>
      </c>
      <c r="I124" s="291">
        <f t="shared" si="17"/>
        <v>0</v>
      </c>
      <c r="J124" s="291">
        <f t="shared" si="18"/>
        <v>0</v>
      </c>
      <c r="K124" s="292">
        <f t="shared" si="19"/>
        <v>0</v>
      </c>
      <c r="L124" s="59">
        <f>K124*D124*'B) D RI'!S126</f>
        <v>0</v>
      </c>
      <c r="M124" s="15">
        <f>(('B) D RI'!S126*C124)-(L124*$M$4))/'B) D RI'!S126</f>
        <v>71631.535147058821</v>
      </c>
      <c r="N124" s="281">
        <f t="shared" si="20"/>
        <v>34.372137786496552</v>
      </c>
      <c r="O124" s="64">
        <f t="shared" si="21"/>
        <v>0.76735866719497692</v>
      </c>
      <c r="R124" s="13"/>
    </row>
    <row r="125" spans="1:18" x14ac:dyDescent="0.25">
      <c r="A125" s="326">
        <f>'A) Base RI'!A127</f>
        <v>5606</v>
      </c>
      <c r="B125" s="34" t="str">
        <f>'A) Base RI'!B127</f>
        <v>Lutry</v>
      </c>
      <c r="C125" s="324">
        <f>'B) D RI'!U127</f>
        <v>832533.93371943373</v>
      </c>
      <c r="D125" s="34">
        <f>'B) D RI'!AR127</f>
        <v>10001</v>
      </c>
      <c r="E125" s="213">
        <f t="shared" si="13"/>
        <v>83.245068865056865</v>
      </c>
      <c r="F125" s="64">
        <f t="shared" si="14"/>
        <v>1.7985758692665847</v>
      </c>
      <c r="G125" s="291">
        <f t="shared" si="15"/>
        <v>27.704413424815364</v>
      </c>
      <c r="H125" s="291">
        <f t="shared" si="16"/>
        <v>13.819249564754983</v>
      </c>
      <c r="I125" s="291">
        <f t="shared" si="17"/>
        <v>0</v>
      </c>
      <c r="J125" s="291">
        <f t="shared" si="18"/>
        <v>0</v>
      </c>
      <c r="K125" s="292">
        <f t="shared" si="19"/>
        <v>11.355513789409031</v>
      </c>
      <c r="L125" s="59">
        <f>K125*D125*'B) D RI'!S127</f>
        <v>6302940.384137325</v>
      </c>
      <c r="M125" s="15">
        <f>(('B) D RI'!S127*C125)-(L125*$M$4))/'B) D RI'!S127</f>
        <v>758715.71300431201</v>
      </c>
      <c r="N125" s="281">
        <f t="shared" si="20"/>
        <v>75.863984901941009</v>
      </c>
      <c r="O125" s="64">
        <f t="shared" si="21"/>
        <v>1.6936649883128196</v>
      </c>
      <c r="R125" s="13"/>
    </row>
    <row r="126" spans="1:18" x14ac:dyDescent="0.25">
      <c r="A126" s="326">
        <f>'A) Base RI'!A128</f>
        <v>5607</v>
      </c>
      <c r="B126" s="34" t="str">
        <f>'A) Base RI'!B128</f>
        <v>Puidoux</v>
      </c>
      <c r="C126" s="324">
        <f>'B) D RI'!U128</f>
        <v>108525.10310559007</v>
      </c>
      <c r="D126" s="34">
        <f>'B) D RI'!AR128</f>
        <v>2904</v>
      </c>
      <c r="E126" s="213">
        <f t="shared" si="13"/>
        <v>37.37090327327482</v>
      </c>
      <c r="F126" s="64">
        <f t="shared" si="14"/>
        <v>0.80742806458559835</v>
      </c>
      <c r="G126" s="291">
        <f t="shared" si="15"/>
        <v>0</v>
      </c>
      <c r="H126" s="291">
        <f t="shared" si="16"/>
        <v>0</v>
      </c>
      <c r="I126" s="291">
        <f t="shared" si="17"/>
        <v>0</v>
      </c>
      <c r="J126" s="291">
        <f t="shared" si="18"/>
        <v>0</v>
      </c>
      <c r="K126" s="292">
        <f t="shared" si="19"/>
        <v>0</v>
      </c>
      <c r="L126" s="59">
        <f>K126*D126*'B) D RI'!S128</f>
        <v>0</v>
      </c>
      <c r="M126" s="15">
        <f>(('B) D RI'!S128*C126)-(L126*$M$4))/'B) D RI'!S128</f>
        <v>108525.10310559007</v>
      </c>
      <c r="N126" s="281">
        <f t="shared" si="20"/>
        <v>37.37090327327482</v>
      </c>
      <c r="O126" s="64">
        <f t="shared" si="21"/>
        <v>0.83430616698268267</v>
      </c>
      <c r="R126" s="13"/>
    </row>
    <row r="127" spans="1:18" x14ac:dyDescent="0.25">
      <c r="A127" s="326">
        <f>'A) Base RI'!A129</f>
        <v>5609</v>
      </c>
      <c r="B127" s="34" t="str">
        <f>'A) Base RI'!B129</f>
        <v>Rivaz</v>
      </c>
      <c r="C127" s="324">
        <f>'B) D RI'!U129</f>
        <v>15580.699212598427</v>
      </c>
      <c r="D127" s="34">
        <f>'B) D RI'!AR129</f>
        <v>351</v>
      </c>
      <c r="E127" s="213">
        <f t="shared" si="13"/>
        <v>44.389456446149367</v>
      </c>
      <c r="F127" s="64">
        <f t="shared" si="14"/>
        <v>0.95906948366304012</v>
      </c>
      <c r="G127" s="291">
        <f t="shared" si="15"/>
        <v>0</v>
      </c>
      <c r="H127" s="291">
        <f t="shared" si="16"/>
        <v>0</v>
      </c>
      <c r="I127" s="291">
        <f t="shared" si="17"/>
        <v>0</v>
      </c>
      <c r="J127" s="291">
        <f t="shared" si="18"/>
        <v>0</v>
      </c>
      <c r="K127" s="292">
        <f t="shared" si="19"/>
        <v>0</v>
      </c>
      <c r="L127" s="59">
        <f>K127*D127*'B) D RI'!S129</f>
        <v>0</v>
      </c>
      <c r="M127" s="15">
        <f>(('B) D RI'!S129*C127)-(L127*$M$4))/'B) D RI'!S129</f>
        <v>15580.699212598427</v>
      </c>
      <c r="N127" s="281">
        <f t="shared" si="20"/>
        <v>44.389456446149367</v>
      </c>
      <c r="O127" s="64">
        <f t="shared" si="21"/>
        <v>0.99099550768729061</v>
      </c>
      <c r="R127" s="13"/>
    </row>
    <row r="128" spans="1:18" x14ac:dyDescent="0.25">
      <c r="A128" s="326">
        <f>'A) Base RI'!A130</f>
        <v>5610</v>
      </c>
      <c r="B128" s="34" t="str">
        <f>'A) Base RI'!B130</f>
        <v>St-Saphorin (Lavaux)</v>
      </c>
      <c r="C128" s="324">
        <f>'B) D RI'!U130</f>
        <v>22074.868656716415</v>
      </c>
      <c r="D128" s="34">
        <f>'B) D RI'!AR130</f>
        <v>389</v>
      </c>
      <c r="E128" s="213">
        <f t="shared" si="13"/>
        <v>56.747734336031918</v>
      </c>
      <c r="F128" s="64">
        <f t="shared" si="14"/>
        <v>1.2260798988320725</v>
      </c>
      <c r="G128" s="291">
        <f t="shared" si="15"/>
        <v>1.2070788957904171</v>
      </c>
      <c r="H128" s="291">
        <f t="shared" si="16"/>
        <v>0</v>
      </c>
      <c r="I128" s="291">
        <f t="shared" si="17"/>
        <v>0</v>
      </c>
      <c r="J128" s="291">
        <f t="shared" si="18"/>
        <v>0</v>
      </c>
      <c r="K128" s="292">
        <f t="shared" si="19"/>
        <v>0.43454840248455012</v>
      </c>
      <c r="L128" s="59">
        <f>K128*D128*'B) D RI'!S130</f>
        <v>11325.635013954829</v>
      </c>
      <c r="M128" s="15">
        <f>(('B) D RI'!S130*C128)-(L128*$M$4))/'B) D RI'!S130</f>
        <v>21964.993093148194</v>
      </c>
      <c r="N128" s="281">
        <f t="shared" si="20"/>
        <v>56.465277874416948</v>
      </c>
      <c r="O128" s="64">
        <f t="shared" si="21"/>
        <v>1.2605884638786973</v>
      </c>
      <c r="R128" s="13"/>
    </row>
    <row r="129" spans="1:18" x14ac:dyDescent="0.25">
      <c r="A129" s="326">
        <f>'A) Base RI'!A131</f>
        <v>5611</v>
      </c>
      <c r="B129" s="34" t="str">
        <f>'A) Base RI'!B131</f>
        <v>Savigny</v>
      </c>
      <c r="C129" s="324">
        <f>'B) D RI'!U131</f>
        <v>134510.93620772948</v>
      </c>
      <c r="D129" s="34">
        <f>'B) D RI'!AR131</f>
        <v>3352</v>
      </c>
      <c r="E129" s="213">
        <f t="shared" si="13"/>
        <v>40.128560921160343</v>
      </c>
      <c r="F129" s="64">
        <f t="shared" si="14"/>
        <v>0.86700944963106519</v>
      </c>
      <c r="G129" s="291">
        <f t="shared" si="15"/>
        <v>0</v>
      </c>
      <c r="H129" s="291">
        <f t="shared" si="16"/>
        <v>0</v>
      </c>
      <c r="I129" s="291">
        <f t="shared" si="17"/>
        <v>0</v>
      </c>
      <c r="J129" s="291">
        <f t="shared" si="18"/>
        <v>0</v>
      </c>
      <c r="K129" s="292">
        <f t="shared" si="19"/>
        <v>0</v>
      </c>
      <c r="L129" s="59">
        <f>K129*D129*'B) D RI'!S131</f>
        <v>0</v>
      </c>
      <c r="M129" s="15">
        <f>(('B) D RI'!S131*C129)-(L129*$M$4))/'B) D RI'!S131</f>
        <v>134510.93620772948</v>
      </c>
      <c r="N129" s="281">
        <f t="shared" si="20"/>
        <v>40.128560921160343</v>
      </c>
      <c r="O129" s="64">
        <f t="shared" si="21"/>
        <v>0.89587092941921653</v>
      </c>
      <c r="R129" s="13"/>
    </row>
    <row r="130" spans="1:18" x14ac:dyDescent="0.25">
      <c r="A130" s="326">
        <f>'A) Base RI'!A132</f>
        <v>5613</v>
      </c>
      <c r="B130" s="34" t="str">
        <f>'A) Base RI'!B132</f>
        <v>Bourg-en-Lavaux</v>
      </c>
      <c r="C130" s="324">
        <f>'B) D RI'!U132</f>
        <v>330680.25306010921</v>
      </c>
      <c r="D130" s="34">
        <f>'B) D RI'!AR132</f>
        <v>5288</v>
      </c>
      <c r="E130" s="213">
        <f t="shared" si="13"/>
        <v>62.534087189884495</v>
      </c>
      <c r="F130" s="64">
        <f t="shared" si="14"/>
        <v>1.3510986507640519</v>
      </c>
      <c r="G130" s="291">
        <f t="shared" si="15"/>
        <v>6.9934317496429941</v>
      </c>
      <c r="H130" s="291">
        <f t="shared" si="16"/>
        <v>0</v>
      </c>
      <c r="I130" s="291">
        <f t="shared" si="17"/>
        <v>0</v>
      </c>
      <c r="J130" s="291">
        <f t="shared" si="18"/>
        <v>0</v>
      </c>
      <c r="K130" s="292">
        <f t="shared" si="19"/>
        <v>2.5176354298714778</v>
      </c>
      <c r="L130" s="59">
        <f>K130*D130*'B) D RI'!S132</f>
        <v>812108.62534278294</v>
      </c>
      <c r="M130" s="15">
        <f>(('B) D RI'!S132*C130)-(L130*$M$4))/'B) D RI'!S132</f>
        <v>322026.63656055502</v>
      </c>
      <c r="N130" s="281">
        <f t="shared" si="20"/>
        <v>60.897624160468048</v>
      </c>
      <c r="O130" s="64">
        <f t="shared" si="21"/>
        <v>1.359540683834797</v>
      </c>
      <c r="R130" s="13"/>
    </row>
    <row r="131" spans="1:18" x14ac:dyDescent="0.25">
      <c r="A131" s="326">
        <f>'A) Base RI'!A133</f>
        <v>5621</v>
      </c>
      <c r="B131" s="34" t="str">
        <f>'A) Base RI'!B133</f>
        <v>Aclens</v>
      </c>
      <c r="C131" s="324">
        <f>'B) D RI'!U133</f>
        <v>33113.551554252197</v>
      </c>
      <c r="D131" s="34">
        <f>'B) D RI'!AR133</f>
        <v>545</v>
      </c>
      <c r="E131" s="213">
        <f t="shared" si="13"/>
        <v>60.758810191288433</v>
      </c>
      <c r="F131" s="64">
        <f t="shared" si="14"/>
        <v>1.3127423803630411</v>
      </c>
      <c r="G131" s="291">
        <f t="shared" si="15"/>
        <v>5.2181547510469315</v>
      </c>
      <c r="H131" s="291">
        <f t="shared" si="16"/>
        <v>0</v>
      </c>
      <c r="I131" s="291">
        <f t="shared" si="17"/>
        <v>0</v>
      </c>
      <c r="J131" s="291">
        <f t="shared" si="18"/>
        <v>0</v>
      </c>
      <c r="K131" s="292">
        <f t="shared" si="19"/>
        <v>1.8785357103768954</v>
      </c>
      <c r="L131" s="59">
        <f>K131*D131*'B) D RI'!S133</f>
        <v>63475.721653635293</v>
      </c>
      <c r="M131" s="15">
        <f>(('B) D RI'!S133*C131)-(L131*$M$4))/'B) D RI'!S133</f>
        <v>32448.080278851183</v>
      </c>
      <c r="N131" s="281">
        <f t="shared" si="20"/>
        <v>59.537761979543454</v>
      </c>
      <c r="O131" s="64">
        <f t="shared" si="21"/>
        <v>1.3291817333032678</v>
      </c>
      <c r="R131" s="13"/>
    </row>
    <row r="132" spans="1:18" x14ac:dyDescent="0.25">
      <c r="A132" s="326">
        <f>'A) Base RI'!A134</f>
        <v>5622</v>
      </c>
      <c r="B132" s="34" t="str">
        <f>'A) Base RI'!B134</f>
        <v>Bremblens</v>
      </c>
      <c r="C132" s="324">
        <f>'B) D RI'!U134</f>
        <v>31245.381060606058</v>
      </c>
      <c r="D132" s="34">
        <f>'B) D RI'!AR134</f>
        <v>547</v>
      </c>
      <c r="E132" s="213">
        <f t="shared" si="13"/>
        <v>57.121354772588774</v>
      </c>
      <c r="F132" s="64">
        <f t="shared" si="14"/>
        <v>1.2341522652871393</v>
      </c>
      <c r="G132" s="291">
        <f t="shared" si="15"/>
        <v>1.5806993323472724</v>
      </c>
      <c r="H132" s="291">
        <f t="shared" si="16"/>
        <v>0</v>
      </c>
      <c r="I132" s="291">
        <f t="shared" si="17"/>
        <v>0</v>
      </c>
      <c r="J132" s="291">
        <f t="shared" si="18"/>
        <v>0</v>
      </c>
      <c r="K132" s="292">
        <f t="shared" si="19"/>
        <v>0.56905175964501808</v>
      </c>
      <c r="L132" s="59">
        <f>K132*D132*'B) D RI'!S134</f>
        <v>20543.906626704444</v>
      </c>
      <c r="M132" s="15">
        <f>(('B) D RI'!S134*C132)-(L132*$M$4))/'B) D RI'!S134</f>
        <v>31043.054707464271</v>
      </c>
      <c r="N132" s="281">
        <f t="shared" si="20"/>
        <v>56.75147112881951</v>
      </c>
      <c r="O132" s="64">
        <f t="shared" si="21"/>
        <v>1.266977734037646</v>
      </c>
      <c r="R132" s="13"/>
    </row>
    <row r="133" spans="1:18" x14ac:dyDescent="0.25">
      <c r="A133" s="326">
        <f>'A) Base RI'!A135</f>
        <v>5623</v>
      </c>
      <c r="B133" s="34" t="str">
        <f>'A) Base RI'!B135</f>
        <v>Buchillon</v>
      </c>
      <c r="C133" s="324">
        <f>'B) D RI'!U135</f>
        <v>74216.162452830191</v>
      </c>
      <c r="D133" s="34">
        <f>'B) D RI'!AR135</f>
        <v>638</v>
      </c>
      <c r="E133" s="213">
        <f t="shared" si="13"/>
        <v>116.32627343703791</v>
      </c>
      <c r="F133" s="64">
        <f t="shared" si="14"/>
        <v>2.5133215843057131</v>
      </c>
      <c r="G133" s="291">
        <f t="shared" si="15"/>
        <v>60.785617996796411</v>
      </c>
      <c r="H133" s="291">
        <f t="shared" si="16"/>
        <v>46.90045413673603</v>
      </c>
      <c r="I133" s="291">
        <f t="shared" si="17"/>
        <v>23.758514369968736</v>
      </c>
      <c r="J133" s="291">
        <f t="shared" si="18"/>
        <v>0</v>
      </c>
      <c r="K133" s="292">
        <f t="shared" si="19"/>
        <v>28.948719329517189</v>
      </c>
      <c r="L133" s="59">
        <f>K133*D133*'B) D RI'!S135</f>
        <v>978871.99540829426</v>
      </c>
      <c r="M133" s="15">
        <f>(('B) D RI'!S135*C133)-(L133*$M$4))/'B) D RI'!S135</f>
        <v>62211.128546879416</v>
      </c>
      <c r="N133" s="281">
        <f t="shared" si="20"/>
        <v>97.509605872851751</v>
      </c>
      <c r="O133" s="64">
        <f t="shared" si="21"/>
        <v>2.1769039117111513</v>
      </c>
      <c r="R133" s="13"/>
    </row>
    <row r="134" spans="1:18" x14ac:dyDescent="0.25">
      <c r="A134" s="326">
        <f>'A) Base RI'!A136</f>
        <v>5624</v>
      </c>
      <c r="B134" s="34" t="str">
        <f>'A) Base RI'!B136</f>
        <v>Bussigny</v>
      </c>
      <c r="C134" s="324">
        <f>'B) D RI'!U136</f>
        <v>336696.75822580646</v>
      </c>
      <c r="D134" s="34">
        <f>'B) D RI'!AR136</f>
        <v>8677</v>
      </c>
      <c r="E134" s="213">
        <f t="shared" ref="E134:E197" si="22">C134/D134</f>
        <v>38.8033604040344</v>
      </c>
      <c r="F134" s="64">
        <f t="shared" ref="F134:F197" si="23">E134/$E$314</f>
        <v>0.83837743929654296</v>
      </c>
      <c r="G134" s="291">
        <f t="shared" ref="G134:G197" si="24">IF(E134-$G$2&lt;0,0,E134-$G$2)</f>
        <v>0</v>
      </c>
      <c r="H134" s="291">
        <f t="shared" ref="H134:H197" si="25">IF(E134-$H$2&lt;0,0,E134-$H$2)</f>
        <v>0</v>
      </c>
      <c r="I134" s="291">
        <f t="shared" ref="I134:I197" si="26">IF(E134-$I$2&lt;0,0,E134-$I$2)</f>
        <v>0</v>
      </c>
      <c r="J134" s="291">
        <f t="shared" ref="J134:J197" si="27">IF(E134-$J$2&lt;0,0,E134-$J$2)</f>
        <v>0</v>
      </c>
      <c r="K134" s="292">
        <f t="shared" ref="K134:K197" si="28">(G134-H134)*$G$3+(H134-I134)*$H$3+(I134-J134)*$I$3+(J134*$J$3)</f>
        <v>0</v>
      </c>
      <c r="L134" s="59">
        <f>K134*D134*'B) D RI'!S136</f>
        <v>0</v>
      </c>
      <c r="M134" s="15">
        <f>(('B) D RI'!S136*C134)-(L134*$M$4))/'B) D RI'!S136</f>
        <v>336696.75822580646</v>
      </c>
      <c r="N134" s="281">
        <f t="shared" ref="N134:N197" si="29">M134/D134</f>
        <v>38.8033604040344</v>
      </c>
      <c r="O134" s="64">
        <f t="shared" ref="O134:O197" si="30">N134/N$314</f>
        <v>0.86628580122892518</v>
      </c>
      <c r="R134" s="13"/>
    </row>
    <row r="135" spans="1:18" x14ac:dyDescent="0.25">
      <c r="A135" s="326">
        <f>'A) Base RI'!A137</f>
        <v>5625</v>
      </c>
      <c r="B135" s="34" t="str">
        <f>'A) Base RI'!B137</f>
        <v>Bussy-Chardonney</v>
      </c>
      <c r="C135" s="324">
        <f>'B) D RI'!U137</f>
        <v>13792.360683760684</v>
      </c>
      <c r="D135" s="34">
        <f>'B) D RI'!AR137</f>
        <v>371</v>
      </c>
      <c r="E135" s="213">
        <f t="shared" si="22"/>
        <v>37.176174349759258</v>
      </c>
      <c r="F135" s="64">
        <f t="shared" si="23"/>
        <v>0.8032207914382713</v>
      </c>
      <c r="G135" s="291">
        <f t="shared" si="24"/>
        <v>0</v>
      </c>
      <c r="H135" s="291">
        <f t="shared" si="25"/>
        <v>0</v>
      </c>
      <c r="I135" s="291">
        <f t="shared" si="26"/>
        <v>0</v>
      </c>
      <c r="J135" s="291">
        <f t="shared" si="27"/>
        <v>0</v>
      </c>
      <c r="K135" s="292">
        <f t="shared" si="28"/>
        <v>0</v>
      </c>
      <c r="L135" s="59">
        <f>K135*D135*'B) D RI'!S137</f>
        <v>0</v>
      </c>
      <c r="M135" s="15">
        <f>(('B) D RI'!S137*C135)-(L135*$M$4))/'B) D RI'!S137</f>
        <v>13792.360683760684</v>
      </c>
      <c r="N135" s="281">
        <f t="shared" si="29"/>
        <v>37.176174349759258</v>
      </c>
      <c r="O135" s="64">
        <f t="shared" si="30"/>
        <v>0.82995883984983498</v>
      </c>
      <c r="R135" s="13"/>
    </row>
    <row r="136" spans="1:18" x14ac:dyDescent="0.25">
      <c r="A136" s="326">
        <f>'A) Base RI'!A138</f>
        <v>5627</v>
      </c>
      <c r="B136" s="34" t="str">
        <f>'A) Base RI'!B138</f>
        <v>Chavannes-près-Renens</v>
      </c>
      <c r="C136" s="324">
        <f>'B) D RI'!U138</f>
        <v>175193.96054852317</v>
      </c>
      <c r="D136" s="34">
        <f>'B) D RI'!AR138</f>
        <v>7653</v>
      </c>
      <c r="E136" s="213">
        <f t="shared" si="22"/>
        <v>22.89219398255889</v>
      </c>
      <c r="F136" s="64">
        <f t="shared" si="23"/>
        <v>0.49460404385446011</v>
      </c>
      <c r="G136" s="291">
        <f t="shared" si="24"/>
        <v>0</v>
      </c>
      <c r="H136" s="291">
        <f t="shared" si="25"/>
        <v>0</v>
      </c>
      <c r="I136" s="291">
        <f t="shared" si="26"/>
        <v>0</v>
      </c>
      <c r="J136" s="291">
        <f t="shared" si="27"/>
        <v>0</v>
      </c>
      <c r="K136" s="292">
        <f t="shared" si="28"/>
        <v>0</v>
      </c>
      <c r="L136" s="59">
        <f>K136*D136*'B) D RI'!S138</f>
        <v>0</v>
      </c>
      <c r="M136" s="15">
        <f>(('B) D RI'!S138*C136)-(L136*$M$4))/'B) D RI'!S138</f>
        <v>175193.96054852317</v>
      </c>
      <c r="N136" s="281">
        <f t="shared" si="29"/>
        <v>22.89219398255889</v>
      </c>
      <c r="O136" s="64">
        <f t="shared" si="30"/>
        <v>0.51106869094788898</v>
      </c>
      <c r="R136" s="13"/>
    </row>
    <row r="137" spans="1:18" x14ac:dyDescent="0.25">
      <c r="A137" s="326">
        <f>'A) Base RI'!A139</f>
        <v>5628</v>
      </c>
      <c r="B137" s="34" t="str">
        <f>'A) Base RI'!B139</f>
        <v>Chigny</v>
      </c>
      <c r="C137" s="324">
        <f>'B) D RI'!U139</f>
        <v>19494.348064516129</v>
      </c>
      <c r="D137" s="34">
        <f>'B) D RI'!AR139</f>
        <v>338</v>
      </c>
      <c r="E137" s="213">
        <f t="shared" si="22"/>
        <v>57.675585989692692</v>
      </c>
      <c r="F137" s="64">
        <f t="shared" si="23"/>
        <v>1.2461268711907423</v>
      </c>
      <c r="G137" s="291">
        <f t="shared" si="24"/>
        <v>2.134930549451191</v>
      </c>
      <c r="H137" s="291">
        <f t="shared" si="25"/>
        <v>0</v>
      </c>
      <c r="I137" s="291">
        <f t="shared" si="26"/>
        <v>0</v>
      </c>
      <c r="J137" s="291">
        <f t="shared" si="27"/>
        <v>0</v>
      </c>
      <c r="K137" s="292">
        <f t="shared" si="28"/>
        <v>0.76857499780242877</v>
      </c>
      <c r="L137" s="59">
        <f>K137*D137*'B) D RI'!S139</f>
        <v>16106.2576539477</v>
      </c>
      <c r="M137" s="15">
        <f>(('B) D RI'!S139*C137)-(L137*$M$4))/'B) D RI'!S139</f>
        <v>19325.492137498935</v>
      </c>
      <c r="N137" s="281">
        <f t="shared" si="29"/>
        <v>57.176012241121107</v>
      </c>
      <c r="O137" s="64">
        <f t="shared" si="30"/>
        <v>1.2764556229059145</v>
      </c>
      <c r="R137" s="13"/>
    </row>
    <row r="138" spans="1:18" x14ac:dyDescent="0.25">
      <c r="A138" s="326">
        <f>'A) Base RI'!A140</f>
        <v>5629</v>
      </c>
      <c r="B138" s="34" t="str">
        <f>'A) Base RI'!B140</f>
        <v>Clarmont</v>
      </c>
      <c r="C138" s="324">
        <f>'B) D RI'!U140</f>
        <v>7511.8584000000001</v>
      </c>
      <c r="D138" s="34">
        <f>'B) D RI'!AR140</f>
        <v>189</v>
      </c>
      <c r="E138" s="213">
        <f t="shared" si="22"/>
        <v>39.745282539682542</v>
      </c>
      <c r="F138" s="64">
        <f t="shared" si="23"/>
        <v>0.85872841560062907</v>
      </c>
      <c r="G138" s="291">
        <f t="shared" si="24"/>
        <v>0</v>
      </c>
      <c r="H138" s="291">
        <f t="shared" si="25"/>
        <v>0</v>
      </c>
      <c r="I138" s="291">
        <f t="shared" si="26"/>
        <v>0</v>
      </c>
      <c r="J138" s="291">
        <f t="shared" si="27"/>
        <v>0</v>
      </c>
      <c r="K138" s="292">
        <f t="shared" si="28"/>
        <v>0</v>
      </c>
      <c r="L138" s="59">
        <f>K138*D138*'B) D RI'!S140</f>
        <v>0</v>
      </c>
      <c r="M138" s="15">
        <f>(('B) D RI'!S140*C138)-(L138*$M$4))/'B) D RI'!S140</f>
        <v>7511.8584000000001</v>
      </c>
      <c r="N138" s="281">
        <f t="shared" si="29"/>
        <v>39.745282539682542</v>
      </c>
      <c r="O138" s="64">
        <f t="shared" si="30"/>
        <v>0.88731423184624802</v>
      </c>
      <c r="R138" s="13"/>
    </row>
    <row r="139" spans="1:18" x14ac:dyDescent="0.25">
      <c r="A139" s="326">
        <f>'A) Base RI'!A141</f>
        <v>5631</v>
      </c>
      <c r="B139" s="34" t="str">
        <f>'A) Base RI'!B141</f>
        <v>Denens</v>
      </c>
      <c r="C139" s="324">
        <f>'B) D RI'!U141</f>
        <v>45432.172571428571</v>
      </c>
      <c r="D139" s="34">
        <f>'B) D RI'!AR141</f>
        <v>774</v>
      </c>
      <c r="E139" s="213">
        <f t="shared" si="22"/>
        <v>58.697897379106678</v>
      </c>
      <c r="F139" s="64">
        <f t="shared" si="23"/>
        <v>1.2682147212093062</v>
      </c>
      <c r="G139" s="291">
        <f t="shared" si="24"/>
        <v>3.1572419388651767</v>
      </c>
      <c r="H139" s="291">
        <f t="shared" si="25"/>
        <v>0</v>
      </c>
      <c r="I139" s="291">
        <f t="shared" si="26"/>
        <v>0</v>
      </c>
      <c r="J139" s="291">
        <f t="shared" si="27"/>
        <v>0</v>
      </c>
      <c r="K139" s="292">
        <f t="shared" si="28"/>
        <v>1.1366070979914635</v>
      </c>
      <c r="L139" s="59">
        <f>K139*D139*'B) D RI'!S141</f>
        <v>61581.372569177496</v>
      </c>
      <c r="M139" s="15">
        <f>(('B) D RI'!S141*C139)-(L139*$M$4))/'B) D RI'!S141</f>
        <v>44860.345540429065</v>
      </c>
      <c r="N139" s="281">
        <f t="shared" si="29"/>
        <v>57.959102765412226</v>
      </c>
      <c r="O139" s="64">
        <f t="shared" si="30"/>
        <v>1.293938134606107</v>
      </c>
      <c r="R139" s="13"/>
    </row>
    <row r="140" spans="1:18" x14ac:dyDescent="0.25">
      <c r="A140" s="326">
        <f>'A) Base RI'!A142</f>
        <v>5632</v>
      </c>
      <c r="B140" s="34" t="str">
        <f>'A) Base RI'!B142</f>
        <v>Denges</v>
      </c>
      <c r="C140" s="324">
        <f>'B) D RI'!U142</f>
        <v>67894.99080645162</v>
      </c>
      <c r="D140" s="34">
        <f>'B) D RI'!AR142</f>
        <v>1614</v>
      </c>
      <c r="E140" s="213">
        <f t="shared" si="22"/>
        <v>42.066289223328141</v>
      </c>
      <c r="F140" s="64">
        <f t="shared" si="23"/>
        <v>0.90887560954887914</v>
      </c>
      <c r="G140" s="291">
        <f t="shared" si="24"/>
        <v>0</v>
      </c>
      <c r="H140" s="291">
        <f t="shared" si="25"/>
        <v>0</v>
      </c>
      <c r="I140" s="291">
        <f t="shared" si="26"/>
        <v>0</v>
      </c>
      <c r="J140" s="291">
        <f t="shared" si="27"/>
        <v>0</v>
      </c>
      <c r="K140" s="292">
        <f t="shared" si="28"/>
        <v>0</v>
      </c>
      <c r="L140" s="59">
        <f>K140*D140*'B) D RI'!S142</f>
        <v>0</v>
      </c>
      <c r="M140" s="15">
        <f>(('B) D RI'!S142*C140)-(L140*$M$4))/'B) D RI'!S142</f>
        <v>67894.99080645162</v>
      </c>
      <c r="N140" s="281">
        <f t="shared" si="29"/>
        <v>42.066289223328141</v>
      </c>
      <c r="O140" s="64">
        <f t="shared" si="30"/>
        <v>0.93913075272650071</v>
      </c>
      <c r="R140" s="13"/>
    </row>
    <row r="141" spans="1:18" x14ac:dyDescent="0.25">
      <c r="A141" s="326">
        <f>'A) Base RI'!A143</f>
        <v>5633</v>
      </c>
      <c r="B141" s="34" t="str">
        <f>'A) Base RI'!B143</f>
        <v>Echandens</v>
      </c>
      <c r="C141" s="324">
        <f>'B) D RI'!U143</f>
        <v>131889.87370967743</v>
      </c>
      <c r="D141" s="34">
        <f>'B) D RI'!AR143</f>
        <v>2757</v>
      </c>
      <c r="E141" s="213">
        <f t="shared" si="22"/>
        <v>47.838184152947925</v>
      </c>
      <c r="F141" s="64">
        <f t="shared" si="23"/>
        <v>1.033581986537822</v>
      </c>
      <c r="G141" s="291">
        <f t="shared" si="24"/>
        <v>0</v>
      </c>
      <c r="H141" s="291">
        <f t="shared" si="25"/>
        <v>0</v>
      </c>
      <c r="I141" s="291">
        <f t="shared" si="26"/>
        <v>0</v>
      </c>
      <c r="J141" s="291">
        <f t="shared" si="27"/>
        <v>0</v>
      </c>
      <c r="K141" s="292">
        <f t="shared" si="28"/>
        <v>0</v>
      </c>
      <c r="L141" s="59">
        <f>K141*D141*'B) D RI'!S143</f>
        <v>0</v>
      </c>
      <c r="M141" s="15">
        <f>(('B) D RI'!S143*C141)-(L141*$M$4))/'B) D RI'!S143</f>
        <v>131889.87370967743</v>
      </c>
      <c r="N141" s="281">
        <f t="shared" si="29"/>
        <v>47.838184152947925</v>
      </c>
      <c r="O141" s="64">
        <f t="shared" si="30"/>
        <v>1.06798842308422</v>
      </c>
      <c r="R141" s="13"/>
    </row>
    <row r="142" spans="1:18" x14ac:dyDescent="0.25">
      <c r="A142" s="326">
        <f>'A) Base RI'!A144</f>
        <v>5634</v>
      </c>
      <c r="B142" s="34" t="str">
        <f>'A) Base RI'!B144</f>
        <v>Echichens</v>
      </c>
      <c r="C142" s="324">
        <f>'B) D RI'!U144</f>
        <v>127167.81867647056</v>
      </c>
      <c r="D142" s="34">
        <f>'B) D RI'!AR144</f>
        <v>2712</v>
      </c>
      <c r="E142" s="213">
        <f t="shared" si="22"/>
        <v>46.890788597518643</v>
      </c>
      <c r="F142" s="64">
        <f t="shared" si="23"/>
        <v>1.0131127526495338</v>
      </c>
      <c r="G142" s="291">
        <f t="shared" si="24"/>
        <v>0</v>
      </c>
      <c r="H142" s="291">
        <f t="shared" si="25"/>
        <v>0</v>
      </c>
      <c r="I142" s="291">
        <f t="shared" si="26"/>
        <v>0</v>
      </c>
      <c r="J142" s="291">
        <f t="shared" si="27"/>
        <v>0</v>
      </c>
      <c r="K142" s="292">
        <f t="shared" si="28"/>
        <v>0</v>
      </c>
      <c r="L142" s="59">
        <f>K142*D142*'B) D RI'!S144</f>
        <v>0</v>
      </c>
      <c r="M142" s="15">
        <f>(('B) D RI'!S144*C142)-(L142*$M$4))/'B) D RI'!S144</f>
        <v>127167.81867647056</v>
      </c>
      <c r="N142" s="281">
        <f t="shared" si="29"/>
        <v>46.890788597518643</v>
      </c>
      <c r="O142" s="64">
        <f t="shared" si="30"/>
        <v>1.0468377982602306</v>
      </c>
      <c r="R142" s="13"/>
    </row>
    <row r="143" spans="1:18" x14ac:dyDescent="0.25">
      <c r="A143" s="326">
        <f>'A) Base RI'!A145</f>
        <v>5635</v>
      </c>
      <c r="B143" s="34" t="str">
        <f>'A) Base RI'!B145</f>
        <v>Ecublens</v>
      </c>
      <c r="C143" s="324">
        <f>'B) D RI'!U145</f>
        <v>453953.99228353141</v>
      </c>
      <c r="D143" s="34">
        <f>'B) D RI'!AR145</f>
        <v>12560</v>
      </c>
      <c r="E143" s="213">
        <f t="shared" si="22"/>
        <v>36.142833780535938</v>
      </c>
      <c r="F143" s="64">
        <f t="shared" si="23"/>
        <v>0.78089464722482815</v>
      </c>
      <c r="G143" s="291">
        <f t="shared" si="24"/>
        <v>0</v>
      </c>
      <c r="H143" s="291">
        <f t="shared" si="25"/>
        <v>0</v>
      </c>
      <c r="I143" s="291">
        <f t="shared" si="26"/>
        <v>0</v>
      </c>
      <c r="J143" s="291">
        <f t="shared" si="27"/>
        <v>0</v>
      </c>
      <c r="K143" s="292">
        <f t="shared" si="28"/>
        <v>0</v>
      </c>
      <c r="L143" s="59">
        <f>K143*D143*'B) D RI'!S145</f>
        <v>0</v>
      </c>
      <c r="M143" s="15">
        <f>(('B) D RI'!S145*C143)-(L143*$M$4))/'B) D RI'!S145</f>
        <v>453953.99228353141</v>
      </c>
      <c r="N143" s="281">
        <f t="shared" si="29"/>
        <v>36.142833780535938</v>
      </c>
      <c r="O143" s="64">
        <f t="shared" si="30"/>
        <v>0.80688949086482009</v>
      </c>
      <c r="R143" s="13"/>
    </row>
    <row r="144" spans="1:18" x14ac:dyDescent="0.25">
      <c r="A144" s="326">
        <f>'A) Base RI'!A146</f>
        <v>5636</v>
      </c>
      <c r="B144" s="34" t="str">
        <f>'A) Base RI'!B146</f>
        <v>Etoy</v>
      </c>
      <c r="C144" s="324">
        <f>'B) D RI'!U146</f>
        <v>157303.40508196724</v>
      </c>
      <c r="D144" s="34">
        <f>'B) D RI'!AR146</f>
        <v>2908</v>
      </c>
      <c r="E144" s="213">
        <f t="shared" si="22"/>
        <v>54.09333049586219</v>
      </c>
      <c r="F144" s="64">
        <f t="shared" si="23"/>
        <v>1.1687293943600672</v>
      </c>
      <c r="G144" s="291">
        <f t="shared" si="24"/>
        <v>0</v>
      </c>
      <c r="H144" s="291">
        <f t="shared" si="25"/>
        <v>0</v>
      </c>
      <c r="I144" s="291">
        <f t="shared" si="26"/>
        <v>0</v>
      </c>
      <c r="J144" s="291">
        <f t="shared" si="27"/>
        <v>0</v>
      </c>
      <c r="K144" s="292">
        <f t="shared" si="28"/>
        <v>0</v>
      </c>
      <c r="L144" s="59">
        <f>K144*D144*'B) D RI'!S146</f>
        <v>0</v>
      </c>
      <c r="M144" s="15">
        <f>(('B) D RI'!S146*C144)-(L144*$M$4))/'B) D RI'!S146</f>
        <v>157303.40508196724</v>
      </c>
      <c r="N144" s="281">
        <f t="shared" si="29"/>
        <v>54.09333049586219</v>
      </c>
      <c r="O144" s="64">
        <f t="shared" si="30"/>
        <v>1.2076346909603466</v>
      </c>
      <c r="R144" s="13"/>
    </row>
    <row r="145" spans="1:18" x14ac:dyDescent="0.25">
      <c r="A145" s="326">
        <f>'A) Base RI'!A147</f>
        <v>5637</v>
      </c>
      <c r="B145" s="34" t="str">
        <f>'A) Base RI'!B147</f>
        <v>Lavigny</v>
      </c>
      <c r="C145" s="324">
        <f>'B) D RI'!U147</f>
        <v>36259.562058165546</v>
      </c>
      <c r="D145" s="34">
        <f>'B) D RI'!AR147</f>
        <v>1007</v>
      </c>
      <c r="E145" s="213">
        <f t="shared" si="22"/>
        <v>36.007509491723482</v>
      </c>
      <c r="F145" s="64">
        <f t="shared" si="23"/>
        <v>0.77797085842025304</v>
      </c>
      <c r="G145" s="291">
        <f t="shared" si="24"/>
        <v>0</v>
      </c>
      <c r="H145" s="291">
        <f t="shared" si="25"/>
        <v>0</v>
      </c>
      <c r="I145" s="291">
        <f t="shared" si="26"/>
        <v>0</v>
      </c>
      <c r="J145" s="291">
        <f t="shared" si="27"/>
        <v>0</v>
      </c>
      <c r="K145" s="292">
        <f t="shared" si="28"/>
        <v>0</v>
      </c>
      <c r="L145" s="59">
        <f>K145*D145*'B) D RI'!S147</f>
        <v>0</v>
      </c>
      <c r="M145" s="15">
        <f>(('B) D RI'!S147*C145)-(L145*$M$4))/'B) D RI'!S147</f>
        <v>36259.562058165546</v>
      </c>
      <c r="N145" s="281">
        <f t="shared" si="29"/>
        <v>36.007509491723482</v>
      </c>
      <c r="O145" s="64">
        <f t="shared" si="30"/>
        <v>0.80386837339615247</v>
      </c>
      <c r="R145" s="13"/>
    </row>
    <row r="146" spans="1:18" x14ac:dyDescent="0.25">
      <c r="A146" s="326">
        <f>'A) Base RI'!A148</f>
        <v>5638</v>
      </c>
      <c r="B146" s="34" t="str">
        <f>'A) Base RI'!B148</f>
        <v>Lonay</v>
      </c>
      <c r="C146" s="324">
        <f>'B) D RI'!U148</f>
        <v>153961.25072727271</v>
      </c>
      <c r="D146" s="34">
        <f>'B) D RI'!AR148</f>
        <v>2492</v>
      </c>
      <c r="E146" s="213">
        <f t="shared" si="22"/>
        <v>61.782203341602212</v>
      </c>
      <c r="F146" s="64">
        <f t="shared" si="23"/>
        <v>1.3348536026855409</v>
      </c>
      <c r="G146" s="291">
        <f t="shared" si="24"/>
        <v>6.2415479013607111</v>
      </c>
      <c r="H146" s="291">
        <f t="shared" si="25"/>
        <v>0</v>
      </c>
      <c r="I146" s="291">
        <f t="shared" si="26"/>
        <v>0</v>
      </c>
      <c r="J146" s="291">
        <f t="shared" si="27"/>
        <v>0</v>
      </c>
      <c r="K146" s="292">
        <f t="shared" si="28"/>
        <v>2.246957244489856</v>
      </c>
      <c r="L146" s="59">
        <f>K146*D146*'B) D RI'!S148</f>
        <v>307967.95992977964</v>
      </c>
      <c r="M146" s="15">
        <f>(('B) D RI'!S148*C146)-(L146*$M$4))/'B) D RI'!S148</f>
        <v>150321.62938264804</v>
      </c>
      <c r="N146" s="281">
        <f t="shared" si="29"/>
        <v>60.321681132683807</v>
      </c>
      <c r="O146" s="64">
        <f t="shared" si="30"/>
        <v>1.3466827441591804</v>
      </c>
      <c r="R146" s="13"/>
    </row>
    <row r="147" spans="1:18" x14ac:dyDescent="0.25">
      <c r="A147" s="326">
        <f>'A) Base RI'!A149</f>
        <v>5639</v>
      </c>
      <c r="B147" s="34" t="str">
        <f>'A) Base RI'!B149</f>
        <v>Lully</v>
      </c>
      <c r="C147" s="324">
        <f>'B) D RI'!U149</f>
        <v>51753.051967213112</v>
      </c>
      <c r="D147" s="34">
        <f>'B) D RI'!AR149</f>
        <v>795</v>
      </c>
      <c r="E147" s="213">
        <f t="shared" si="22"/>
        <v>65.098178575110836</v>
      </c>
      <c r="F147" s="64">
        <f t="shared" si="23"/>
        <v>1.4064978828739823</v>
      </c>
      <c r="G147" s="291">
        <f t="shared" si="24"/>
        <v>9.557523134869335</v>
      </c>
      <c r="H147" s="291">
        <f t="shared" si="25"/>
        <v>0</v>
      </c>
      <c r="I147" s="291">
        <f t="shared" si="26"/>
        <v>0</v>
      </c>
      <c r="J147" s="291">
        <f t="shared" si="27"/>
        <v>0</v>
      </c>
      <c r="K147" s="292">
        <f t="shared" si="28"/>
        <v>3.4407083285529603</v>
      </c>
      <c r="L147" s="59">
        <f>K147*D147*'B) D RI'!S149</f>
        <v>166857.15039317581</v>
      </c>
      <c r="M147" s="15">
        <f>(('B) D RI'!S149*C147)-(L147*$M$4))/'B) D RI'!S149</f>
        <v>49975.06593843337</v>
      </c>
      <c r="N147" s="281">
        <f t="shared" si="29"/>
        <v>62.861718161551408</v>
      </c>
      <c r="O147" s="64">
        <f t="shared" si="30"/>
        <v>1.4033891219004992</v>
      </c>
      <c r="R147" s="13"/>
    </row>
    <row r="148" spans="1:18" x14ac:dyDescent="0.25">
      <c r="A148" s="326">
        <f>'A) Base RI'!A150</f>
        <v>5640</v>
      </c>
      <c r="B148" s="34" t="str">
        <f>'A) Base RI'!B150</f>
        <v>Lussy-sur-Morges</v>
      </c>
      <c r="C148" s="324">
        <f>'B) D RI'!U150</f>
        <v>55596.399848484849</v>
      </c>
      <c r="D148" s="34">
        <f>'B) D RI'!AR150</f>
        <v>667</v>
      </c>
      <c r="E148" s="213">
        <f t="shared" si="22"/>
        <v>83.352923311071734</v>
      </c>
      <c r="F148" s="64">
        <f t="shared" si="23"/>
        <v>1.8009061502867125</v>
      </c>
      <c r="G148" s="291">
        <f t="shared" si="24"/>
        <v>27.812267870830233</v>
      </c>
      <c r="H148" s="291">
        <f t="shared" si="25"/>
        <v>13.927104010769852</v>
      </c>
      <c r="I148" s="291">
        <f t="shared" si="26"/>
        <v>0</v>
      </c>
      <c r="J148" s="291">
        <f t="shared" si="27"/>
        <v>0</v>
      </c>
      <c r="K148" s="292">
        <f t="shared" si="28"/>
        <v>11.405126834575871</v>
      </c>
      <c r="L148" s="59">
        <f>K148*D148*'B) D RI'!S150</f>
        <v>502076.49351169897</v>
      </c>
      <c r="M148" s="15">
        <f>(('B) D RI'!S150*C148)-(L148*$M$4))/'B) D RI'!S150</f>
        <v>50651.70710935448</v>
      </c>
      <c r="N148" s="281">
        <f t="shared" si="29"/>
        <v>75.939590868597421</v>
      </c>
      <c r="O148" s="64">
        <f t="shared" si="30"/>
        <v>1.695352893038613</v>
      </c>
      <c r="R148" s="13"/>
    </row>
    <row r="149" spans="1:18" x14ac:dyDescent="0.25">
      <c r="A149" s="326">
        <f>'A) Base RI'!A151</f>
        <v>5642</v>
      </c>
      <c r="B149" s="34" t="str">
        <f>'A) Base RI'!B151</f>
        <v>Morges</v>
      </c>
      <c r="C149" s="324">
        <f>'B) D RI'!U151</f>
        <v>777988.51795620425</v>
      </c>
      <c r="D149" s="34">
        <f>'B) D RI'!AR151</f>
        <v>15839</v>
      </c>
      <c r="E149" s="213">
        <f t="shared" si="22"/>
        <v>49.118537657440761</v>
      </c>
      <c r="F149" s="64">
        <f t="shared" si="23"/>
        <v>1.0612450415236334</v>
      </c>
      <c r="G149" s="291">
        <f t="shared" si="24"/>
        <v>0</v>
      </c>
      <c r="H149" s="291">
        <f t="shared" si="25"/>
        <v>0</v>
      </c>
      <c r="I149" s="291">
        <f t="shared" si="26"/>
        <v>0</v>
      </c>
      <c r="J149" s="291">
        <f t="shared" si="27"/>
        <v>0</v>
      </c>
      <c r="K149" s="292">
        <f t="shared" si="28"/>
        <v>0</v>
      </c>
      <c r="L149" s="59">
        <f>K149*D149*'B) D RI'!S151</f>
        <v>0</v>
      </c>
      <c r="M149" s="15">
        <f>(('B) D RI'!S151*C149)-(L149*$M$4))/'B) D RI'!S151</f>
        <v>777988.51795620425</v>
      </c>
      <c r="N149" s="281">
        <f t="shared" si="29"/>
        <v>49.118537657440761</v>
      </c>
      <c r="O149" s="64">
        <f t="shared" si="30"/>
        <v>1.0965723408157504</v>
      </c>
      <c r="R149" s="13"/>
    </row>
    <row r="150" spans="1:18" x14ac:dyDescent="0.25">
      <c r="A150" s="326">
        <f>'A) Base RI'!A152</f>
        <v>5643</v>
      </c>
      <c r="B150" s="34" t="str">
        <f>'A) Base RI'!B152</f>
        <v>Préverenges</v>
      </c>
      <c r="C150" s="324">
        <f>'B) D RI'!U152</f>
        <v>264736.09703124996</v>
      </c>
      <c r="D150" s="34">
        <f>'B) D RI'!AR152</f>
        <v>5291</v>
      </c>
      <c r="E150" s="213">
        <f t="shared" si="22"/>
        <v>50.035172374078613</v>
      </c>
      <c r="F150" s="64">
        <f t="shared" si="23"/>
        <v>1.0810496630436102</v>
      </c>
      <c r="G150" s="291">
        <f t="shared" si="24"/>
        <v>0</v>
      </c>
      <c r="H150" s="291">
        <f t="shared" si="25"/>
        <v>0</v>
      </c>
      <c r="I150" s="291">
        <f t="shared" si="26"/>
        <v>0</v>
      </c>
      <c r="J150" s="291">
        <f t="shared" si="27"/>
        <v>0</v>
      </c>
      <c r="K150" s="292">
        <f t="shared" si="28"/>
        <v>0</v>
      </c>
      <c r="L150" s="59">
        <f>K150*D150*'B) D RI'!S152</f>
        <v>0</v>
      </c>
      <c r="M150" s="15">
        <f>(('B) D RI'!S152*C150)-(L150*$M$4))/'B) D RI'!S152</f>
        <v>264736.09703124996</v>
      </c>
      <c r="N150" s="281">
        <f t="shared" si="29"/>
        <v>50.035172374078613</v>
      </c>
      <c r="O150" s="64">
        <f t="shared" si="30"/>
        <v>1.1170362292952212</v>
      </c>
      <c r="R150" s="13"/>
    </row>
    <row r="151" spans="1:18" x14ac:dyDescent="0.25">
      <c r="A151" s="326">
        <f>'A) Base RI'!A153</f>
        <v>5644</v>
      </c>
      <c r="B151" s="34" t="str">
        <f>'A) Base RI'!B153</f>
        <v>Reverolle</v>
      </c>
      <c r="C151" s="324">
        <f>'B) D RI'!U153</f>
        <v>15137.442236842104</v>
      </c>
      <c r="D151" s="34">
        <f>'B) D RI'!AR153</f>
        <v>382</v>
      </c>
      <c r="E151" s="213">
        <f t="shared" si="22"/>
        <v>39.626812138330116</v>
      </c>
      <c r="F151" s="64">
        <f t="shared" si="23"/>
        <v>0.85616876842873224</v>
      </c>
      <c r="G151" s="291">
        <f t="shared" si="24"/>
        <v>0</v>
      </c>
      <c r="H151" s="291">
        <f t="shared" si="25"/>
        <v>0</v>
      </c>
      <c r="I151" s="291">
        <f t="shared" si="26"/>
        <v>0</v>
      </c>
      <c r="J151" s="291">
        <f t="shared" si="27"/>
        <v>0</v>
      </c>
      <c r="K151" s="292">
        <f t="shared" si="28"/>
        <v>0</v>
      </c>
      <c r="L151" s="59">
        <f>K151*D151*'B) D RI'!S153</f>
        <v>0</v>
      </c>
      <c r="M151" s="15">
        <f>(('B) D RI'!S153*C151)-(L151*$M$4))/'B) D RI'!S153</f>
        <v>15137.442236842104</v>
      </c>
      <c r="N151" s="281">
        <f t="shared" si="29"/>
        <v>39.626812138330116</v>
      </c>
      <c r="O151" s="64">
        <f t="shared" si="30"/>
        <v>0.88466937775400223</v>
      </c>
      <c r="R151" s="13"/>
    </row>
    <row r="152" spans="1:18" x14ac:dyDescent="0.25">
      <c r="A152" s="326">
        <f>'A) Base RI'!A154</f>
        <v>5645</v>
      </c>
      <c r="B152" s="34" t="str">
        <f>'A) Base RI'!B154</f>
        <v>Romanel-sur-Morges</v>
      </c>
      <c r="C152" s="324">
        <f>'B) D RI'!U154</f>
        <v>26934.860133928574</v>
      </c>
      <c r="D152" s="34">
        <f>'B) D RI'!AR154</f>
        <v>470</v>
      </c>
      <c r="E152" s="213">
        <f t="shared" si="22"/>
        <v>57.30821305091186</v>
      </c>
      <c r="F152" s="64">
        <f t="shared" si="23"/>
        <v>1.2381894868901318</v>
      </c>
      <c r="G152" s="291">
        <f t="shared" si="24"/>
        <v>1.7675576106703588</v>
      </c>
      <c r="H152" s="291">
        <f t="shared" si="25"/>
        <v>0</v>
      </c>
      <c r="I152" s="291">
        <f t="shared" si="26"/>
        <v>0</v>
      </c>
      <c r="J152" s="291">
        <f t="shared" si="27"/>
        <v>0</v>
      </c>
      <c r="K152" s="292">
        <f t="shared" si="28"/>
        <v>0.63632073984132909</v>
      </c>
      <c r="L152" s="59">
        <f>K152*D152*'B) D RI'!S154</f>
        <v>16747.961872623782</v>
      </c>
      <c r="M152" s="15">
        <f>(('B) D RI'!S154*C152)-(L152*$M$4))/'B) D RI'!S154</f>
        <v>26740.464147907049</v>
      </c>
      <c r="N152" s="281">
        <f t="shared" si="29"/>
        <v>56.894604570014998</v>
      </c>
      <c r="O152" s="64">
        <f t="shared" si="30"/>
        <v>1.2701731909902814</v>
      </c>
      <c r="R152" s="13"/>
    </row>
    <row r="153" spans="1:18" x14ac:dyDescent="0.25">
      <c r="A153" s="326">
        <f>'A) Base RI'!A155</f>
        <v>5646</v>
      </c>
      <c r="B153" s="34" t="str">
        <f>'A) Base RI'!B155</f>
        <v>Saint-Prex</v>
      </c>
      <c r="C153" s="324">
        <f>'B) D RI'!U155</f>
        <v>386152.86527272721</v>
      </c>
      <c r="D153" s="34">
        <f>'B) D RI'!AR155</f>
        <v>5695</v>
      </c>
      <c r="E153" s="213">
        <f t="shared" si="22"/>
        <v>67.805595306888009</v>
      </c>
      <c r="F153" s="64">
        <f t="shared" si="23"/>
        <v>1.4649937729995179</v>
      </c>
      <c r="G153" s="291">
        <f t="shared" si="24"/>
        <v>12.264939866646507</v>
      </c>
      <c r="H153" s="291">
        <f t="shared" si="25"/>
        <v>0</v>
      </c>
      <c r="I153" s="291">
        <f t="shared" si="26"/>
        <v>0</v>
      </c>
      <c r="J153" s="291">
        <f t="shared" si="27"/>
        <v>0</v>
      </c>
      <c r="K153" s="292">
        <f t="shared" si="28"/>
        <v>4.4153783519927421</v>
      </c>
      <c r="L153" s="59">
        <f>K153*D153*'B) D RI'!S155</f>
        <v>1383006.8843029265</v>
      </c>
      <c r="M153" s="15">
        <f>(('B) D RI'!S155*C153)-(L153*$M$4))/'B) D RI'!S155</f>
        <v>369808.23845823808</v>
      </c>
      <c r="N153" s="281">
        <f t="shared" si="29"/>
        <v>64.935599378092732</v>
      </c>
      <c r="O153" s="64">
        <f t="shared" si="30"/>
        <v>1.4496885617587629</v>
      </c>
      <c r="R153" s="13"/>
    </row>
    <row r="154" spans="1:18" x14ac:dyDescent="0.25">
      <c r="A154" s="326">
        <f>'A) Base RI'!A156</f>
        <v>5648</v>
      </c>
      <c r="B154" s="34" t="str">
        <f>'A) Base RI'!B156</f>
        <v>Saint-Sulpice</v>
      </c>
      <c r="C154" s="324">
        <f>'B) D RI'!U156</f>
        <v>363756.87836363638</v>
      </c>
      <c r="D154" s="34">
        <f>'B) D RI'!AR156</f>
        <v>4524</v>
      </c>
      <c r="E154" s="213">
        <f t="shared" si="22"/>
        <v>80.406029700184874</v>
      </c>
      <c r="F154" s="64">
        <f t="shared" si="23"/>
        <v>1.7372361718711884</v>
      </c>
      <c r="G154" s="291">
        <f t="shared" si="24"/>
        <v>24.865374259943373</v>
      </c>
      <c r="H154" s="291">
        <f t="shared" si="25"/>
        <v>10.980210399882992</v>
      </c>
      <c r="I154" s="291">
        <f t="shared" si="26"/>
        <v>0</v>
      </c>
      <c r="J154" s="291">
        <f t="shared" si="27"/>
        <v>0</v>
      </c>
      <c r="K154" s="292">
        <f t="shared" si="28"/>
        <v>10.049555773567914</v>
      </c>
      <c r="L154" s="59">
        <f>K154*D154*'B) D RI'!S156</f>
        <v>2500530.4675791683</v>
      </c>
      <c r="M154" s="15">
        <f>(('B) D RI'!S156*C154)-(L154*$M$4))/'B) D RI'!S156</f>
        <v>334205.15465588256</v>
      </c>
      <c r="N154" s="281">
        <f t="shared" si="29"/>
        <v>73.873818447365736</v>
      </c>
      <c r="O154" s="64">
        <f t="shared" si="30"/>
        <v>1.6492344821986784</v>
      </c>
      <c r="R154" s="13"/>
    </row>
    <row r="155" spans="1:18" x14ac:dyDescent="0.25">
      <c r="A155" s="326">
        <f>'A) Base RI'!A157</f>
        <v>5649</v>
      </c>
      <c r="B155" s="34" t="str">
        <f>'A) Base RI'!B157</f>
        <v>Tolochenaz</v>
      </c>
      <c r="C155" s="324">
        <f>'B) D RI'!U157</f>
        <v>238285.06261538458</v>
      </c>
      <c r="D155" s="34">
        <f>'B) D RI'!AR157</f>
        <v>1883</v>
      </c>
      <c r="E155" s="213">
        <f t="shared" si="22"/>
        <v>126.5454395195882</v>
      </c>
      <c r="F155" s="64">
        <f t="shared" si="23"/>
        <v>2.7341147888845572</v>
      </c>
      <c r="G155" s="291">
        <f t="shared" si="24"/>
        <v>71.004784079346706</v>
      </c>
      <c r="H155" s="291">
        <f t="shared" si="25"/>
        <v>57.119620219286318</v>
      </c>
      <c r="I155" s="291">
        <f t="shared" si="26"/>
        <v>33.977680452519024</v>
      </c>
      <c r="J155" s="291">
        <f t="shared" si="27"/>
        <v>0</v>
      </c>
      <c r="K155" s="292">
        <f t="shared" si="28"/>
        <v>34.67145233574535</v>
      </c>
      <c r="L155" s="59">
        <f>K155*D155*'B) D RI'!S157</f>
        <v>4243612.4086335525</v>
      </c>
      <c r="M155" s="15">
        <f>(('B) D RI'!S157*C155)-(L155*$M$4))/'B) D RI'!S157</f>
        <v>195848.93852904905</v>
      </c>
      <c r="N155" s="281">
        <f t="shared" si="29"/>
        <v>104.00899550135371</v>
      </c>
      <c r="O155" s="64">
        <f t="shared" si="30"/>
        <v>2.3220029158489579</v>
      </c>
      <c r="R155" s="13"/>
    </row>
    <row r="156" spans="1:18" x14ac:dyDescent="0.25">
      <c r="A156" s="326">
        <f>'A) Base RI'!A158</f>
        <v>5650</v>
      </c>
      <c r="B156" s="34" t="str">
        <f>'A) Base RI'!B158</f>
        <v>Vaux-sur-Morges</v>
      </c>
      <c r="C156" s="324">
        <f>'B) D RI'!U158</f>
        <v>169784.43892857147</v>
      </c>
      <c r="D156" s="34">
        <f>'B) D RI'!AR158</f>
        <v>199</v>
      </c>
      <c r="E156" s="213">
        <f t="shared" si="22"/>
        <v>853.18813531945466</v>
      </c>
      <c r="F156" s="64">
        <f t="shared" si="23"/>
        <v>18.433807708389796</v>
      </c>
      <c r="G156" s="291">
        <f t="shared" si="24"/>
        <v>797.64747987921317</v>
      </c>
      <c r="H156" s="291">
        <f t="shared" si="25"/>
        <v>783.76231601915276</v>
      </c>
      <c r="I156" s="291">
        <f t="shared" si="26"/>
        <v>760.62037625238554</v>
      </c>
      <c r="J156" s="291">
        <f t="shared" si="27"/>
        <v>714.33649671885087</v>
      </c>
      <c r="K156" s="292">
        <f t="shared" si="28"/>
        <v>513.02501165555566</v>
      </c>
      <c r="L156" s="59">
        <f>K156*D156*'B) D RI'!S158</f>
        <v>5717150.7298895121</v>
      </c>
      <c r="M156" s="15">
        <f>(('B) D RI'!S158*C156)-(L156*$M$4))/'B) D RI'!S158</f>
        <v>103424.65367092534</v>
      </c>
      <c r="N156" s="281">
        <f t="shared" si="29"/>
        <v>519.72187774334338</v>
      </c>
      <c r="O156" s="64">
        <f t="shared" si="30"/>
        <v>11.602801370529841</v>
      </c>
      <c r="R156" s="13"/>
    </row>
    <row r="157" spans="1:18" x14ac:dyDescent="0.25">
      <c r="A157" s="326">
        <f>'A) Base RI'!A159</f>
        <v>5651</v>
      </c>
      <c r="B157" s="34" t="str">
        <f>'A) Base RI'!B159</f>
        <v>Villars-Sainte-Croix</v>
      </c>
      <c r="C157" s="324">
        <f>'B) D RI'!U159</f>
        <v>53160.152372881355</v>
      </c>
      <c r="D157" s="34">
        <f>'B) D RI'!AR159</f>
        <v>935</v>
      </c>
      <c r="E157" s="213">
        <f t="shared" si="22"/>
        <v>56.855777938910542</v>
      </c>
      <c r="F157" s="64">
        <f t="shared" si="23"/>
        <v>1.2284142667365681</v>
      </c>
      <c r="G157" s="291">
        <f t="shared" si="24"/>
        <v>1.3151224986690409</v>
      </c>
      <c r="H157" s="291">
        <f t="shared" si="25"/>
        <v>0</v>
      </c>
      <c r="I157" s="291">
        <f t="shared" si="26"/>
        <v>0</v>
      </c>
      <c r="J157" s="291">
        <f t="shared" si="27"/>
        <v>0</v>
      </c>
      <c r="K157" s="292">
        <f t="shared" si="28"/>
        <v>0.4734440995208547</v>
      </c>
      <c r="L157" s="59">
        <f>K157*D157*'B) D RI'!S159</f>
        <v>26117.543750067951</v>
      </c>
      <c r="M157" s="15">
        <f>(('B) D RI'!S159*C157)-(L157*$M$4))/'B) D RI'!S159</f>
        <v>52872.416721397552</v>
      </c>
      <c r="N157" s="281">
        <f t="shared" si="29"/>
        <v>56.548039274221978</v>
      </c>
      <c r="O157" s="64">
        <f t="shared" si="30"/>
        <v>1.2624361137934059</v>
      </c>
      <c r="R157" s="13"/>
    </row>
    <row r="158" spans="1:18" x14ac:dyDescent="0.25">
      <c r="A158" s="326">
        <f>'A) Base RI'!A160</f>
        <v>5652</v>
      </c>
      <c r="B158" s="34" t="str">
        <f>'A) Base RI'!B160</f>
        <v>Villars-sous-Yens</v>
      </c>
      <c r="C158" s="324">
        <f>'B) D RI'!U160</f>
        <v>25892.335109649121</v>
      </c>
      <c r="D158" s="34">
        <f>'B) D RI'!AR160</f>
        <v>614</v>
      </c>
      <c r="E158" s="213">
        <f t="shared" si="22"/>
        <v>42.169926888679349</v>
      </c>
      <c r="F158" s="64">
        <f t="shared" si="23"/>
        <v>0.91111478367161269</v>
      </c>
      <c r="G158" s="291">
        <f t="shared" si="24"/>
        <v>0</v>
      </c>
      <c r="H158" s="291">
        <f t="shared" si="25"/>
        <v>0</v>
      </c>
      <c r="I158" s="291">
        <f t="shared" si="26"/>
        <v>0</v>
      </c>
      <c r="J158" s="291">
        <f t="shared" si="27"/>
        <v>0</v>
      </c>
      <c r="K158" s="292">
        <f t="shared" si="28"/>
        <v>0</v>
      </c>
      <c r="L158" s="59">
        <f>K158*D158*'B) D RI'!S160</f>
        <v>0</v>
      </c>
      <c r="M158" s="15">
        <f>(('B) D RI'!S160*C158)-(L158*$M$4))/'B) D RI'!S160</f>
        <v>25892.335109649121</v>
      </c>
      <c r="N158" s="281">
        <f t="shared" si="29"/>
        <v>42.169926888679349</v>
      </c>
      <c r="O158" s="64">
        <f t="shared" si="30"/>
        <v>0.94144446568928142</v>
      </c>
      <c r="R158" s="13"/>
    </row>
    <row r="159" spans="1:18" x14ac:dyDescent="0.25">
      <c r="A159" s="326">
        <f>'A) Base RI'!A161</f>
        <v>5653</v>
      </c>
      <c r="B159" s="34" t="str">
        <f>'A) Base RI'!B161</f>
        <v>Vufflens-le-Château</v>
      </c>
      <c r="C159" s="324">
        <f>'B) D RI'!U161</f>
        <v>58132.597454545445</v>
      </c>
      <c r="D159" s="34">
        <f>'B) D RI'!AR161</f>
        <v>884</v>
      </c>
      <c r="E159" s="213">
        <f t="shared" si="22"/>
        <v>65.760856849033303</v>
      </c>
      <c r="F159" s="64">
        <f t="shared" si="23"/>
        <v>1.4208155736250856</v>
      </c>
      <c r="G159" s="291">
        <f t="shared" si="24"/>
        <v>10.220201408791802</v>
      </c>
      <c r="H159" s="291">
        <f t="shared" si="25"/>
        <v>0</v>
      </c>
      <c r="I159" s="291">
        <f t="shared" si="26"/>
        <v>0</v>
      </c>
      <c r="J159" s="291">
        <f t="shared" si="27"/>
        <v>0</v>
      </c>
      <c r="K159" s="292">
        <f t="shared" si="28"/>
        <v>3.6792725071650483</v>
      </c>
      <c r="L159" s="59">
        <f>K159*D159*'B) D RI'!S161</f>
        <v>178886.22929836463</v>
      </c>
      <c r="M159" s="15">
        <f>(('B) D RI'!S161*C159)-(L159*$M$4))/'B) D RI'!S161</f>
        <v>56018.487471928405</v>
      </c>
      <c r="N159" s="281">
        <f t="shared" si="29"/>
        <v>63.369329719376026</v>
      </c>
      <c r="O159" s="64">
        <f t="shared" si="30"/>
        <v>1.4147215601353444</v>
      </c>
      <c r="R159" s="13"/>
    </row>
    <row r="160" spans="1:18" x14ac:dyDescent="0.25">
      <c r="A160" s="326">
        <f>'A) Base RI'!A162</f>
        <v>5654</v>
      </c>
      <c r="B160" s="34" t="str">
        <f>'A) Base RI'!B162</f>
        <v>Vullierens</v>
      </c>
      <c r="C160" s="324">
        <f>'B) D RI'!U162</f>
        <v>18691.767368421053</v>
      </c>
      <c r="D160" s="34">
        <f>'B) D RI'!AR162</f>
        <v>499</v>
      </c>
      <c r="E160" s="213">
        <f t="shared" si="22"/>
        <v>37.458451640122348</v>
      </c>
      <c r="F160" s="64">
        <f t="shared" si="23"/>
        <v>0.80931961662768892</v>
      </c>
      <c r="G160" s="291">
        <f t="shared" si="24"/>
        <v>0</v>
      </c>
      <c r="H160" s="291">
        <f t="shared" si="25"/>
        <v>0</v>
      </c>
      <c r="I160" s="291">
        <f t="shared" si="26"/>
        <v>0</v>
      </c>
      <c r="J160" s="291">
        <f t="shared" si="27"/>
        <v>0</v>
      </c>
      <c r="K160" s="292">
        <f t="shared" si="28"/>
        <v>0</v>
      </c>
      <c r="L160" s="59">
        <f>K160*D160*'B) D RI'!S162</f>
        <v>0</v>
      </c>
      <c r="M160" s="15">
        <f>(('B) D RI'!S162*C160)-(L160*$M$4))/'B) D RI'!S162</f>
        <v>18691.767368421053</v>
      </c>
      <c r="N160" s="281">
        <f t="shared" si="29"/>
        <v>37.458451640122348</v>
      </c>
      <c r="O160" s="64">
        <f t="shared" si="30"/>
        <v>0.83626068603286541</v>
      </c>
      <c r="R160" s="13"/>
    </row>
    <row r="161" spans="1:18" x14ac:dyDescent="0.25">
      <c r="A161" s="326">
        <f>'A) Base RI'!A163</f>
        <v>5655</v>
      </c>
      <c r="B161" s="34" t="str">
        <f>'A) Base RI'!B163</f>
        <v>Yens</v>
      </c>
      <c r="C161" s="324">
        <f>'B) D RI'!U163</f>
        <v>72322.592328767118</v>
      </c>
      <c r="D161" s="34">
        <f>'B) D RI'!AR163</f>
        <v>1395</v>
      </c>
      <c r="E161" s="213">
        <f t="shared" si="22"/>
        <v>51.844152207001521</v>
      </c>
      <c r="F161" s="64">
        <f t="shared" si="23"/>
        <v>1.120134109964535</v>
      </c>
      <c r="G161" s="291">
        <f t="shared" si="24"/>
        <v>0</v>
      </c>
      <c r="H161" s="291">
        <f t="shared" si="25"/>
        <v>0</v>
      </c>
      <c r="I161" s="291">
        <f t="shared" si="26"/>
        <v>0</v>
      </c>
      <c r="J161" s="291">
        <f t="shared" si="27"/>
        <v>0</v>
      </c>
      <c r="K161" s="292">
        <f t="shared" si="28"/>
        <v>0</v>
      </c>
      <c r="L161" s="59">
        <f>K161*D161*'B) D RI'!S163</f>
        <v>0</v>
      </c>
      <c r="M161" s="15">
        <f>(('B) D RI'!S163*C161)-(L161*$M$4))/'B) D RI'!S163</f>
        <v>72322.592328767118</v>
      </c>
      <c r="N161" s="281">
        <f t="shared" si="29"/>
        <v>51.844152207001521</v>
      </c>
      <c r="O161" s="64">
        <f t="shared" si="30"/>
        <v>1.1574217404379019</v>
      </c>
      <c r="R161" s="13"/>
    </row>
    <row r="162" spans="1:18" x14ac:dyDescent="0.25">
      <c r="A162" s="326">
        <f>'A) Base RI'!A164</f>
        <v>5661</v>
      </c>
      <c r="B162" s="34" t="str">
        <f>'A) Base RI'!B164</f>
        <v>Boulens</v>
      </c>
      <c r="C162" s="324">
        <f>'B) D RI'!U164</f>
        <v>9059.2982278481013</v>
      </c>
      <c r="D162" s="34">
        <f>'B) D RI'!AR164</f>
        <v>377</v>
      </c>
      <c r="E162" s="213">
        <f t="shared" si="22"/>
        <v>24.029968774132893</v>
      </c>
      <c r="F162" s="64">
        <f t="shared" si="23"/>
        <v>0.51918657243764943</v>
      </c>
      <c r="G162" s="291">
        <f t="shared" si="24"/>
        <v>0</v>
      </c>
      <c r="H162" s="291">
        <f t="shared" si="25"/>
        <v>0</v>
      </c>
      <c r="I162" s="291">
        <f t="shared" si="26"/>
        <v>0</v>
      </c>
      <c r="J162" s="291">
        <f t="shared" si="27"/>
        <v>0</v>
      </c>
      <c r="K162" s="292">
        <f t="shared" si="28"/>
        <v>0</v>
      </c>
      <c r="L162" s="59">
        <f>K162*D162*'B) D RI'!S164</f>
        <v>0</v>
      </c>
      <c r="M162" s="15">
        <f>(('B) D RI'!S164*C162)-(L162*$M$4))/'B) D RI'!S164</f>
        <v>9059.2982278481013</v>
      </c>
      <c r="N162" s="281">
        <f t="shared" si="29"/>
        <v>24.029968774132893</v>
      </c>
      <c r="O162" s="64">
        <f t="shared" si="30"/>
        <v>0.53646953604671399</v>
      </c>
      <c r="R162" s="13"/>
    </row>
    <row r="163" spans="1:18" x14ac:dyDescent="0.25">
      <c r="A163" s="326">
        <f>'A) Base RI'!A165</f>
        <v>5663</v>
      </c>
      <c r="B163" s="34" t="str">
        <f>'A) Base RI'!B165</f>
        <v>Bussy-sur-Moudon</v>
      </c>
      <c r="C163" s="324">
        <f>'B) D RI'!U165</f>
        <v>5679.6416249999993</v>
      </c>
      <c r="D163" s="34">
        <f>'B) D RI'!AR165</f>
        <v>209</v>
      </c>
      <c r="E163" s="213">
        <f t="shared" si="22"/>
        <v>27.175318779904302</v>
      </c>
      <c r="F163" s="64">
        <f t="shared" si="23"/>
        <v>0.58714435898171968</v>
      </c>
      <c r="G163" s="291">
        <f t="shared" si="24"/>
        <v>0</v>
      </c>
      <c r="H163" s="291">
        <f t="shared" si="25"/>
        <v>0</v>
      </c>
      <c r="I163" s="291">
        <f t="shared" si="26"/>
        <v>0</v>
      </c>
      <c r="J163" s="291">
        <f t="shared" si="27"/>
        <v>0</v>
      </c>
      <c r="K163" s="292">
        <f t="shared" si="28"/>
        <v>0</v>
      </c>
      <c r="L163" s="59">
        <f>K163*D163*'B) D RI'!S165</f>
        <v>0</v>
      </c>
      <c r="M163" s="15">
        <f>(('B) D RI'!S165*C163)-(L163*$M$4))/'B) D RI'!S165</f>
        <v>5679.6416249999993</v>
      </c>
      <c r="N163" s="281">
        <f t="shared" si="29"/>
        <v>27.175318779904302</v>
      </c>
      <c r="O163" s="64">
        <f t="shared" si="30"/>
        <v>0.60668953816827753</v>
      </c>
      <c r="R163" s="13"/>
    </row>
    <row r="164" spans="1:18" x14ac:dyDescent="0.25">
      <c r="A164" s="326">
        <f>'A) Base RI'!A166</f>
        <v>5665</v>
      </c>
      <c r="B164" s="34" t="str">
        <f>'A) Base RI'!B166</f>
        <v>Chavannes-sur-Moudon</v>
      </c>
      <c r="C164" s="324">
        <f>'B) D RI'!U166</f>
        <v>5041.8972602739723</v>
      </c>
      <c r="D164" s="34">
        <f>'B) D RI'!AR166</f>
        <v>220</v>
      </c>
      <c r="E164" s="213">
        <f t="shared" si="22"/>
        <v>22.917714819427147</v>
      </c>
      <c r="F164" s="64">
        <f t="shared" si="23"/>
        <v>0.49515544181689247</v>
      </c>
      <c r="G164" s="291">
        <f t="shared" si="24"/>
        <v>0</v>
      </c>
      <c r="H164" s="291">
        <f t="shared" si="25"/>
        <v>0</v>
      </c>
      <c r="I164" s="291">
        <f t="shared" si="26"/>
        <v>0</v>
      </c>
      <c r="J164" s="291">
        <f t="shared" si="27"/>
        <v>0</v>
      </c>
      <c r="K164" s="292">
        <f t="shared" si="28"/>
        <v>0</v>
      </c>
      <c r="L164" s="59">
        <f>K164*D164*'B) D RI'!S166</f>
        <v>0</v>
      </c>
      <c r="M164" s="15">
        <f>(('B) D RI'!S166*C164)-(L164*$M$4))/'B) D RI'!S166</f>
        <v>5041.8972602739723</v>
      </c>
      <c r="N164" s="281">
        <f t="shared" si="29"/>
        <v>22.917714819427147</v>
      </c>
      <c r="O164" s="64">
        <f t="shared" si="30"/>
        <v>0.51163844414411341</v>
      </c>
      <c r="R164" s="13"/>
    </row>
    <row r="165" spans="1:18" x14ac:dyDescent="0.25">
      <c r="A165" s="326">
        <f>'A) Base RI'!A167</f>
        <v>5669</v>
      </c>
      <c r="B165" s="34" t="str">
        <f>'A) Base RI'!B167</f>
        <v>Curtilles</v>
      </c>
      <c r="C165" s="324">
        <f>'B) D RI'!U167</f>
        <v>9002.5637333333325</v>
      </c>
      <c r="D165" s="34">
        <f>'B) D RI'!AR167</f>
        <v>318</v>
      </c>
      <c r="E165" s="213">
        <f t="shared" si="22"/>
        <v>28.309948846960165</v>
      </c>
      <c r="F165" s="64">
        <f t="shared" si="23"/>
        <v>0.61165894329252224</v>
      </c>
      <c r="G165" s="291">
        <f t="shared" si="24"/>
        <v>0</v>
      </c>
      <c r="H165" s="291">
        <f t="shared" si="25"/>
        <v>0</v>
      </c>
      <c r="I165" s="291">
        <f t="shared" si="26"/>
        <v>0</v>
      </c>
      <c r="J165" s="291">
        <f t="shared" si="27"/>
        <v>0</v>
      </c>
      <c r="K165" s="292">
        <f t="shared" si="28"/>
        <v>0</v>
      </c>
      <c r="L165" s="59">
        <f>K165*D165*'B) D RI'!S167</f>
        <v>0</v>
      </c>
      <c r="M165" s="15">
        <f>(('B) D RI'!S167*C165)-(L165*$M$4))/'B) D RI'!S167</f>
        <v>9002.5637333333325</v>
      </c>
      <c r="N165" s="281">
        <f t="shared" si="29"/>
        <v>28.309948846960165</v>
      </c>
      <c r="O165" s="64">
        <f t="shared" si="30"/>
        <v>0.63202017722900494</v>
      </c>
      <c r="R165" s="13"/>
    </row>
    <row r="166" spans="1:18" x14ac:dyDescent="0.25">
      <c r="A166" s="326">
        <f>'A) Base RI'!A168</f>
        <v>5671</v>
      </c>
      <c r="B166" s="34" t="str">
        <f>'A) Base RI'!B168</f>
        <v>Dompierre</v>
      </c>
      <c r="C166" s="324">
        <f>'B) D RI'!U168</f>
        <v>6375.2653750000009</v>
      </c>
      <c r="D166" s="34">
        <f>'B) D RI'!AR168</f>
        <v>259</v>
      </c>
      <c r="E166" s="213">
        <f t="shared" si="22"/>
        <v>24.614924227799232</v>
      </c>
      <c r="F166" s="64">
        <f t="shared" si="23"/>
        <v>0.53182499988931786</v>
      </c>
      <c r="G166" s="291">
        <f t="shared" si="24"/>
        <v>0</v>
      </c>
      <c r="H166" s="291">
        <f t="shared" si="25"/>
        <v>0</v>
      </c>
      <c r="I166" s="291">
        <f t="shared" si="26"/>
        <v>0</v>
      </c>
      <c r="J166" s="291">
        <f t="shared" si="27"/>
        <v>0</v>
      </c>
      <c r="K166" s="292">
        <f t="shared" si="28"/>
        <v>0</v>
      </c>
      <c r="L166" s="59">
        <f>K166*D166*'B) D RI'!S168</f>
        <v>0</v>
      </c>
      <c r="M166" s="15">
        <f>(('B) D RI'!S168*C166)-(L166*$M$4))/'B) D RI'!S168</f>
        <v>6375.2653750000009</v>
      </c>
      <c r="N166" s="281">
        <f t="shared" si="29"/>
        <v>24.614924227799232</v>
      </c>
      <c r="O166" s="64">
        <f t="shared" si="30"/>
        <v>0.54952867831135888</v>
      </c>
      <c r="R166" s="13"/>
    </row>
    <row r="167" spans="1:18" x14ac:dyDescent="0.25">
      <c r="A167" s="326">
        <f>'A) Base RI'!A169</f>
        <v>5673</v>
      </c>
      <c r="B167" s="34" t="str">
        <f>'A) Base RI'!B169</f>
        <v>Hermenches</v>
      </c>
      <c r="C167" s="324">
        <f>'B) D RI'!U169</f>
        <v>8890.2024444444451</v>
      </c>
      <c r="D167" s="34">
        <f>'B) D RI'!AR169</f>
        <v>379</v>
      </c>
      <c r="E167" s="213">
        <f t="shared" si="22"/>
        <v>23.456998534154209</v>
      </c>
      <c r="F167" s="64">
        <f t="shared" si="23"/>
        <v>0.50680709505257959</v>
      </c>
      <c r="G167" s="291">
        <f t="shared" si="24"/>
        <v>0</v>
      </c>
      <c r="H167" s="291">
        <f t="shared" si="25"/>
        <v>0</v>
      </c>
      <c r="I167" s="291">
        <f t="shared" si="26"/>
        <v>0</v>
      </c>
      <c r="J167" s="291">
        <f t="shared" si="27"/>
        <v>0</v>
      </c>
      <c r="K167" s="292">
        <f t="shared" si="28"/>
        <v>0</v>
      </c>
      <c r="L167" s="59">
        <f>K167*D167*'B) D RI'!S169</f>
        <v>0</v>
      </c>
      <c r="M167" s="15">
        <f>(('B) D RI'!S169*C167)-(L167*$M$4))/'B) D RI'!S169</f>
        <v>8890.2024444444451</v>
      </c>
      <c r="N167" s="281">
        <f t="shared" si="29"/>
        <v>23.456998534154209</v>
      </c>
      <c r="O167" s="64">
        <f t="shared" si="30"/>
        <v>0.52367796391862953</v>
      </c>
      <c r="R167" s="13"/>
    </row>
    <row r="168" spans="1:18" x14ac:dyDescent="0.25">
      <c r="A168" s="326">
        <f>'A) Base RI'!A170</f>
        <v>5674</v>
      </c>
      <c r="B168" s="34" t="str">
        <f>'A) Base RI'!B170</f>
        <v>Lovatens</v>
      </c>
      <c r="C168" s="324">
        <f>'B) D RI'!U170</f>
        <v>3625.6310666666668</v>
      </c>
      <c r="D168" s="34">
        <f>'B) D RI'!AR170</f>
        <v>141</v>
      </c>
      <c r="E168" s="213">
        <f t="shared" si="22"/>
        <v>25.713695508274231</v>
      </c>
      <c r="F168" s="64">
        <f t="shared" si="23"/>
        <v>0.55556482661838213</v>
      </c>
      <c r="G168" s="291">
        <f t="shared" si="24"/>
        <v>0</v>
      </c>
      <c r="H168" s="291">
        <f t="shared" si="25"/>
        <v>0</v>
      </c>
      <c r="I168" s="291">
        <f t="shared" si="26"/>
        <v>0</v>
      </c>
      <c r="J168" s="291">
        <f t="shared" si="27"/>
        <v>0</v>
      </c>
      <c r="K168" s="292">
        <f t="shared" si="28"/>
        <v>0</v>
      </c>
      <c r="L168" s="59">
        <f>K168*D168*'B) D RI'!S170</f>
        <v>0</v>
      </c>
      <c r="M168" s="15">
        <f>(('B) D RI'!S170*C168)-(L168*$M$4))/'B) D RI'!S170</f>
        <v>3625.6310666666668</v>
      </c>
      <c r="N168" s="281">
        <f t="shared" si="29"/>
        <v>25.713695508274231</v>
      </c>
      <c r="O168" s="64">
        <f t="shared" si="30"/>
        <v>0.57405876924066535</v>
      </c>
      <c r="R168" s="13"/>
    </row>
    <row r="169" spans="1:18" x14ac:dyDescent="0.25">
      <c r="A169" s="326">
        <f>'A) Base RI'!A171</f>
        <v>5675</v>
      </c>
      <c r="B169" s="34" t="str">
        <f>'A) Base RI'!B171</f>
        <v>Lucens</v>
      </c>
      <c r="C169" s="324">
        <f>'B) D RI'!U171</f>
        <v>86340.116763085374</v>
      </c>
      <c r="D169" s="34">
        <f>'B) D RI'!AR171</f>
        <v>4157</v>
      </c>
      <c r="E169" s="213">
        <f t="shared" si="22"/>
        <v>20.769813991601005</v>
      </c>
      <c r="F169" s="64">
        <f t="shared" si="23"/>
        <v>0.44874833745413267</v>
      </c>
      <c r="G169" s="291">
        <f t="shared" si="24"/>
        <v>0</v>
      </c>
      <c r="H169" s="291">
        <f t="shared" si="25"/>
        <v>0</v>
      </c>
      <c r="I169" s="291">
        <f t="shared" si="26"/>
        <v>0</v>
      </c>
      <c r="J169" s="291">
        <f t="shared" si="27"/>
        <v>0</v>
      </c>
      <c r="K169" s="292">
        <f t="shared" si="28"/>
        <v>0</v>
      </c>
      <c r="L169" s="59">
        <f>K169*D169*'B) D RI'!S171</f>
        <v>0</v>
      </c>
      <c r="M169" s="15">
        <f>(('B) D RI'!S171*C169)-(L169*$M$4))/'B) D RI'!S171</f>
        <v>86340.116763085374</v>
      </c>
      <c r="N169" s="281">
        <f t="shared" si="29"/>
        <v>20.769813991601005</v>
      </c>
      <c r="O169" s="64">
        <f t="shared" si="30"/>
        <v>0.46368651497562363</v>
      </c>
      <c r="R169" s="13"/>
    </row>
    <row r="170" spans="1:18" x14ac:dyDescent="0.25">
      <c r="A170" s="326">
        <f>'A) Base RI'!A172</f>
        <v>5678</v>
      </c>
      <c r="B170" s="34" t="str">
        <f>'A) Base RI'!B172</f>
        <v>Moudon</v>
      </c>
      <c r="C170" s="324">
        <f>'B) D RI'!U172</f>
        <v>119887.03426666667</v>
      </c>
      <c r="D170" s="34">
        <f>'B) D RI'!AR172</f>
        <v>6185</v>
      </c>
      <c r="E170" s="213">
        <f t="shared" si="22"/>
        <v>19.383514028563731</v>
      </c>
      <c r="F170" s="64">
        <f t="shared" si="23"/>
        <v>0.41879622503380626</v>
      </c>
      <c r="G170" s="291">
        <f t="shared" si="24"/>
        <v>0</v>
      </c>
      <c r="H170" s="291">
        <f t="shared" si="25"/>
        <v>0</v>
      </c>
      <c r="I170" s="291">
        <f t="shared" si="26"/>
        <v>0</v>
      </c>
      <c r="J170" s="291">
        <f t="shared" si="27"/>
        <v>0</v>
      </c>
      <c r="K170" s="292">
        <f t="shared" si="28"/>
        <v>0</v>
      </c>
      <c r="L170" s="59">
        <f>K170*D170*'B) D RI'!S172</f>
        <v>0</v>
      </c>
      <c r="M170" s="15">
        <f>(('B) D RI'!S172*C170)-(L170*$M$4))/'B) D RI'!S172</f>
        <v>119887.03426666667</v>
      </c>
      <c r="N170" s="281">
        <f t="shared" si="29"/>
        <v>19.383514028563731</v>
      </c>
      <c r="O170" s="64">
        <f t="shared" si="30"/>
        <v>0.43273734042685147</v>
      </c>
      <c r="R170" s="13"/>
    </row>
    <row r="171" spans="1:18" x14ac:dyDescent="0.25">
      <c r="A171" s="326">
        <f>'A) Base RI'!A173</f>
        <v>5680</v>
      </c>
      <c r="B171" s="34" t="str">
        <f>'A) Base RI'!B173</f>
        <v>Ogens</v>
      </c>
      <c r="C171" s="324">
        <f>'B) D RI'!U173</f>
        <v>7440.7528632478625</v>
      </c>
      <c r="D171" s="34">
        <f>'B) D RI'!AR173</f>
        <v>304</v>
      </c>
      <c r="E171" s="213">
        <f t="shared" si="22"/>
        <v>24.476160734367969</v>
      </c>
      <c r="F171" s="64">
        <f t="shared" si="23"/>
        <v>0.52882690433575208</v>
      </c>
      <c r="G171" s="291">
        <f t="shared" si="24"/>
        <v>0</v>
      </c>
      <c r="H171" s="291">
        <f t="shared" si="25"/>
        <v>0</v>
      </c>
      <c r="I171" s="291">
        <f t="shared" si="26"/>
        <v>0</v>
      </c>
      <c r="J171" s="291">
        <f t="shared" si="27"/>
        <v>0</v>
      </c>
      <c r="K171" s="292">
        <f t="shared" si="28"/>
        <v>0</v>
      </c>
      <c r="L171" s="59">
        <f>K171*D171*'B) D RI'!S173</f>
        <v>0</v>
      </c>
      <c r="M171" s="15">
        <f>(('B) D RI'!S173*C171)-(L171*$M$4))/'B) D RI'!S173</f>
        <v>7440.7528632478625</v>
      </c>
      <c r="N171" s="281">
        <f t="shared" si="29"/>
        <v>24.476160734367969</v>
      </c>
      <c r="O171" s="64">
        <f t="shared" si="30"/>
        <v>0.54643078053042526</v>
      </c>
      <c r="R171" s="13"/>
    </row>
    <row r="172" spans="1:18" x14ac:dyDescent="0.25">
      <c r="A172" s="326">
        <f>'A) Base RI'!A174</f>
        <v>5683</v>
      </c>
      <c r="B172" s="34" t="str">
        <f>'A) Base RI'!B174</f>
        <v>Prévonloup</v>
      </c>
      <c r="C172" s="324">
        <f>'B) D RI'!U174</f>
        <v>3896.046081081081</v>
      </c>
      <c r="D172" s="34">
        <f>'B) D RI'!AR174</f>
        <v>160</v>
      </c>
      <c r="E172" s="213">
        <f t="shared" si="22"/>
        <v>24.350288006756756</v>
      </c>
      <c r="F172" s="64">
        <f t="shared" si="23"/>
        <v>0.5261073240222649</v>
      </c>
      <c r="G172" s="291">
        <f t="shared" si="24"/>
        <v>0</v>
      </c>
      <c r="H172" s="291">
        <f t="shared" si="25"/>
        <v>0</v>
      </c>
      <c r="I172" s="291">
        <f t="shared" si="26"/>
        <v>0</v>
      </c>
      <c r="J172" s="291">
        <f t="shared" si="27"/>
        <v>0</v>
      </c>
      <c r="K172" s="292">
        <f t="shared" si="28"/>
        <v>0</v>
      </c>
      <c r="L172" s="59">
        <f>K172*D172*'B) D RI'!S174</f>
        <v>0</v>
      </c>
      <c r="M172" s="15">
        <f>(('B) D RI'!S174*C172)-(L172*$M$4))/'B) D RI'!S174</f>
        <v>3896.046081081081</v>
      </c>
      <c r="N172" s="281">
        <f t="shared" si="29"/>
        <v>24.350288006756756</v>
      </c>
      <c r="O172" s="64">
        <f t="shared" si="30"/>
        <v>0.54362066935561537</v>
      </c>
      <c r="R172" s="13"/>
    </row>
    <row r="173" spans="1:18" x14ac:dyDescent="0.25">
      <c r="A173" s="326">
        <f>'A) Base RI'!A175</f>
        <v>5684</v>
      </c>
      <c r="B173" s="34" t="str">
        <f>'A) Base RI'!B175</f>
        <v>Rossenges</v>
      </c>
      <c r="C173" s="324">
        <f>'B) D RI'!U175</f>
        <v>2935.9523333333332</v>
      </c>
      <c r="D173" s="34">
        <f>'B) D RI'!AR175</f>
        <v>63</v>
      </c>
      <c r="E173" s="213">
        <f t="shared" si="22"/>
        <v>46.602417989417987</v>
      </c>
      <c r="F173" s="64">
        <f t="shared" si="23"/>
        <v>1.0068822764879206</v>
      </c>
      <c r="G173" s="291">
        <f t="shared" si="24"/>
        <v>0</v>
      </c>
      <c r="H173" s="291">
        <f t="shared" si="25"/>
        <v>0</v>
      </c>
      <c r="I173" s="291">
        <f t="shared" si="26"/>
        <v>0</v>
      </c>
      <c r="J173" s="291">
        <f t="shared" si="27"/>
        <v>0</v>
      </c>
      <c r="K173" s="292">
        <f t="shared" si="28"/>
        <v>0</v>
      </c>
      <c r="L173" s="59">
        <f>K173*D173*'B) D RI'!S175</f>
        <v>0</v>
      </c>
      <c r="M173" s="15">
        <f>(('B) D RI'!S175*C173)-(L173*$M$4))/'B) D RI'!S175</f>
        <v>2935.9523333333332</v>
      </c>
      <c r="N173" s="281">
        <f t="shared" si="29"/>
        <v>46.602417989417987</v>
      </c>
      <c r="O173" s="64">
        <f t="shared" si="30"/>
        <v>1.0403999186361923</v>
      </c>
      <c r="R173" s="13"/>
    </row>
    <row r="174" spans="1:18" x14ac:dyDescent="0.25">
      <c r="A174" s="326">
        <f>'A) Base RI'!A176</f>
        <v>5688</v>
      </c>
      <c r="B174" s="34" t="str">
        <f>'A) Base RI'!B176</f>
        <v>Syens</v>
      </c>
      <c r="C174" s="324">
        <f>'B) D RI'!U176</f>
        <v>6288.5417989418002</v>
      </c>
      <c r="D174" s="34">
        <f>'B) D RI'!AR176</f>
        <v>150</v>
      </c>
      <c r="E174" s="213">
        <f t="shared" si="22"/>
        <v>41.923611992945332</v>
      </c>
      <c r="F174" s="64">
        <f t="shared" si="23"/>
        <v>0.90579295459815423</v>
      </c>
      <c r="G174" s="291">
        <f t="shared" si="24"/>
        <v>0</v>
      </c>
      <c r="H174" s="291">
        <f t="shared" si="25"/>
        <v>0</v>
      </c>
      <c r="I174" s="291">
        <f t="shared" si="26"/>
        <v>0</v>
      </c>
      <c r="J174" s="291">
        <f t="shared" si="27"/>
        <v>0</v>
      </c>
      <c r="K174" s="292">
        <f t="shared" si="28"/>
        <v>0</v>
      </c>
      <c r="L174" s="59">
        <f>K174*D174*'B) D RI'!S176</f>
        <v>0</v>
      </c>
      <c r="M174" s="15">
        <f>(('B) D RI'!S176*C174)-(L174*$M$4))/'B) D RI'!S176</f>
        <v>6288.5417989418002</v>
      </c>
      <c r="N174" s="281">
        <f t="shared" si="29"/>
        <v>41.923611992945332</v>
      </c>
      <c r="O174" s="64">
        <f t="shared" si="30"/>
        <v>0.93594548068943129</v>
      </c>
      <c r="R174" s="13"/>
    </row>
    <row r="175" spans="1:18" x14ac:dyDescent="0.25">
      <c r="A175" s="326">
        <f>'A) Base RI'!A177</f>
        <v>5690</v>
      </c>
      <c r="B175" s="34" t="str">
        <f>'A) Base RI'!B177</f>
        <v>Villars-le-Comte</v>
      </c>
      <c r="C175" s="324">
        <f>'B) D RI'!U177</f>
        <v>3582.5831666666668</v>
      </c>
      <c r="D175" s="34">
        <f>'B) D RI'!AR177</f>
        <v>142</v>
      </c>
      <c r="E175" s="213">
        <f t="shared" si="22"/>
        <v>25.229458920187795</v>
      </c>
      <c r="F175" s="64">
        <f t="shared" si="23"/>
        <v>0.54510251030076262</v>
      </c>
      <c r="G175" s="291">
        <f t="shared" si="24"/>
        <v>0</v>
      </c>
      <c r="H175" s="291">
        <f t="shared" si="25"/>
        <v>0</v>
      </c>
      <c r="I175" s="291">
        <f t="shared" si="26"/>
        <v>0</v>
      </c>
      <c r="J175" s="291">
        <f t="shared" si="27"/>
        <v>0</v>
      </c>
      <c r="K175" s="292">
        <f t="shared" si="28"/>
        <v>0</v>
      </c>
      <c r="L175" s="59">
        <f>K175*D175*'B) D RI'!S177</f>
        <v>0</v>
      </c>
      <c r="M175" s="15">
        <f>(('B) D RI'!S177*C175)-(L175*$M$4))/'B) D RI'!S177</f>
        <v>3582.5831666666668</v>
      </c>
      <c r="N175" s="281">
        <f t="shared" si="29"/>
        <v>25.229458920187795</v>
      </c>
      <c r="O175" s="64">
        <f t="shared" si="30"/>
        <v>0.56324817767521929</v>
      </c>
      <c r="R175" s="13"/>
    </row>
    <row r="176" spans="1:18" x14ac:dyDescent="0.25">
      <c r="A176" s="326">
        <f>'A) Base RI'!A178</f>
        <v>5692</v>
      </c>
      <c r="B176" s="34" t="str">
        <f>'A) Base RI'!B178</f>
        <v>Vucherens</v>
      </c>
      <c r="C176" s="324">
        <f>'B) D RI'!U178</f>
        <v>17338.328227848098</v>
      </c>
      <c r="D176" s="34">
        <f>'B) D RI'!AR178</f>
        <v>583</v>
      </c>
      <c r="E176" s="213">
        <f t="shared" si="22"/>
        <v>29.739842586360375</v>
      </c>
      <c r="F176" s="64">
        <f t="shared" si="23"/>
        <v>0.6425529338959719</v>
      </c>
      <c r="G176" s="291">
        <f t="shared" si="24"/>
        <v>0</v>
      </c>
      <c r="H176" s="291">
        <f t="shared" si="25"/>
        <v>0</v>
      </c>
      <c r="I176" s="291">
        <f t="shared" si="26"/>
        <v>0</v>
      </c>
      <c r="J176" s="291">
        <f t="shared" si="27"/>
        <v>0</v>
      </c>
      <c r="K176" s="292">
        <f t="shared" si="28"/>
        <v>0</v>
      </c>
      <c r="L176" s="59">
        <f>K176*D176*'B) D RI'!S178</f>
        <v>0</v>
      </c>
      <c r="M176" s="15">
        <f>(('B) D RI'!S178*C176)-(L176*$M$4))/'B) D RI'!S178</f>
        <v>17338.328227848098</v>
      </c>
      <c r="N176" s="281">
        <f t="shared" si="29"/>
        <v>29.739842586360375</v>
      </c>
      <c r="O176" s="64">
        <f t="shared" si="30"/>
        <v>0.66394258371160808</v>
      </c>
      <c r="R176" s="13"/>
    </row>
    <row r="177" spans="1:18" x14ac:dyDescent="0.25">
      <c r="A177" s="326">
        <f>'A) Base RI'!A179</f>
        <v>5693</v>
      </c>
      <c r="B177" s="34" t="str">
        <f>'A) Base RI'!B179</f>
        <v>Montanaire</v>
      </c>
      <c r="C177" s="324">
        <f>'B) D RI'!U179</f>
        <v>71023.934305555566</v>
      </c>
      <c r="D177" s="34">
        <f>'B) D RI'!AR179</f>
        <v>2606</v>
      </c>
      <c r="E177" s="213">
        <f t="shared" si="22"/>
        <v>27.254003954549333</v>
      </c>
      <c r="F177" s="64">
        <f t="shared" si="23"/>
        <v>0.58884441471252813</v>
      </c>
      <c r="G177" s="291">
        <f t="shared" si="24"/>
        <v>0</v>
      </c>
      <c r="H177" s="291">
        <f t="shared" si="25"/>
        <v>0</v>
      </c>
      <c r="I177" s="291">
        <f t="shared" si="26"/>
        <v>0</v>
      </c>
      <c r="J177" s="291">
        <f t="shared" si="27"/>
        <v>0</v>
      </c>
      <c r="K177" s="292">
        <f t="shared" si="28"/>
        <v>0</v>
      </c>
      <c r="L177" s="59">
        <f>K177*D177*'B) D RI'!S179</f>
        <v>0</v>
      </c>
      <c r="M177" s="15">
        <f>(('B) D RI'!S179*C177)-(L177*$M$4))/'B) D RI'!S179</f>
        <v>71023.934305555566</v>
      </c>
      <c r="N177" s="281">
        <f t="shared" si="29"/>
        <v>27.254003954549333</v>
      </c>
      <c r="O177" s="64">
        <f t="shared" si="30"/>
        <v>0.60844618627432967</v>
      </c>
      <c r="R177" s="13"/>
    </row>
    <row r="178" spans="1:18" x14ac:dyDescent="0.25">
      <c r="A178" s="326">
        <f>'A) Base RI'!A180</f>
        <v>5701</v>
      </c>
      <c r="B178" s="34" t="str">
        <f>'A) Base RI'!B180</f>
        <v>Arnex-sur-Nyon</v>
      </c>
      <c r="C178" s="324">
        <f>'B) D RI'!U180</f>
        <v>14557.077428571431</v>
      </c>
      <c r="D178" s="34">
        <f>'B) D RI'!AR180</f>
        <v>224</v>
      </c>
      <c r="E178" s="213">
        <f t="shared" si="22"/>
        <v>64.98695280612246</v>
      </c>
      <c r="F178" s="64">
        <f t="shared" si="23"/>
        <v>1.4040947617417576</v>
      </c>
      <c r="G178" s="291">
        <f t="shared" si="24"/>
        <v>9.4462973658809588</v>
      </c>
      <c r="H178" s="291">
        <f t="shared" si="25"/>
        <v>0</v>
      </c>
      <c r="I178" s="291">
        <f t="shared" si="26"/>
        <v>0</v>
      </c>
      <c r="J178" s="291">
        <f t="shared" si="27"/>
        <v>0</v>
      </c>
      <c r="K178" s="292">
        <f t="shared" si="28"/>
        <v>3.4006670517171451</v>
      </c>
      <c r="L178" s="59">
        <f>K178*D178*'B) D RI'!S180</f>
        <v>53322.459370924829</v>
      </c>
      <c r="M178" s="15">
        <f>(('B) D RI'!S180*C178)-(L178*$M$4))/'B) D RI'!S180</f>
        <v>14061.940305841415</v>
      </c>
      <c r="N178" s="281">
        <f t="shared" si="29"/>
        <v>62.776519222506316</v>
      </c>
      <c r="O178" s="64">
        <f t="shared" si="30"/>
        <v>1.4014870538732451</v>
      </c>
      <c r="R178" s="13"/>
    </row>
    <row r="179" spans="1:18" x14ac:dyDescent="0.25">
      <c r="A179" s="326">
        <f>'A) Base RI'!A181</f>
        <v>5702</v>
      </c>
      <c r="B179" s="34" t="str">
        <f>'A) Base RI'!B181</f>
        <v>Arzier-Le Muids</v>
      </c>
      <c r="C179" s="324">
        <f>'B) D RI'!U181</f>
        <v>156245.38328125002</v>
      </c>
      <c r="D179" s="34">
        <f>'B) D RI'!AR181</f>
        <v>2653</v>
      </c>
      <c r="E179" s="213">
        <f t="shared" si="22"/>
        <v>58.893849710233702</v>
      </c>
      <c r="F179" s="64">
        <f t="shared" si="23"/>
        <v>1.2724484270503442</v>
      </c>
      <c r="G179" s="291">
        <f t="shared" si="24"/>
        <v>3.3531942699922013</v>
      </c>
      <c r="H179" s="291">
        <f t="shared" si="25"/>
        <v>0</v>
      </c>
      <c r="I179" s="291">
        <f t="shared" si="26"/>
        <v>0</v>
      </c>
      <c r="J179" s="291">
        <f t="shared" si="27"/>
        <v>0</v>
      </c>
      <c r="K179" s="292">
        <f t="shared" si="28"/>
        <v>1.2071499371971923</v>
      </c>
      <c r="L179" s="59">
        <f>K179*D179*'B) D RI'!S181</f>
        <v>204964.40213658568</v>
      </c>
      <c r="M179" s="15">
        <f>(('B) D RI'!S181*C179)-(L179*$M$4))/'B) D RI'!S181</f>
        <v>154163.71357205033</v>
      </c>
      <c r="N179" s="281">
        <f t="shared" si="29"/>
        <v>58.109202251055535</v>
      </c>
      <c r="O179" s="64">
        <f t="shared" si="30"/>
        <v>1.2972891086411042</v>
      </c>
      <c r="R179" s="13"/>
    </row>
    <row r="180" spans="1:18" x14ac:dyDescent="0.25">
      <c r="A180" s="326">
        <f>'A) Base RI'!A182</f>
        <v>5703</v>
      </c>
      <c r="B180" s="34" t="str">
        <f>'A) Base RI'!B182</f>
        <v>Bassins</v>
      </c>
      <c r="C180" s="324">
        <f>'B) D RI'!U182</f>
        <v>56627.812818532817</v>
      </c>
      <c r="D180" s="34">
        <f>'B) D RI'!AR182</f>
        <v>1356</v>
      </c>
      <c r="E180" s="213">
        <f t="shared" si="22"/>
        <v>41.760923907472581</v>
      </c>
      <c r="F180" s="64">
        <f t="shared" si="23"/>
        <v>0.90227794922020443</v>
      </c>
      <c r="G180" s="291">
        <f t="shared" si="24"/>
        <v>0</v>
      </c>
      <c r="H180" s="291">
        <f t="shared" si="25"/>
        <v>0</v>
      </c>
      <c r="I180" s="291">
        <f t="shared" si="26"/>
        <v>0</v>
      </c>
      <c r="J180" s="291">
        <f t="shared" si="27"/>
        <v>0</v>
      </c>
      <c r="K180" s="292">
        <f t="shared" si="28"/>
        <v>0</v>
      </c>
      <c r="L180" s="59">
        <f>K180*D180*'B) D RI'!S182</f>
        <v>0</v>
      </c>
      <c r="M180" s="15">
        <f>(('B) D RI'!S182*C180)-(L180*$M$4))/'B) D RI'!S182</f>
        <v>56627.812818532817</v>
      </c>
      <c r="N180" s="281">
        <f t="shared" si="29"/>
        <v>41.760923907472581</v>
      </c>
      <c r="O180" s="64">
        <f t="shared" si="30"/>
        <v>0.93231346591012609</v>
      </c>
      <c r="R180" s="13"/>
    </row>
    <row r="181" spans="1:18" x14ac:dyDescent="0.25">
      <c r="A181" s="326">
        <f>'A) Base RI'!A183</f>
        <v>5704</v>
      </c>
      <c r="B181" s="34" t="str">
        <f>'A) Base RI'!B183</f>
        <v>Begnins</v>
      </c>
      <c r="C181" s="324">
        <f>'B) D RI'!U183</f>
        <v>128280.7823880597</v>
      </c>
      <c r="D181" s="34">
        <f>'B) D RI'!AR183</f>
        <v>1910</v>
      </c>
      <c r="E181" s="213">
        <f t="shared" si="22"/>
        <v>67.162713292177855</v>
      </c>
      <c r="F181" s="64">
        <f t="shared" si="23"/>
        <v>1.4511037961611599</v>
      </c>
      <c r="G181" s="291">
        <f t="shared" si="24"/>
        <v>11.622057851936354</v>
      </c>
      <c r="H181" s="291">
        <f t="shared" si="25"/>
        <v>0</v>
      </c>
      <c r="I181" s="291">
        <f t="shared" si="26"/>
        <v>0</v>
      </c>
      <c r="J181" s="291">
        <f t="shared" si="27"/>
        <v>0</v>
      </c>
      <c r="K181" s="292">
        <f t="shared" si="28"/>
        <v>4.1839408266970874</v>
      </c>
      <c r="L181" s="59">
        <f>K181*D181*'B) D RI'!S183</f>
        <v>535418.90759242629</v>
      </c>
      <c r="M181" s="15">
        <f>(('B) D RI'!S183*C181)-(L181*$M$4))/'B) D RI'!S183</f>
        <v>123086.41985171527</v>
      </c>
      <c r="N181" s="281">
        <f t="shared" si="29"/>
        <v>64.443151754824754</v>
      </c>
      <c r="O181" s="64">
        <f t="shared" si="30"/>
        <v>1.4386946586677918</v>
      </c>
      <c r="R181" s="13"/>
    </row>
    <row r="182" spans="1:18" x14ac:dyDescent="0.25">
      <c r="A182" s="326">
        <f>'A) Base RI'!A184</f>
        <v>5705</v>
      </c>
      <c r="B182" s="34" t="str">
        <f>'A) Base RI'!B184</f>
        <v>Bogis-Bossey</v>
      </c>
      <c r="C182" s="324">
        <f>'B) D RI'!U184</f>
        <v>55070.038857142863</v>
      </c>
      <c r="D182" s="34">
        <f>'B) D RI'!AR184</f>
        <v>893</v>
      </c>
      <c r="E182" s="213">
        <f t="shared" si="22"/>
        <v>61.668576547752366</v>
      </c>
      <c r="F182" s="64">
        <f t="shared" si="23"/>
        <v>1.3323986055030441</v>
      </c>
      <c r="G182" s="291">
        <f t="shared" si="24"/>
        <v>6.1279211075108648</v>
      </c>
      <c r="H182" s="291">
        <f t="shared" si="25"/>
        <v>0</v>
      </c>
      <c r="I182" s="291">
        <f t="shared" si="26"/>
        <v>0</v>
      </c>
      <c r="J182" s="291">
        <f t="shared" si="27"/>
        <v>0</v>
      </c>
      <c r="K182" s="292">
        <f t="shared" si="28"/>
        <v>2.2060515987039113</v>
      </c>
      <c r="L182" s="59">
        <f>K182*D182*'B) D RI'!S184</f>
        <v>137900.28543498149</v>
      </c>
      <c r="M182" s="15">
        <f>(('B) D RI'!S184*C182)-(L182*$M$4))/'B) D RI'!S184</f>
        <v>53789.536206675177</v>
      </c>
      <c r="N182" s="281">
        <f t="shared" si="29"/>
        <v>60.234643008594823</v>
      </c>
      <c r="O182" s="64">
        <f t="shared" si="30"/>
        <v>1.3447396162888414</v>
      </c>
      <c r="R182" s="13"/>
    </row>
    <row r="183" spans="1:18" x14ac:dyDescent="0.25">
      <c r="A183" s="326">
        <f>'A) Base RI'!A185</f>
        <v>5706</v>
      </c>
      <c r="B183" s="34" t="str">
        <f>'A) Base RI'!B185</f>
        <v>Borex</v>
      </c>
      <c r="C183" s="324">
        <f>'B) D RI'!U185</f>
        <v>71838.84494252874</v>
      </c>
      <c r="D183" s="34">
        <f>'B) D RI'!AR185</f>
        <v>1126</v>
      </c>
      <c r="E183" s="213">
        <f t="shared" si="22"/>
        <v>63.800039913435825</v>
      </c>
      <c r="F183" s="64">
        <f t="shared" si="23"/>
        <v>1.3784505654330479</v>
      </c>
      <c r="G183" s="291">
        <f t="shared" si="24"/>
        <v>8.2593844731943236</v>
      </c>
      <c r="H183" s="291">
        <f t="shared" si="25"/>
        <v>0</v>
      </c>
      <c r="I183" s="291">
        <f t="shared" si="26"/>
        <v>0</v>
      </c>
      <c r="J183" s="291">
        <f t="shared" si="27"/>
        <v>0</v>
      </c>
      <c r="K183" s="292">
        <f t="shared" si="28"/>
        <v>2.9733784103499565</v>
      </c>
      <c r="L183" s="59">
        <f>K183*D183*'B) D RI'!S185</f>
        <v>194185.39722313496</v>
      </c>
      <c r="M183" s="15">
        <f>(('B) D RI'!S185*C183)-(L183*$M$4))/'B) D RI'!S185</f>
        <v>69662.629283993607</v>
      </c>
      <c r="N183" s="281">
        <f t="shared" si="29"/>
        <v>61.867343946708353</v>
      </c>
      <c r="O183" s="64">
        <f t="shared" si="30"/>
        <v>1.3811896975605098</v>
      </c>
      <c r="R183" s="13"/>
    </row>
    <row r="184" spans="1:18" x14ac:dyDescent="0.25">
      <c r="A184" s="326">
        <f>'A) Base RI'!A186</f>
        <v>5707</v>
      </c>
      <c r="B184" s="34" t="str">
        <f>'A) Base RI'!B186</f>
        <v>Chavannes-de-Bogis</v>
      </c>
      <c r="C184" s="324">
        <f>'B) D RI'!U186</f>
        <v>85072.573841807927</v>
      </c>
      <c r="D184" s="34">
        <f>'B) D RI'!AR186</f>
        <v>1290</v>
      </c>
      <c r="E184" s="213">
        <f t="shared" si="22"/>
        <v>65.947731660316222</v>
      </c>
      <c r="F184" s="64">
        <f t="shared" si="23"/>
        <v>1.4248531524358143</v>
      </c>
      <c r="G184" s="291">
        <f t="shared" si="24"/>
        <v>10.407076220074721</v>
      </c>
      <c r="H184" s="291">
        <f t="shared" si="25"/>
        <v>0</v>
      </c>
      <c r="I184" s="291">
        <f t="shared" si="26"/>
        <v>0</v>
      </c>
      <c r="J184" s="291">
        <f t="shared" si="27"/>
        <v>0</v>
      </c>
      <c r="K184" s="292">
        <f t="shared" si="28"/>
        <v>3.7465474392268994</v>
      </c>
      <c r="L184" s="59">
        <f>K184*D184*'B) D RI'!S186</f>
        <v>285149.72559955932</v>
      </c>
      <c r="M184" s="15">
        <f>(('B) D RI'!S186*C184)-(L184*$M$4))/'B) D RI'!S186</f>
        <v>81931.09381401616</v>
      </c>
      <c r="N184" s="281">
        <f t="shared" si="29"/>
        <v>63.512475824818729</v>
      </c>
      <c r="O184" s="64">
        <f t="shared" si="30"/>
        <v>1.4179172998175535</v>
      </c>
      <c r="R184" s="13"/>
    </row>
    <row r="185" spans="1:18" x14ac:dyDescent="0.25">
      <c r="A185" s="326">
        <f>'A) Base RI'!A187</f>
        <v>5708</v>
      </c>
      <c r="B185" s="34" t="str">
        <f>'A) Base RI'!B187</f>
        <v>Chavannes-des-Bois</v>
      </c>
      <c r="C185" s="324">
        <f>'B) D RI'!U187</f>
        <v>57314.783389830503</v>
      </c>
      <c r="D185" s="34">
        <f>'B) D RI'!AR187</f>
        <v>942</v>
      </c>
      <c r="E185" s="213">
        <f t="shared" si="22"/>
        <v>60.843719097484609</v>
      </c>
      <c r="F185" s="64">
        <f t="shared" si="23"/>
        <v>1.3145769047601297</v>
      </c>
      <c r="G185" s="291">
        <f t="shared" si="24"/>
        <v>5.3030636572431078</v>
      </c>
      <c r="H185" s="291">
        <f t="shared" si="25"/>
        <v>0</v>
      </c>
      <c r="I185" s="291">
        <f t="shared" si="26"/>
        <v>0</v>
      </c>
      <c r="J185" s="291">
        <f t="shared" si="27"/>
        <v>0</v>
      </c>
      <c r="K185" s="292">
        <f t="shared" si="28"/>
        <v>1.9091029166075186</v>
      </c>
      <c r="L185" s="59">
        <f>K185*D185*'B) D RI'!S187</f>
        <v>106104.12189921267</v>
      </c>
      <c r="M185" s="15">
        <f>(('B) D RI'!S187*C185)-(L185*$M$4))/'B) D RI'!S187</f>
        <v>56145.839673991715</v>
      </c>
      <c r="N185" s="281">
        <f t="shared" si="29"/>
        <v>59.60280220168972</v>
      </c>
      <c r="O185" s="64">
        <f t="shared" si="30"/>
        <v>1.3306337575704297</v>
      </c>
      <c r="R185" s="13"/>
    </row>
    <row r="186" spans="1:18" x14ac:dyDescent="0.25">
      <c r="A186" s="326">
        <f>'A) Base RI'!A188</f>
        <v>5709</v>
      </c>
      <c r="B186" s="34" t="str">
        <f>'A) Base RI'!B188</f>
        <v>Chéserex</v>
      </c>
      <c r="C186" s="324">
        <f>'B) D RI'!U188</f>
        <v>72047.552456140344</v>
      </c>
      <c r="D186" s="34">
        <f>'B) D RI'!AR188</f>
        <v>1219</v>
      </c>
      <c r="E186" s="213">
        <f t="shared" si="22"/>
        <v>59.103816617014225</v>
      </c>
      <c r="F186" s="64">
        <f t="shared" si="23"/>
        <v>1.2769849289360253</v>
      </c>
      <c r="G186" s="291">
        <f t="shared" si="24"/>
        <v>3.5631611767727236</v>
      </c>
      <c r="H186" s="291">
        <f t="shared" si="25"/>
        <v>0</v>
      </c>
      <c r="I186" s="291">
        <f t="shared" si="26"/>
        <v>0</v>
      </c>
      <c r="J186" s="291">
        <f t="shared" si="27"/>
        <v>0</v>
      </c>
      <c r="K186" s="292">
        <f t="shared" si="28"/>
        <v>1.2827380236381805</v>
      </c>
      <c r="L186" s="59">
        <f>K186*D186*'B) D RI'!S188</f>
        <v>89128.486096451685</v>
      </c>
      <c r="M186" s="15">
        <f>(('B) D RI'!S188*C186)-(L186*$M$4))/'B) D RI'!S188</f>
        <v>71031.174983110643</v>
      </c>
      <c r="N186" s="281">
        <f t="shared" si="29"/>
        <v>58.270036901649419</v>
      </c>
      <c r="O186" s="64">
        <f t="shared" si="30"/>
        <v>1.3008797454494723</v>
      </c>
      <c r="R186" s="13"/>
    </row>
    <row r="187" spans="1:18" x14ac:dyDescent="0.25">
      <c r="A187" s="326">
        <f>'A) Base RI'!A189</f>
        <v>5710</v>
      </c>
      <c r="B187" s="34" t="str">
        <f>'A) Base RI'!B189</f>
        <v>Coinsins</v>
      </c>
      <c r="C187" s="324">
        <f>'B) D RI'!U189</f>
        <v>82032.182941176477</v>
      </c>
      <c r="D187" s="34">
        <f>'B) D RI'!AR189</f>
        <v>484</v>
      </c>
      <c r="E187" s="213">
        <f t="shared" si="22"/>
        <v>169.48798128342247</v>
      </c>
      <c r="F187" s="64">
        <f t="shared" si="23"/>
        <v>3.6619225309456049</v>
      </c>
      <c r="G187" s="291">
        <f t="shared" si="24"/>
        <v>113.94732584318098</v>
      </c>
      <c r="H187" s="291">
        <f t="shared" si="25"/>
        <v>100.06216198312059</v>
      </c>
      <c r="I187" s="291">
        <f t="shared" si="26"/>
        <v>76.920222216353295</v>
      </c>
      <c r="J187" s="291">
        <f t="shared" si="27"/>
        <v>30.636342682818707</v>
      </c>
      <c r="K187" s="292">
        <f t="shared" si="28"/>
        <v>61.782909991774417</v>
      </c>
      <c r="L187" s="59">
        <f>K187*D187*'B) D RI'!S189</f>
        <v>1525049.3502369598</v>
      </c>
      <c r="M187" s="15">
        <f>(('B) D RI'!S189*C187)-(L187*$M$4))/'B) D RI'!S189</f>
        <v>62595.279457764242</v>
      </c>
      <c r="N187" s="281">
        <f t="shared" si="29"/>
        <v>129.3290897887691</v>
      </c>
      <c r="O187" s="64">
        <f t="shared" si="30"/>
        <v>2.8872745299199143</v>
      </c>
      <c r="R187" s="13"/>
    </row>
    <row r="188" spans="1:18" x14ac:dyDescent="0.25">
      <c r="A188" s="326">
        <f>'A) Base RI'!A190</f>
        <v>5711</v>
      </c>
      <c r="B188" s="34" t="str">
        <f>'A) Base RI'!B190</f>
        <v>Commugny</v>
      </c>
      <c r="C188" s="324">
        <f>'B) D RI'!U190</f>
        <v>253155.78673414301</v>
      </c>
      <c r="D188" s="34">
        <f>'B) D RI'!AR190</f>
        <v>2858</v>
      </c>
      <c r="E188" s="213">
        <f t="shared" si="22"/>
        <v>88.577951971358644</v>
      </c>
      <c r="F188" s="64">
        <f t="shared" si="23"/>
        <v>1.9137970469217096</v>
      </c>
      <c r="G188" s="291">
        <f t="shared" si="24"/>
        <v>33.037296531117143</v>
      </c>
      <c r="H188" s="291">
        <f t="shared" si="25"/>
        <v>19.152132671056762</v>
      </c>
      <c r="I188" s="291">
        <f t="shared" si="26"/>
        <v>0</v>
      </c>
      <c r="J188" s="291">
        <f t="shared" si="27"/>
        <v>0</v>
      </c>
      <c r="K188" s="292">
        <f t="shared" si="28"/>
        <v>13.808640018307848</v>
      </c>
      <c r="L188" s="59">
        <f>K188*D188*'B) D RI'!S190</f>
        <v>2249510.3108224585</v>
      </c>
      <c r="M188" s="15">
        <f>(('B) D RI'!S190*C188)-(L188*$M$4))/'B) D RI'!S190</f>
        <v>227503.4761721325</v>
      </c>
      <c r="N188" s="281">
        <f t="shared" si="29"/>
        <v>79.602335959458543</v>
      </c>
      <c r="O188" s="64">
        <f t="shared" si="30"/>
        <v>1.7771237508379298</v>
      </c>
      <c r="R188" s="13"/>
    </row>
    <row r="189" spans="1:18" x14ac:dyDescent="0.25">
      <c r="A189" s="326">
        <f>'A) Base RI'!A191</f>
        <v>5712</v>
      </c>
      <c r="B189" s="34" t="str">
        <f>'A) Base RI'!B191</f>
        <v>Coppet</v>
      </c>
      <c r="C189" s="324">
        <f>'B) D RI'!U191</f>
        <v>325753.23345911951</v>
      </c>
      <c r="D189" s="34">
        <f>'B) D RI'!AR191</f>
        <v>3123</v>
      </c>
      <c r="E189" s="213">
        <f t="shared" si="22"/>
        <v>104.30779169360216</v>
      </c>
      <c r="F189" s="64">
        <f t="shared" si="23"/>
        <v>2.2536527349231137</v>
      </c>
      <c r="G189" s="291">
        <f t="shared" si="24"/>
        <v>48.767136253360654</v>
      </c>
      <c r="H189" s="291">
        <f t="shared" si="25"/>
        <v>34.881972393300273</v>
      </c>
      <c r="I189" s="291">
        <f t="shared" si="26"/>
        <v>11.74003262653298</v>
      </c>
      <c r="J189" s="291">
        <f t="shared" si="27"/>
        <v>0</v>
      </c>
      <c r="K189" s="292">
        <f t="shared" si="28"/>
        <v>22.218369553193163</v>
      </c>
      <c r="L189" s="59">
        <f>K189*D189*'B) D RI'!S191</f>
        <v>3677562.310074979</v>
      </c>
      <c r="M189" s="15">
        <f>(('B) D RI'!S191*C189)-(L189*$M$4))/'B) D RI'!S191</f>
        <v>280651.05418461503</v>
      </c>
      <c r="N189" s="281">
        <f t="shared" si="29"/>
        <v>89.865851484026592</v>
      </c>
      <c r="O189" s="64">
        <f t="shared" si="30"/>
        <v>2.0062569412896911</v>
      </c>
      <c r="R189" s="13"/>
    </row>
    <row r="190" spans="1:18" x14ac:dyDescent="0.25">
      <c r="A190" s="326">
        <f>'A) Base RI'!A192</f>
        <v>5713</v>
      </c>
      <c r="B190" s="34" t="str">
        <f>'A) Base RI'!B192</f>
        <v>Crans-près-Céligny</v>
      </c>
      <c r="C190" s="324">
        <f>'B) D RI'!U192</f>
        <v>239255.01584905662</v>
      </c>
      <c r="D190" s="34">
        <f>'B) D RI'!AR192</f>
        <v>2177</v>
      </c>
      <c r="E190" s="213">
        <f t="shared" si="22"/>
        <v>109.90124751908894</v>
      </c>
      <c r="F190" s="64">
        <f t="shared" si="23"/>
        <v>2.3745037932583188</v>
      </c>
      <c r="G190" s="291">
        <f t="shared" si="24"/>
        <v>54.360592078847439</v>
      </c>
      <c r="H190" s="291">
        <f t="shared" si="25"/>
        <v>40.475428218787059</v>
      </c>
      <c r="I190" s="291">
        <f t="shared" si="26"/>
        <v>17.333488452019765</v>
      </c>
      <c r="J190" s="291">
        <f t="shared" si="27"/>
        <v>0</v>
      </c>
      <c r="K190" s="292">
        <f t="shared" si="28"/>
        <v>25.350704815465761</v>
      </c>
      <c r="L190" s="59">
        <f>K190*D190*'B) D RI'!S192</f>
        <v>2924989.6723132548</v>
      </c>
      <c r="M190" s="15">
        <f>(('B) D RI'!S192*C190)-(L190*$M$4))/'B) D RI'!S192</f>
        <v>203382.5009999318</v>
      </c>
      <c r="N190" s="281">
        <f t="shared" si="29"/>
        <v>93.423289389036199</v>
      </c>
      <c r="O190" s="64">
        <f t="shared" si="30"/>
        <v>2.0856768140474893</v>
      </c>
      <c r="R190" s="13"/>
    </row>
    <row r="191" spans="1:18" x14ac:dyDescent="0.25">
      <c r="A191" s="326">
        <f>'A) Base RI'!A193</f>
        <v>5714</v>
      </c>
      <c r="B191" s="34" t="str">
        <f>'A) Base RI'!B193</f>
        <v>Crassier</v>
      </c>
      <c r="C191" s="324">
        <f>'B) D RI'!U193</f>
        <v>82327.162031250002</v>
      </c>
      <c r="D191" s="34">
        <f>'B) D RI'!AR193</f>
        <v>1161</v>
      </c>
      <c r="E191" s="213">
        <f t="shared" si="22"/>
        <v>70.910561611757103</v>
      </c>
      <c r="F191" s="64">
        <f t="shared" si="23"/>
        <v>1.5320790375918998</v>
      </c>
      <c r="G191" s="291">
        <f t="shared" si="24"/>
        <v>15.369906171515602</v>
      </c>
      <c r="H191" s="291">
        <f t="shared" si="25"/>
        <v>1.4847423114552214</v>
      </c>
      <c r="I191" s="291">
        <f t="shared" si="26"/>
        <v>0</v>
      </c>
      <c r="J191" s="291">
        <f t="shared" si="27"/>
        <v>0</v>
      </c>
      <c r="K191" s="292">
        <f t="shared" si="28"/>
        <v>5.6816404528911395</v>
      </c>
      <c r="L191" s="59">
        <f>K191*D191*'B) D RI'!S193</f>
        <v>422168.61221162323</v>
      </c>
      <c r="M191" s="15">
        <f>(('B) D RI'!S193*C191)-(L191*$M$4))/'B) D RI'!S193</f>
        <v>78039.512063475704</v>
      </c>
      <c r="N191" s="281">
        <f t="shared" si="29"/>
        <v>67.217495317377868</v>
      </c>
      <c r="O191" s="64">
        <f t="shared" si="30"/>
        <v>1.5006319344847789</v>
      </c>
      <c r="R191" s="13"/>
    </row>
    <row r="192" spans="1:18" x14ac:dyDescent="0.25">
      <c r="A192" s="326">
        <f>'A) Base RI'!A194</f>
        <v>5715</v>
      </c>
      <c r="B192" s="34" t="str">
        <f>'A) Base RI'!B194</f>
        <v>Duillier</v>
      </c>
      <c r="C192" s="324">
        <f>'B) D RI'!U194</f>
        <v>59384.712424242425</v>
      </c>
      <c r="D192" s="34">
        <f>'B) D RI'!AR194</f>
        <v>1078</v>
      </c>
      <c r="E192" s="213">
        <f t="shared" si="22"/>
        <v>55.087859391690564</v>
      </c>
      <c r="F192" s="64">
        <f t="shared" si="23"/>
        <v>1.1902169815254386</v>
      </c>
      <c r="G192" s="291">
        <f t="shared" si="24"/>
        <v>0</v>
      </c>
      <c r="H192" s="291">
        <f t="shared" si="25"/>
        <v>0</v>
      </c>
      <c r="I192" s="291">
        <f t="shared" si="26"/>
        <v>0</v>
      </c>
      <c r="J192" s="291">
        <f t="shared" si="27"/>
        <v>0</v>
      </c>
      <c r="K192" s="292">
        <f t="shared" si="28"/>
        <v>0</v>
      </c>
      <c r="L192" s="59">
        <f>K192*D192*'B) D RI'!S194</f>
        <v>0</v>
      </c>
      <c r="M192" s="15">
        <f>(('B) D RI'!S194*C192)-(L192*$M$4))/'B) D RI'!S194</f>
        <v>59384.712424242425</v>
      </c>
      <c r="N192" s="281">
        <f t="shared" si="29"/>
        <v>55.087859391690564</v>
      </c>
      <c r="O192" s="64">
        <f t="shared" si="30"/>
        <v>1.2298375685564431</v>
      </c>
      <c r="R192" s="13"/>
    </row>
    <row r="193" spans="1:18" x14ac:dyDescent="0.25">
      <c r="A193" s="326">
        <f>'A) Base RI'!A195</f>
        <v>5716</v>
      </c>
      <c r="B193" s="34" t="str">
        <f>'A) Base RI'!B195</f>
        <v>Eysins</v>
      </c>
      <c r="C193" s="324">
        <f>'B) D RI'!U195</f>
        <v>136046.47409836066</v>
      </c>
      <c r="D193" s="34">
        <f>'B) D RI'!AR195</f>
        <v>1603</v>
      </c>
      <c r="E193" s="213">
        <f t="shared" si="22"/>
        <v>84.869915220437093</v>
      </c>
      <c r="F193" s="64">
        <f t="shared" si="23"/>
        <v>1.8336819660708288</v>
      </c>
      <c r="G193" s="291">
        <f t="shared" si="24"/>
        <v>29.329259780195592</v>
      </c>
      <c r="H193" s="291">
        <f t="shared" si="25"/>
        <v>15.444095920135211</v>
      </c>
      <c r="I193" s="291">
        <f t="shared" si="26"/>
        <v>0</v>
      </c>
      <c r="J193" s="291">
        <f t="shared" si="27"/>
        <v>0</v>
      </c>
      <c r="K193" s="292">
        <f t="shared" si="28"/>
        <v>12.102943112883935</v>
      </c>
      <c r="L193" s="59">
        <f>K193*D193*'B) D RI'!S195</f>
        <v>1183462.0864071299</v>
      </c>
      <c r="M193" s="15">
        <f>(('B) D RI'!S195*C193)-(L193*$M$4))/'B) D RI'!S195</f>
        <v>123435.81252189125</v>
      </c>
      <c r="N193" s="281">
        <f t="shared" si="29"/>
        <v>77.003002197062543</v>
      </c>
      <c r="O193" s="64">
        <f t="shared" si="30"/>
        <v>1.7190935723283258</v>
      </c>
      <c r="R193" s="13"/>
    </row>
    <row r="194" spans="1:18" x14ac:dyDescent="0.25">
      <c r="A194" s="326">
        <f>'A) Base RI'!A196</f>
        <v>5717</v>
      </c>
      <c r="B194" s="34" t="str">
        <f>'A) Base RI'!B196</f>
        <v>Founex</v>
      </c>
      <c r="C194" s="324">
        <f>'B) D RI'!U196</f>
        <v>342145.93614035088</v>
      </c>
      <c r="D194" s="34">
        <f>'B) D RI'!AR196</f>
        <v>3788</v>
      </c>
      <c r="E194" s="213">
        <f t="shared" si="22"/>
        <v>90.323636784675529</v>
      </c>
      <c r="F194" s="64">
        <f t="shared" si="23"/>
        <v>1.9515139546422922</v>
      </c>
      <c r="G194" s="291">
        <f t="shared" si="24"/>
        <v>34.782981344434027</v>
      </c>
      <c r="H194" s="291">
        <f t="shared" si="25"/>
        <v>20.897817484373647</v>
      </c>
      <c r="I194" s="291">
        <f t="shared" si="26"/>
        <v>0</v>
      </c>
      <c r="J194" s="291">
        <f t="shared" si="27"/>
        <v>0</v>
      </c>
      <c r="K194" s="292">
        <f t="shared" si="28"/>
        <v>14.611655032433614</v>
      </c>
      <c r="L194" s="59">
        <f>K194*D194*'B) D RI'!S196</f>
        <v>3154890.1079829363</v>
      </c>
      <c r="M194" s="15">
        <f>(('B) D RI'!S196*C194)-(L194*$M$4))/'B) D RI'!S196</f>
        <v>306169.11911949283</v>
      </c>
      <c r="N194" s="281">
        <f t="shared" si="29"/>
        <v>80.826061013593673</v>
      </c>
      <c r="O194" s="64">
        <f t="shared" si="30"/>
        <v>1.8044434372766112</v>
      </c>
      <c r="R194" s="13"/>
    </row>
    <row r="195" spans="1:18" x14ac:dyDescent="0.25">
      <c r="A195" s="326">
        <f>'A) Base RI'!A197</f>
        <v>5718</v>
      </c>
      <c r="B195" s="34" t="str">
        <f>'A) Base RI'!B197</f>
        <v>Genolier</v>
      </c>
      <c r="C195" s="324">
        <f>'B) D RI'!U197</f>
        <v>180573.80690909096</v>
      </c>
      <c r="D195" s="34">
        <f>'B) D RI'!AR197</f>
        <v>1945</v>
      </c>
      <c r="E195" s="213">
        <f t="shared" si="22"/>
        <v>92.840003552231849</v>
      </c>
      <c r="F195" s="64">
        <f t="shared" si="23"/>
        <v>2.0058820584598016</v>
      </c>
      <c r="G195" s="291">
        <f t="shared" si="24"/>
        <v>37.299348111990348</v>
      </c>
      <c r="H195" s="291">
        <f t="shared" si="25"/>
        <v>23.414184251929967</v>
      </c>
      <c r="I195" s="291">
        <f t="shared" si="26"/>
        <v>0.2722444851626733</v>
      </c>
      <c r="J195" s="291">
        <f t="shared" si="27"/>
        <v>0</v>
      </c>
      <c r="K195" s="292">
        <f t="shared" si="28"/>
        <v>15.796408194025791</v>
      </c>
      <c r="L195" s="59">
        <f>K195*D195*'B) D RI'!S197</f>
        <v>1689820.7665559088</v>
      </c>
      <c r="M195" s="15">
        <f>(('B) D RI'!S197*C195)-(L195*$M$4))/'B) D RI'!S197</f>
        <v>160603.19784979385</v>
      </c>
      <c r="N195" s="281">
        <f t="shared" si="29"/>
        <v>82.572338226115093</v>
      </c>
      <c r="O195" s="64">
        <f t="shared" si="30"/>
        <v>1.8434291111580838</v>
      </c>
      <c r="R195" s="13"/>
    </row>
    <row r="196" spans="1:18" x14ac:dyDescent="0.25">
      <c r="A196" s="326">
        <f>'A) Base RI'!A198</f>
        <v>5719</v>
      </c>
      <c r="B196" s="34" t="str">
        <f>'A) Base RI'!B198</f>
        <v>Gingins</v>
      </c>
      <c r="C196" s="324">
        <f>'B) D RI'!U198</f>
        <v>131481.24994152045</v>
      </c>
      <c r="D196" s="34">
        <f>'B) D RI'!AR198</f>
        <v>1212</v>
      </c>
      <c r="E196" s="213">
        <f t="shared" si="22"/>
        <v>108.48287948970334</v>
      </c>
      <c r="F196" s="64">
        <f t="shared" si="23"/>
        <v>2.3438588247794354</v>
      </c>
      <c r="G196" s="291">
        <f t="shared" si="24"/>
        <v>52.942224049461835</v>
      </c>
      <c r="H196" s="291">
        <f t="shared" si="25"/>
        <v>39.057060189401454</v>
      </c>
      <c r="I196" s="291">
        <f t="shared" si="26"/>
        <v>15.91512042263416</v>
      </c>
      <c r="J196" s="291">
        <f t="shared" si="27"/>
        <v>0</v>
      </c>
      <c r="K196" s="292">
        <f t="shared" si="28"/>
        <v>24.556418719009827</v>
      </c>
      <c r="L196" s="59">
        <f>K196*D196*'B) D RI'!S198</f>
        <v>1696455.6307840748</v>
      </c>
      <c r="M196" s="15">
        <f>(('B) D RI'!S198*C196)-(L196*$M$4))/'B) D RI'!S198</f>
        <v>112135.70327468452</v>
      </c>
      <c r="N196" s="281">
        <f t="shared" si="29"/>
        <v>92.521207322346967</v>
      </c>
      <c r="O196" s="64">
        <f t="shared" si="30"/>
        <v>2.0655378137707276</v>
      </c>
      <c r="R196" s="13"/>
    </row>
    <row r="197" spans="1:18" x14ac:dyDescent="0.25">
      <c r="A197" s="326">
        <f>'A) Base RI'!A199</f>
        <v>5720</v>
      </c>
      <c r="B197" s="34" t="str">
        <f>'A) Base RI'!B199</f>
        <v>Givrins</v>
      </c>
      <c r="C197" s="324">
        <f>'B) D RI'!U199</f>
        <v>72468.135774134775</v>
      </c>
      <c r="D197" s="34">
        <f>'B) D RI'!AR199</f>
        <v>995</v>
      </c>
      <c r="E197" s="213">
        <f t="shared" si="22"/>
        <v>72.83229726043696</v>
      </c>
      <c r="F197" s="64">
        <f t="shared" si="23"/>
        <v>1.5735996635214415</v>
      </c>
      <c r="G197" s="291">
        <f t="shared" si="24"/>
        <v>17.291641820195458</v>
      </c>
      <c r="H197" s="291">
        <f t="shared" si="25"/>
        <v>3.4064779601350779</v>
      </c>
      <c r="I197" s="291">
        <f t="shared" si="26"/>
        <v>0</v>
      </c>
      <c r="J197" s="291">
        <f t="shared" si="27"/>
        <v>0</v>
      </c>
      <c r="K197" s="292">
        <f t="shared" si="28"/>
        <v>6.5656388512838735</v>
      </c>
      <c r="L197" s="59">
        <f>K197*D197*'B) D RI'!S199</f>
        <v>398501.45007867471</v>
      </c>
      <c r="M197" s="15">
        <f>(('B) D RI'!S199*C197)-(L197*$M$4))/'B) D RI'!S199</f>
        <v>68221.808847066932</v>
      </c>
      <c r="N197" s="281">
        <f t="shared" si="29"/>
        <v>68.564632007102446</v>
      </c>
      <c r="O197" s="64">
        <f t="shared" si="30"/>
        <v>1.5307067881693994</v>
      </c>
      <c r="R197" s="13"/>
    </row>
    <row r="198" spans="1:18" x14ac:dyDescent="0.25">
      <c r="A198" s="326">
        <f>'A) Base RI'!A200</f>
        <v>5721</v>
      </c>
      <c r="B198" s="34" t="str">
        <f>'A) Base RI'!B200</f>
        <v>Gland</v>
      </c>
      <c r="C198" s="324">
        <f>'B) D RI'!U200</f>
        <v>601947.88112000003</v>
      </c>
      <c r="D198" s="34">
        <f>'B) D RI'!AR200</f>
        <v>13081</v>
      </c>
      <c r="E198" s="213">
        <f t="shared" ref="E198:E261" si="31">C198/D198</f>
        <v>46.016962091583217</v>
      </c>
      <c r="F198" s="64">
        <f t="shared" ref="F198:F261" si="32">E198/$E$314</f>
        <v>0.99423303654228079</v>
      </c>
      <c r="G198" s="291">
        <f t="shared" ref="G198:G261" si="33">IF(E198-$G$2&lt;0,0,E198-$G$2)</f>
        <v>0</v>
      </c>
      <c r="H198" s="291">
        <f t="shared" ref="H198:H261" si="34">IF(E198-$H$2&lt;0,0,E198-$H$2)</f>
        <v>0</v>
      </c>
      <c r="I198" s="291">
        <f t="shared" ref="I198:I261" si="35">IF(E198-$I$2&lt;0,0,E198-$I$2)</f>
        <v>0</v>
      </c>
      <c r="J198" s="291">
        <f t="shared" ref="J198:J261" si="36">IF(E198-$J$2&lt;0,0,E198-$J$2)</f>
        <v>0</v>
      </c>
      <c r="K198" s="292">
        <f t="shared" ref="K198:K261" si="37">(G198-H198)*$G$3+(H198-I198)*$H$3+(I198-J198)*$I$3+(J198*$J$3)</f>
        <v>0</v>
      </c>
      <c r="L198" s="59">
        <f>K198*D198*'B) D RI'!S200</f>
        <v>0</v>
      </c>
      <c r="M198" s="15">
        <f>(('B) D RI'!S200*C198)-(L198*$M$4))/'B) D RI'!S200</f>
        <v>601947.88112000003</v>
      </c>
      <c r="N198" s="281">
        <f t="shared" ref="N198:N261" si="38">M198/D198</f>
        <v>46.016962091583217</v>
      </c>
      <c r="O198" s="64">
        <f t="shared" ref="O198:O261" si="39">N198/N$314</f>
        <v>1.0273296039454249</v>
      </c>
      <c r="R198" s="13"/>
    </row>
    <row r="199" spans="1:18" x14ac:dyDescent="0.25">
      <c r="A199" s="326">
        <f>'A) Base RI'!A201</f>
        <v>5722</v>
      </c>
      <c r="B199" s="34" t="str">
        <f>'A) Base RI'!B201</f>
        <v>Grens</v>
      </c>
      <c r="C199" s="324">
        <f>'B) D RI'!U201</f>
        <v>25305.525322580648</v>
      </c>
      <c r="D199" s="34">
        <f>'B) D RI'!AR201</f>
        <v>382</v>
      </c>
      <c r="E199" s="213">
        <f t="shared" si="31"/>
        <v>66.244830687383896</v>
      </c>
      <c r="F199" s="64">
        <f t="shared" si="32"/>
        <v>1.4312722130258499</v>
      </c>
      <c r="G199" s="291">
        <f t="shared" si="33"/>
        <v>10.704175247142395</v>
      </c>
      <c r="H199" s="291">
        <f t="shared" si="34"/>
        <v>0</v>
      </c>
      <c r="I199" s="291">
        <f t="shared" si="35"/>
        <v>0</v>
      </c>
      <c r="J199" s="291">
        <f t="shared" si="36"/>
        <v>0</v>
      </c>
      <c r="K199" s="292">
        <f t="shared" si="37"/>
        <v>3.8535030889712618</v>
      </c>
      <c r="L199" s="59">
        <f>K199*D199*'B) D RI'!S201</f>
        <v>91266.367159195361</v>
      </c>
      <c r="M199" s="15">
        <f>(('B) D RI'!S201*C199)-(L199*$M$4))/'B) D RI'!S201</f>
        <v>24348.700505589088</v>
      </c>
      <c r="N199" s="281">
        <f t="shared" si="38"/>
        <v>63.740053679552588</v>
      </c>
      <c r="O199" s="64">
        <f t="shared" si="39"/>
        <v>1.4229979800003345</v>
      </c>
      <c r="R199" s="13"/>
    </row>
    <row r="200" spans="1:18" x14ac:dyDescent="0.25">
      <c r="A200" s="326">
        <f>'A) Base RI'!A202</f>
        <v>5723</v>
      </c>
      <c r="B200" s="34" t="str">
        <f>'A) Base RI'!B202</f>
        <v>Mies</v>
      </c>
      <c r="C200" s="324">
        <f>'B) D RI'!U202</f>
        <v>444775.70673469378</v>
      </c>
      <c r="D200" s="34">
        <f>'B) D RI'!AR202</f>
        <v>2037</v>
      </c>
      <c r="E200" s="213">
        <f t="shared" si="31"/>
        <v>218.34840782262827</v>
      </c>
      <c r="F200" s="64">
        <f t="shared" si="32"/>
        <v>4.7175908766339649</v>
      </c>
      <c r="G200" s="291">
        <f t="shared" si="33"/>
        <v>162.80775238238678</v>
      </c>
      <c r="H200" s="291">
        <f t="shared" si="34"/>
        <v>148.92258852232641</v>
      </c>
      <c r="I200" s="291">
        <f t="shared" si="35"/>
        <v>125.7806487555591</v>
      </c>
      <c r="J200" s="291">
        <f t="shared" si="36"/>
        <v>79.496769222024511</v>
      </c>
      <c r="K200" s="292">
        <f t="shared" si="37"/>
        <v>94.03079150765025</v>
      </c>
      <c r="L200" s="59">
        <f>K200*D200*'B) D RI'!S202</f>
        <v>9385495.3927530944</v>
      </c>
      <c r="M200" s="15">
        <f>(('B) D RI'!S202*C200)-(L200*$M$4))/'B) D RI'!S202</f>
        <v>320274.23723898944</v>
      </c>
      <c r="N200" s="281">
        <f t="shared" si="38"/>
        <v>157.22839334265561</v>
      </c>
      <c r="O200" s="64">
        <f t="shared" si="39"/>
        <v>3.5101270427243141</v>
      </c>
      <c r="R200" s="13"/>
    </row>
    <row r="201" spans="1:18" x14ac:dyDescent="0.25">
      <c r="A201" s="326">
        <f>'A) Base RI'!A203</f>
        <v>5724</v>
      </c>
      <c r="B201" s="34" t="str">
        <f>'A) Base RI'!B203</f>
        <v>Nyon</v>
      </c>
      <c r="C201" s="324">
        <f>'B) D RI'!U203</f>
        <v>1315531.3963430012</v>
      </c>
      <c r="D201" s="34">
        <f>'B) D RI'!AR203</f>
        <v>20551</v>
      </c>
      <c r="E201" s="213">
        <f t="shared" si="31"/>
        <v>64.013011354338047</v>
      </c>
      <c r="F201" s="64">
        <f t="shared" si="32"/>
        <v>1.3830519826661887</v>
      </c>
      <c r="G201" s="291">
        <f t="shared" si="33"/>
        <v>8.4723559140965463</v>
      </c>
      <c r="H201" s="291">
        <f t="shared" si="34"/>
        <v>0</v>
      </c>
      <c r="I201" s="291">
        <f t="shared" si="35"/>
        <v>0</v>
      </c>
      <c r="J201" s="291">
        <f t="shared" si="36"/>
        <v>0</v>
      </c>
      <c r="K201" s="292">
        <f t="shared" si="37"/>
        <v>3.0500481290747565</v>
      </c>
      <c r="L201" s="59">
        <f>K201*D201*'B) D RI'!S203</f>
        <v>3823573.8851375347</v>
      </c>
      <c r="M201" s="15">
        <f>(('B) D RI'!S203*C201)-(L201*$M$4))/'B) D RI'!S203</f>
        <v>1274788.3959276013</v>
      </c>
      <c r="N201" s="281">
        <f t="shared" si="38"/>
        <v>62.030480070439459</v>
      </c>
      <c r="O201" s="64">
        <f t="shared" si="39"/>
        <v>1.3848317148029416</v>
      </c>
      <c r="R201" s="13"/>
    </row>
    <row r="202" spans="1:18" x14ac:dyDescent="0.25">
      <c r="A202" s="326">
        <f>'A) Base RI'!A204</f>
        <v>5725</v>
      </c>
      <c r="B202" s="34" t="str">
        <f>'A) Base RI'!B204</f>
        <v>Prangins</v>
      </c>
      <c r="C202" s="324">
        <f>'B) D RI'!U204</f>
        <v>298233.5752040816</v>
      </c>
      <c r="D202" s="34">
        <f>'B) D RI'!AR204</f>
        <v>4069</v>
      </c>
      <c r="E202" s="213">
        <f t="shared" si="31"/>
        <v>73.29407107497704</v>
      </c>
      <c r="F202" s="64">
        <f t="shared" si="32"/>
        <v>1.5835766537649993</v>
      </c>
      <c r="G202" s="291">
        <f t="shared" si="33"/>
        <v>17.753415634735539</v>
      </c>
      <c r="H202" s="291">
        <f t="shared" si="34"/>
        <v>3.8682517746751586</v>
      </c>
      <c r="I202" s="291">
        <f t="shared" si="35"/>
        <v>0</v>
      </c>
      <c r="J202" s="291">
        <f t="shared" si="36"/>
        <v>0</v>
      </c>
      <c r="K202" s="292">
        <f t="shared" si="37"/>
        <v>6.7780548059723102</v>
      </c>
      <c r="L202" s="59">
        <f>K202*D202*'B) D RI'!S204</f>
        <v>1544474.6803080747</v>
      </c>
      <c r="M202" s="15">
        <f>(('B) D RI'!S204*C202)-(L202*$M$4))/'B) D RI'!S204</f>
        <v>280306.63695050572</v>
      </c>
      <c r="N202" s="281">
        <f t="shared" si="38"/>
        <v>68.888335451095045</v>
      </c>
      <c r="O202" s="64">
        <f t="shared" si="39"/>
        <v>1.5379334740651533</v>
      </c>
      <c r="R202" s="13"/>
    </row>
    <row r="203" spans="1:18" x14ac:dyDescent="0.25">
      <c r="A203" s="326">
        <f>'A) Base RI'!A205</f>
        <v>5726</v>
      </c>
      <c r="B203" s="34" t="str">
        <f>'A) Base RI'!B205</f>
        <v>La Rippe</v>
      </c>
      <c r="C203" s="324">
        <f>'B) D RI'!U205</f>
        <v>56867.973846153851</v>
      </c>
      <c r="D203" s="34">
        <f>'B) D RI'!AR205</f>
        <v>1164</v>
      </c>
      <c r="E203" s="213">
        <f t="shared" si="31"/>
        <v>48.855647634152795</v>
      </c>
      <c r="F203" s="64">
        <f t="shared" si="32"/>
        <v>1.0555650936468033</v>
      </c>
      <c r="G203" s="291">
        <f t="shared" si="33"/>
        <v>0</v>
      </c>
      <c r="H203" s="291">
        <f t="shared" si="34"/>
        <v>0</v>
      </c>
      <c r="I203" s="291">
        <f t="shared" si="35"/>
        <v>0</v>
      </c>
      <c r="J203" s="291">
        <f t="shared" si="36"/>
        <v>0</v>
      </c>
      <c r="K203" s="292">
        <f t="shared" si="37"/>
        <v>0</v>
      </c>
      <c r="L203" s="59">
        <f>K203*D203*'B) D RI'!S205</f>
        <v>0</v>
      </c>
      <c r="M203" s="15">
        <f>(('B) D RI'!S205*C203)-(L203*$M$4))/'B) D RI'!S205</f>
        <v>56867.973846153851</v>
      </c>
      <c r="N203" s="281">
        <f t="shared" si="38"/>
        <v>48.855647634152795</v>
      </c>
      <c r="O203" s="64">
        <f t="shared" si="39"/>
        <v>1.0907033157599866</v>
      </c>
      <c r="R203" s="13"/>
    </row>
    <row r="204" spans="1:18" x14ac:dyDescent="0.25">
      <c r="A204" s="326">
        <f>'A) Base RI'!A206</f>
        <v>5727</v>
      </c>
      <c r="B204" s="34" t="str">
        <f>'A) Base RI'!B206</f>
        <v>Saint-Cergue</v>
      </c>
      <c r="C204" s="324">
        <f>'B) D RI'!U206</f>
        <v>100488.23186868687</v>
      </c>
      <c r="D204" s="34">
        <f>'B) D RI'!AR206</f>
        <v>2559</v>
      </c>
      <c r="E204" s="213">
        <f t="shared" si="31"/>
        <v>39.268554852945236</v>
      </c>
      <c r="F204" s="64">
        <f t="shared" si="32"/>
        <v>0.84842833506412407</v>
      </c>
      <c r="G204" s="291">
        <f t="shared" si="33"/>
        <v>0</v>
      </c>
      <c r="H204" s="291">
        <f t="shared" si="34"/>
        <v>0</v>
      </c>
      <c r="I204" s="291">
        <f t="shared" si="35"/>
        <v>0</v>
      </c>
      <c r="J204" s="291">
        <f t="shared" si="36"/>
        <v>0</v>
      </c>
      <c r="K204" s="292">
        <f t="shared" si="37"/>
        <v>0</v>
      </c>
      <c r="L204" s="59">
        <f>K204*D204*'B) D RI'!S206</f>
        <v>0</v>
      </c>
      <c r="M204" s="15">
        <f>(('B) D RI'!S206*C204)-(L204*$M$4))/'B) D RI'!S206</f>
        <v>100488.23186868687</v>
      </c>
      <c r="N204" s="281">
        <f t="shared" si="38"/>
        <v>39.268554852945236</v>
      </c>
      <c r="O204" s="64">
        <f t="shared" si="39"/>
        <v>0.87667127665440081</v>
      </c>
      <c r="R204" s="13"/>
    </row>
    <row r="205" spans="1:18" x14ac:dyDescent="0.25">
      <c r="A205" s="326">
        <f>'A) Base RI'!A207</f>
        <v>5728</v>
      </c>
      <c r="B205" s="34" t="str">
        <f>'A) Base RI'!B207</f>
        <v>Signy-Avenex</v>
      </c>
      <c r="C205" s="324">
        <f>'B) D RI'!U207</f>
        <v>39144.261206896554</v>
      </c>
      <c r="D205" s="34">
        <f>'B) D RI'!AR207</f>
        <v>567</v>
      </c>
      <c r="E205" s="213">
        <f t="shared" si="31"/>
        <v>69.037497719394281</v>
      </c>
      <c r="F205" s="64">
        <f t="shared" si="32"/>
        <v>1.4916100036379567</v>
      </c>
      <c r="G205" s="291">
        <f t="shared" si="33"/>
        <v>13.49684227915278</v>
      </c>
      <c r="H205" s="291">
        <f t="shared" si="34"/>
        <v>0</v>
      </c>
      <c r="I205" s="291">
        <f t="shared" si="35"/>
        <v>0</v>
      </c>
      <c r="J205" s="291">
        <f t="shared" si="36"/>
        <v>0</v>
      </c>
      <c r="K205" s="292">
        <f t="shared" si="37"/>
        <v>4.8588632204950004</v>
      </c>
      <c r="L205" s="59">
        <f>K205*D205*'B) D RI'!S207</f>
        <v>159788.5758691986</v>
      </c>
      <c r="M205" s="15">
        <f>(('B) D RI'!S207*C205)-(L205*$M$4))/'B) D RI'!S207</f>
        <v>37353.52716698312</v>
      </c>
      <c r="N205" s="281">
        <f t="shared" si="38"/>
        <v>65.879236626072526</v>
      </c>
      <c r="O205" s="64">
        <f t="shared" si="39"/>
        <v>1.4707552822933752</v>
      </c>
      <c r="R205" s="13"/>
    </row>
    <row r="206" spans="1:18" x14ac:dyDescent="0.25">
      <c r="A206" s="326">
        <f>'A) Base RI'!A208</f>
        <v>5729</v>
      </c>
      <c r="B206" s="34" t="str">
        <f>'A) Base RI'!B208</f>
        <v>Tannay</v>
      </c>
      <c r="C206" s="324">
        <f>'B) D RI'!U208</f>
        <v>175758.22994535521</v>
      </c>
      <c r="D206" s="34">
        <f>'B) D RI'!AR208</f>
        <v>1585</v>
      </c>
      <c r="E206" s="213">
        <f t="shared" si="31"/>
        <v>110.88847315164367</v>
      </c>
      <c r="F206" s="64">
        <f t="shared" si="32"/>
        <v>2.3958335876166208</v>
      </c>
      <c r="G206" s="291">
        <f t="shared" si="33"/>
        <v>55.347817711402165</v>
      </c>
      <c r="H206" s="291">
        <f t="shared" si="34"/>
        <v>41.462653851341784</v>
      </c>
      <c r="I206" s="291">
        <f t="shared" si="35"/>
        <v>18.32071408457449</v>
      </c>
      <c r="J206" s="291">
        <f t="shared" si="36"/>
        <v>0</v>
      </c>
      <c r="K206" s="292">
        <f t="shared" si="37"/>
        <v>25.90355116969641</v>
      </c>
      <c r="L206" s="59">
        <f>K206*D206*'B) D RI'!S208</f>
        <v>2504484.8448420977</v>
      </c>
      <c r="M206" s="15">
        <f>(('B) D RI'!S208*C206)-(L206*$M$4))/'B) D RI'!S208</f>
        <v>149071.09635277546</v>
      </c>
      <c r="N206" s="281">
        <f t="shared" si="38"/>
        <v>94.051164891340989</v>
      </c>
      <c r="O206" s="64">
        <f t="shared" si="39"/>
        <v>2.0996941472609696</v>
      </c>
      <c r="R206" s="13"/>
    </row>
    <row r="207" spans="1:18" x14ac:dyDescent="0.25">
      <c r="A207" s="326">
        <f>'A) Base RI'!A209</f>
        <v>5730</v>
      </c>
      <c r="B207" s="34" t="str">
        <f>'A) Base RI'!B209</f>
        <v>Trélex</v>
      </c>
      <c r="C207" s="324">
        <f>'B) D RI'!U209</f>
        <v>105206.62530214424</v>
      </c>
      <c r="D207" s="34">
        <f>'B) D RI'!AR209</f>
        <v>1405</v>
      </c>
      <c r="E207" s="213">
        <f t="shared" si="31"/>
        <v>74.88016035739804</v>
      </c>
      <c r="F207" s="64">
        <f t="shared" si="32"/>
        <v>1.6178453732069773</v>
      </c>
      <c r="G207" s="291">
        <f t="shared" si="33"/>
        <v>19.339504917156539</v>
      </c>
      <c r="H207" s="291">
        <f t="shared" si="34"/>
        <v>5.4543410570961584</v>
      </c>
      <c r="I207" s="291">
        <f t="shared" si="35"/>
        <v>0</v>
      </c>
      <c r="J207" s="291">
        <f t="shared" si="36"/>
        <v>0</v>
      </c>
      <c r="K207" s="292">
        <f t="shared" si="37"/>
        <v>7.5076558758859697</v>
      </c>
      <c r="L207" s="59">
        <f>K207*D207*'B) D RI'!S209</f>
        <v>601250.62082032789</v>
      </c>
      <c r="M207" s="15">
        <f>(('B) D RI'!S209*C207)-(L207*$M$4))/'B) D RI'!S209</f>
        <v>98350.258573491388</v>
      </c>
      <c r="N207" s="281">
        <f t="shared" si="38"/>
        <v>70.000184038072163</v>
      </c>
      <c r="O207" s="64">
        <f t="shared" si="39"/>
        <v>1.5627555161250617</v>
      </c>
      <c r="R207" s="13"/>
    </row>
    <row r="208" spans="1:18" x14ac:dyDescent="0.25">
      <c r="A208" s="326">
        <f>'A) Base RI'!A210</f>
        <v>5731</v>
      </c>
      <c r="B208" s="34" t="str">
        <f>'A) Base RI'!B210</f>
        <v>Le Vaud</v>
      </c>
      <c r="C208" s="324">
        <f>'B) D RI'!U210</f>
        <v>50893.333199999994</v>
      </c>
      <c r="D208" s="34">
        <f>'B) D RI'!AR210</f>
        <v>1283</v>
      </c>
      <c r="E208" s="213">
        <f t="shared" si="31"/>
        <v>39.667445985970375</v>
      </c>
      <c r="F208" s="64">
        <f t="shared" si="32"/>
        <v>0.85704669499949038</v>
      </c>
      <c r="G208" s="291">
        <f t="shared" si="33"/>
        <v>0</v>
      </c>
      <c r="H208" s="291">
        <f t="shared" si="34"/>
        <v>0</v>
      </c>
      <c r="I208" s="291">
        <f t="shared" si="35"/>
        <v>0</v>
      </c>
      <c r="J208" s="291">
        <f t="shared" si="36"/>
        <v>0</v>
      </c>
      <c r="K208" s="292">
        <f t="shared" si="37"/>
        <v>0</v>
      </c>
      <c r="L208" s="59">
        <f>K208*D208*'B) D RI'!S210</f>
        <v>0</v>
      </c>
      <c r="M208" s="15">
        <f>(('B) D RI'!S210*C208)-(L208*$M$4))/'B) D RI'!S210</f>
        <v>50893.333199999994</v>
      </c>
      <c r="N208" s="281">
        <f t="shared" si="38"/>
        <v>39.667445985970375</v>
      </c>
      <c r="O208" s="64">
        <f t="shared" si="39"/>
        <v>0.88557652921958496</v>
      </c>
      <c r="R208" s="13"/>
    </row>
    <row r="209" spans="1:18" x14ac:dyDescent="0.25">
      <c r="A209" s="326">
        <f>'A) Base RI'!A211</f>
        <v>5732</v>
      </c>
      <c r="B209" s="34" t="str">
        <f>'A) Base RI'!B211</f>
        <v>Vich</v>
      </c>
      <c r="C209" s="324">
        <f>'B) D RI'!U211</f>
        <v>63381.263823529407</v>
      </c>
      <c r="D209" s="34">
        <f>'B) D RI'!AR211</f>
        <v>1026</v>
      </c>
      <c r="E209" s="213">
        <f t="shared" si="31"/>
        <v>61.77511093911248</v>
      </c>
      <c r="F209" s="64">
        <f t="shared" si="32"/>
        <v>1.3347003656932832</v>
      </c>
      <c r="G209" s="291">
        <f t="shared" si="33"/>
        <v>6.2344554988709788</v>
      </c>
      <c r="H209" s="291">
        <f t="shared" si="34"/>
        <v>0</v>
      </c>
      <c r="I209" s="291">
        <f t="shared" si="35"/>
        <v>0</v>
      </c>
      <c r="J209" s="291">
        <f t="shared" si="36"/>
        <v>0</v>
      </c>
      <c r="K209" s="292">
        <f t="shared" si="37"/>
        <v>2.2444039795935522</v>
      </c>
      <c r="L209" s="59">
        <f>K209*D209*'B) D RI'!S211</f>
        <v>156587.57684828294</v>
      </c>
      <c r="M209" s="15">
        <f>(('B) D RI'!S211*C209)-(L209*$M$4))/'B) D RI'!S211</f>
        <v>61884.470809538463</v>
      </c>
      <c r="N209" s="281">
        <f t="shared" si="38"/>
        <v>60.316248352376668</v>
      </c>
      <c r="O209" s="64">
        <f t="shared" si="39"/>
        <v>1.3465614572295881</v>
      </c>
      <c r="R209" s="13"/>
    </row>
    <row r="210" spans="1:18" x14ac:dyDescent="0.25">
      <c r="A210" s="326">
        <f>'A) Base RI'!A212</f>
        <v>5741</v>
      </c>
      <c r="B210" s="34" t="str">
        <f>'A) Base RI'!B212</f>
        <v>L'Abergement</v>
      </c>
      <c r="C210" s="324">
        <f>'B) D RI'!U212</f>
        <v>6650.8402880658423</v>
      </c>
      <c r="D210" s="34">
        <f>'B) D RI'!AR212</f>
        <v>237</v>
      </c>
      <c r="E210" s="213">
        <f t="shared" si="31"/>
        <v>28.062617249222964</v>
      </c>
      <c r="F210" s="64">
        <f t="shared" si="32"/>
        <v>0.6063151475642925</v>
      </c>
      <c r="G210" s="291">
        <f t="shared" si="33"/>
        <v>0</v>
      </c>
      <c r="H210" s="291">
        <f t="shared" si="34"/>
        <v>0</v>
      </c>
      <c r="I210" s="291">
        <f t="shared" si="35"/>
        <v>0</v>
      </c>
      <c r="J210" s="291">
        <f t="shared" si="36"/>
        <v>0</v>
      </c>
      <c r="K210" s="292">
        <f t="shared" si="37"/>
        <v>0</v>
      </c>
      <c r="L210" s="59">
        <f>K210*D210*'B) D RI'!S212</f>
        <v>0</v>
      </c>
      <c r="M210" s="15">
        <f>(('B) D RI'!S212*C210)-(L210*$M$4))/'B) D RI'!S212</f>
        <v>6650.8402880658423</v>
      </c>
      <c r="N210" s="281">
        <f t="shared" si="38"/>
        <v>28.062617249222964</v>
      </c>
      <c r="O210" s="64">
        <f t="shared" si="39"/>
        <v>0.62649849433649119</v>
      </c>
      <c r="R210" s="13"/>
    </row>
    <row r="211" spans="1:18" x14ac:dyDescent="0.25">
      <c r="A211" s="326">
        <f>'A) Base RI'!A213</f>
        <v>5742</v>
      </c>
      <c r="B211" s="34" t="str">
        <f>'A) Base RI'!B213</f>
        <v>Agiez</v>
      </c>
      <c r="C211" s="324">
        <f>'B) D RI'!U213</f>
        <v>9444.339473684211</v>
      </c>
      <c r="D211" s="34">
        <f>'B) D RI'!AR213</f>
        <v>314</v>
      </c>
      <c r="E211" s="213">
        <f t="shared" si="31"/>
        <v>30.077514247401947</v>
      </c>
      <c r="F211" s="64">
        <f t="shared" si="32"/>
        <v>0.64984859848685639</v>
      </c>
      <c r="G211" s="291">
        <f t="shared" si="33"/>
        <v>0</v>
      </c>
      <c r="H211" s="291">
        <f t="shared" si="34"/>
        <v>0</v>
      </c>
      <c r="I211" s="291">
        <f t="shared" si="35"/>
        <v>0</v>
      </c>
      <c r="J211" s="291">
        <f t="shared" si="36"/>
        <v>0</v>
      </c>
      <c r="K211" s="292">
        <f t="shared" si="37"/>
        <v>0</v>
      </c>
      <c r="L211" s="59">
        <f>K211*D211*'B) D RI'!S213</f>
        <v>0</v>
      </c>
      <c r="M211" s="15">
        <f>(('B) D RI'!S213*C211)-(L211*$M$4))/'B) D RI'!S213</f>
        <v>9444.339473684211</v>
      </c>
      <c r="N211" s="281">
        <f t="shared" si="38"/>
        <v>30.077514247401947</v>
      </c>
      <c r="O211" s="64">
        <f t="shared" si="39"/>
        <v>0.67148111033383551</v>
      </c>
      <c r="R211" s="13"/>
    </row>
    <row r="212" spans="1:18" x14ac:dyDescent="0.25">
      <c r="A212" s="326">
        <f>'A) Base RI'!A214</f>
        <v>5743</v>
      </c>
      <c r="B212" s="34" t="str">
        <f>'A) Base RI'!B214</f>
        <v>Arnex-sur-Orbe</v>
      </c>
      <c r="C212" s="324">
        <f>'B) D RI'!U214</f>
        <v>17668.924178082194</v>
      </c>
      <c r="D212" s="34">
        <f>'B) D RI'!AR214</f>
        <v>642</v>
      </c>
      <c r="E212" s="213">
        <f t="shared" si="31"/>
        <v>27.521688750906844</v>
      </c>
      <c r="F212" s="64">
        <f t="shared" si="32"/>
        <v>0.59462795747202302</v>
      </c>
      <c r="G212" s="291">
        <f t="shared" si="33"/>
        <v>0</v>
      </c>
      <c r="H212" s="291">
        <f t="shared" si="34"/>
        <v>0</v>
      </c>
      <c r="I212" s="291">
        <f t="shared" si="35"/>
        <v>0</v>
      </c>
      <c r="J212" s="291">
        <f t="shared" si="36"/>
        <v>0</v>
      </c>
      <c r="K212" s="292">
        <f t="shared" si="37"/>
        <v>0</v>
      </c>
      <c r="L212" s="59">
        <f>K212*D212*'B) D RI'!S214</f>
        <v>0</v>
      </c>
      <c r="M212" s="15">
        <f>(('B) D RI'!S214*C212)-(L212*$M$4))/'B) D RI'!S214</f>
        <v>17668.924178082194</v>
      </c>
      <c r="N212" s="281">
        <f t="shared" si="38"/>
        <v>27.521688750906844</v>
      </c>
      <c r="O212" s="64">
        <f t="shared" si="39"/>
        <v>0.61442225473527823</v>
      </c>
      <c r="R212" s="13"/>
    </row>
    <row r="213" spans="1:18" x14ac:dyDescent="0.25">
      <c r="A213" s="326">
        <f>'A) Base RI'!A215</f>
        <v>5744</v>
      </c>
      <c r="B213" s="34" t="str">
        <f>'A) Base RI'!B215</f>
        <v>Ballaigues</v>
      </c>
      <c r="C213" s="324">
        <f>'B) D RI'!U215</f>
        <v>60772.767121212128</v>
      </c>
      <c r="D213" s="34">
        <f>'B) D RI'!AR215</f>
        <v>1095</v>
      </c>
      <c r="E213" s="213">
        <f t="shared" si="31"/>
        <v>55.500243946312445</v>
      </c>
      <c r="F213" s="64">
        <f t="shared" si="32"/>
        <v>1.1991268775578809</v>
      </c>
      <c r="G213" s="291">
        <f t="shared" si="33"/>
        <v>0</v>
      </c>
      <c r="H213" s="291">
        <f t="shared" si="34"/>
        <v>0</v>
      </c>
      <c r="I213" s="291">
        <f t="shared" si="35"/>
        <v>0</v>
      </c>
      <c r="J213" s="291">
        <f t="shared" si="36"/>
        <v>0</v>
      </c>
      <c r="K213" s="292">
        <f t="shared" si="37"/>
        <v>0</v>
      </c>
      <c r="L213" s="59">
        <f>K213*D213*'B) D RI'!S215</f>
        <v>0</v>
      </c>
      <c r="M213" s="15">
        <f>(('B) D RI'!S215*C213)-(L213*$M$4))/'B) D RI'!S215</f>
        <v>60772.767121212128</v>
      </c>
      <c r="N213" s="281">
        <f t="shared" si="38"/>
        <v>55.500243946312445</v>
      </c>
      <c r="O213" s="64">
        <f t="shared" si="39"/>
        <v>1.2390440620300833</v>
      </c>
      <c r="R213" s="13"/>
    </row>
    <row r="214" spans="1:18" x14ac:dyDescent="0.25">
      <c r="A214" s="326">
        <f>'A) Base RI'!A216</f>
        <v>5745</v>
      </c>
      <c r="B214" s="34" t="str">
        <f>'A) Base RI'!B216</f>
        <v>Baulmes</v>
      </c>
      <c r="C214" s="324">
        <f>'B) D RI'!U216</f>
        <v>25719.773333333334</v>
      </c>
      <c r="D214" s="34">
        <f>'B) D RI'!AR216</f>
        <v>1053</v>
      </c>
      <c r="E214" s="213">
        <f t="shared" si="31"/>
        <v>24.425235834124724</v>
      </c>
      <c r="F214" s="64">
        <f t="shared" si="32"/>
        <v>0.52772663139501153</v>
      </c>
      <c r="G214" s="291">
        <f t="shared" si="33"/>
        <v>0</v>
      </c>
      <c r="H214" s="291">
        <f t="shared" si="34"/>
        <v>0</v>
      </c>
      <c r="I214" s="291">
        <f t="shared" si="35"/>
        <v>0</v>
      </c>
      <c r="J214" s="291">
        <f t="shared" si="36"/>
        <v>0</v>
      </c>
      <c r="K214" s="292">
        <f t="shared" si="37"/>
        <v>0</v>
      </c>
      <c r="L214" s="59">
        <f>K214*D214*'B) D RI'!S216</f>
        <v>0</v>
      </c>
      <c r="M214" s="15">
        <f>(('B) D RI'!S216*C214)-(L214*$M$4))/'B) D RI'!S216</f>
        <v>25719.773333333334</v>
      </c>
      <c r="N214" s="281">
        <f t="shared" si="38"/>
        <v>24.425235834124724</v>
      </c>
      <c r="O214" s="64">
        <f t="shared" si="39"/>
        <v>0.54529388110856136</v>
      </c>
      <c r="R214" s="13"/>
    </row>
    <row r="215" spans="1:18" x14ac:dyDescent="0.25">
      <c r="A215" s="326">
        <f>'A) Base RI'!A217</f>
        <v>5746</v>
      </c>
      <c r="B215" s="34" t="str">
        <f>'A) Base RI'!B217</f>
        <v>Bavois</v>
      </c>
      <c r="C215" s="324">
        <f>'B) D RI'!U217</f>
        <v>26078.686575342468</v>
      </c>
      <c r="D215" s="34">
        <f>'B) D RI'!AR217</f>
        <v>928</v>
      </c>
      <c r="E215" s="213">
        <f t="shared" si="31"/>
        <v>28.102032947567317</v>
      </c>
      <c r="F215" s="64">
        <f t="shared" si="32"/>
        <v>0.60716675505142625</v>
      </c>
      <c r="G215" s="291">
        <f t="shared" si="33"/>
        <v>0</v>
      </c>
      <c r="H215" s="291">
        <f t="shared" si="34"/>
        <v>0</v>
      </c>
      <c r="I215" s="291">
        <f t="shared" si="35"/>
        <v>0</v>
      </c>
      <c r="J215" s="291">
        <f t="shared" si="36"/>
        <v>0</v>
      </c>
      <c r="K215" s="292">
        <f t="shared" si="37"/>
        <v>0</v>
      </c>
      <c r="L215" s="59">
        <f>K215*D215*'B) D RI'!S217</f>
        <v>0</v>
      </c>
      <c r="M215" s="15">
        <f>(('B) D RI'!S217*C215)-(L215*$M$4))/'B) D RI'!S217</f>
        <v>26078.686575342468</v>
      </c>
      <c r="N215" s="281">
        <f t="shared" si="38"/>
        <v>28.102032947567317</v>
      </c>
      <c r="O215" s="64">
        <f t="shared" si="39"/>
        <v>0.62737845059454977</v>
      </c>
      <c r="R215" s="13"/>
    </row>
    <row r="216" spans="1:18" x14ac:dyDescent="0.25">
      <c r="A216" s="326">
        <f>'A) Base RI'!A218</f>
        <v>5747</v>
      </c>
      <c r="B216" s="34" t="str">
        <f>'A) Base RI'!B218</f>
        <v>Bofflens</v>
      </c>
      <c r="C216" s="324">
        <f>'B) D RI'!U218</f>
        <v>5407.3595652173908</v>
      </c>
      <c r="D216" s="34">
        <f>'B) D RI'!AR218</f>
        <v>191</v>
      </c>
      <c r="E216" s="213">
        <f t="shared" si="31"/>
        <v>28.310783063965395</v>
      </c>
      <c r="F216" s="64">
        <f t="shared" si="32"/>
        <v>0.61167696721388842</v>
      </c>
      <c r="G216" s="291">
        <f t="shared" si="33"/>
        <v>0</v>
      </c>
      <c r="H216" s="291">
        <f t="shared" si="34"/>
        <v>0</v>
      </c>
      <c r="I216" s="291">
        <f t="shared" si="35"/>
        <v>0</v>
      </c>
      <c r="J216" s="291">
        <f t="shared" si="36"/>
        <v>0</v>
      </c>
      <c r="K216" s="292">
        <f t="shared" si="37"/>
        <v>0</v>
      </c>
      <c r="L216" s="59">
        <f>K216*D216*'B) D RI'!S218</f>
        <v>0</v>
      </c>
      <c r="M216" s="15">
        <f>(('B) D RI'!S218*C216)-(L216*$M$4))/'B) D RI'!S218</f>
        <v>5407.3595652173908</v>
      </c>
      <c r="N216" s="281">
        <f t="shared" si="38"/>
        <v>28.310783063965395</v>
      </c>
      <c r="O216" s="64">
        <f t="shared" si="39"/>
        <v>0.63203880114041999</v>
      </c>
      <c r="R216" s="13"/>
    </row>
    <row r="217" spans="1:18" x14ac:dyDescent="0.25">
      <c r="A217" s="326">
        <f>'A) Base RI'!A219</f>
        <v>5748</v>
      </c>
      <c r="B217" s="34" t="str">
        <f>'A) Base RI'!B219</f>
        <v>Bretonnières</v>
      </c>
      <c r="C217" s="324">
        <f>'B) D RI'!U219</f>
        <v>7687.1286574074074</v>
      </c>
      <c r="D217" s="34">
        <f>'B) D RI'!AR219</f>
        <v>262</v>
      </c>
      <c r="E217" s="213">
        <f t="shared" si="31"/>
        <v>29.340185715295448</v>
      </c>
      <c r="F217" s="64">
        <f t="shared" si="32"/>
        <v>0.63391802958170929</v>
      </c>
      <c r="G217" s="291">
        <f t="shared" si="33"/>
        <v>0</v>
      </c>
      <c r="H217" s="291">
        <f t="shared" si="34"/>
        <v>0</v>
      </c>
      <c r="I217" s="291">
        <f t="shared" si="35"/>
        <v>0</v>
      </c>
      <c r="J217" s="291">
        <f t="shared" si="36"/>
        <v>0</v>
      </c>
      <c r="K217" s="292">
        <f t="shared" si="37"/>
        <v>0</v>
      </c>
      <c r="L217" s="59">
        <f>K217*D217*'B) D RI'!S219</f>
        <v>0</v>
      </c>
      <c r="M217" s="15">
        <f>(('B) D RI'!S219*C217)-(L217*$M$4))/'B) D RI'!S219</f>
        <v>7687.1286574074074</v>
      </c>
      <c r="N217" s="281">
        <f t="shared" si="38"/>
        <v>29.340185715295448</v>
      </c>
      <c r="O217" s="64">
        <f t="shared" si="39"/>
        <v>0.65502023602928905</v>
      </c>
      <c r="R217" s="13"/>
    </row>
    <row r="218" spans="1:18" x14ac:dyDescent="0.25">
      <c r="A218" s="326">
        <f>'A) Base RI'!A220</f>
        <v>5749</v>
      </c>
      <c r="B218" s="34" t="str">
        <f>'A) Base RI'!B220</f>
        <v>Chavornay</v>
      </c>
      <c r="C218" s="324">
        <f>'B) D RI'!U220</f>
        <v>136661.8213888889</v>
      </c>
      <c r="D218" s="34">
        <f>'B) D RI'!AR220</f>
        <v>4908</v>
      </c>
      <c r="E218" s="213">
        <f t="shared" si="31"/>
        <v>27.844706884451693</v>
      </c>
      <c r="F218" s="64">
        <f t="shared" si="32"/>
        <v>0.60160702095590435</v>
      </c>
      <c r="G218" s="291">
        <f t="shared" si="33"/>
        <v>0</v>
      </c>
      <c r="H218" s="291">
        <f t="shared" si="34"/>
        <v>0</v>
      </c>
      <c r="I218" s="291">
        <f t="shared" si="35"/>
        <v>0</v>
      </c>
      <c r="J218" s="291">
        <f t="shared" si="36"/>
        <v>0</v>
      </c>
      <c r="K218" s="292">
        <f t="shared" si="37"/>
        <v>0</v>
      </c>
      <c r="L218" s="59">
        <f>K218*D218*'B) D RI'!S220</f>
        <v>0</v>
      </c>
      <c r="M218" s="15">
        <f>(('B) D RI'!S220*C218)-(L218*$M$4))/'B) D RI'!S220</f>
        <v>136661.8213888889</v>
      </c>
      <c r="N218" s="281">
        <f t="shared" si="38"/>
        <v>27.844706884451693</v>
      </c>
      <c r="O218" s="64">
        <f t="shared" si="39"/>
        <v>0.62163364106150676</v>
      </c>
      <c r="R218" s="13"/>
    </row>
    <row r="219" spans="1:18" x14ac:dyDescent="0.25">
      <c r="A219" s="326">
        <f>'A) Base RI'!A221</f>
        <v>5750</v>
      </c>
      <c r="B219" s="34" t="str">
        <f>'A) Base RI'!B221</f>
        <v>Les Clées</v>
      </c>
      <c r="C219" s="324">
        <f>'B) D RI'!U221</f>
        <v>5052.5065833333338</v>
      </c>
      <c r="D219" s="34">
        <f>'B) D RI'!AR221</f>
        <v>181</v>
      </c>
      <c r="E219" s="213">
        <f t="shared" si="31"/>
        <v>27.914401012891346</v>
      </c>
      <c r="F219" s="64">
        <f t="shared" si="32"/>
        <v>0.60311281798809036</v>
      </c>
      <c r="G219" s="291">
        <f t="shared" si="33"/>
        <v>0</v>
      </c>
      <c r="H219" s="291">
        <f t="shared" si="34"/>
        <v>0</v>
      </c>
      <c r="I219" s="291">
        <f t="shared" si="35"/>
        <v>0</v>
      </c>
      <c r="J219" s="291">
        <f t="shared" si="36"/>
        <v>0</v>
      </c>
      <c r="K219" s="292">
        <f t="shared" si="37"/>
        <v>0</v>
      </c>
      <c r="L219" s="59">
        <f>K219*D219*'B) D RI'!S221</f>
        <v>0</v>
      </c>
      <c r="M219" s="15">
        <f>(('B) D RI'!S221*C219)-(L219*$M$4))/'B) D RI'!S221</f>
        <v>5052.5065833333338</v>
      </c>
      <c r="N219" s="281">
        <f t="shared" si="38"/>
        <v>27.914401012891346</v>
      </c>
      <c r="O219" s="64">
        <f t="shared" si="39"/>
        <v>0.62318956388024338</v>
      </c>
      <c r="R219" s="13"/>
    </row>
    <row r="220" spans="1:18" x14ac:dyDescent="0.25">
      <c r="A220" s="326">
        <f>'A) Base RI'!A222</f>
        <v>5752</v>
      </c>
      <c r="B220" s="34" t="str">
        <f>'A) Base RI'!B222</f>
        <v>Croy</v>
      </c>
      <c r="C220" s="324">
        <f>'B) D RI'!U222</f>
        <v>11188.496891891893</v>
      </c>
      <c r="D220" s="34">
        <f>'B) D RI'!AR222</f>
        <v>379</v>
      </c>
      <c r="E220" s="213">
        <f t="shared" si="31"/>
        <v>29.521099978606578</v>
      </c>
      <c r="F220" s="64">
        <f t="shared" si="32"/>
        <v>0.63782682601654683</v>
      </c>
      <c r="G220" s="291">
        <f t="shared" si="33"/>
        <v>0</v>
      </c>
      <c r="H220" s="291">
        <f t="shared" si="34"/>
        <v>0</v>
      </c>
      <c r="I220" s="291">
        <f t="shared" si="35"/>
        <v>0</v>
      </c>
      <c r="J220" s="291">
        <f t="shared" si="36"/>
        <v>0</v>
      </c>
      <c r="K220" s="292">
        <f t="shared" si="37"/>
        <v>0</v>
      </c>
      <c r="L220" s="59">
        <f>K220*D220*'B) D RI'!S222</f>
        <v>0</v>
      </c>
      <c r="M220" s="15">
        <f>(('B) D RI'!S222*C220)-(L220*$M$4))/'B) D RI'!S222</f>
        <v>11188.496891891893</v>
      </c>
      <c r="N220" s="281">
        <f t="shared" si="38"/>
        <v>29.521099978606578</v>
      </c>
      <c r="O220" s="64">
        <f t="shared" si="39"/>
        <v>0.65905915059530507</v>
      </c>
      <c r="R220" s="13"/>
    </row>
    <row r="221" spans="1:18" x14ac:dyDescent="0.25">
      <c r="A221" s="326">
        <f>'A) Base RI'!A223</f>
        <v>5754</v>
      </c>
      <c r="B221" s="34" t="str">
        <f>'A) Base RI'!B223</f>
        <v>Juriens</v>
      </c>
      <c r="C221" s="324">
        <f>'B) D RI'!U223</f>
        <v>8136.8400000000011</v>
      </c>
      <c r="D221" s="34">
        <f>'B) D RI'!AR223</f>
        <v>309</v>
      </c>
      <c r="E221" s="213">
        <f t="shared" si="31"/>
        <v>26.332815533980586</v>
      </c>
      <c r="F221" s="64">
        <f t="shared" si="32"/>
        <v>0.56894140680020933</v>
      </c>
      <c r="G221" s="291">
        <f t="shared" si="33"/>
        <v>0</v>
      </c>
      <c r="H221" s="291">
        <f t="shared" si="34"/>
        <v>0</v>
      </c>
      <c r="I221" s="291">
        <f t="shared" si="35"/>
        <v>0</v>
      </c>
      <c r="J221" s="291">
        <f t="shared" si="36"/>
        <v>0</v>
      </c>
      <c r="K221" s="292">
        <f t="shared" si="37"/>
        <v>0</v>
      </c>
      <c r="L221" s="59">
        <f>K221*D221*'B) D RI'!S223</f>
        <v>0</v>
      </c>
      <c r="M221" s="15">
        <f>(('B) D RI'!S223*C221)-(L221*$M$4))/'B) D RI'!S223</f>
        <v>8136.8400000000011</v>
      </c>
      <c r="N221" s="281">
        <f t="shared" si="38"/>
        <v>26.332815533980586</v>
      </c>
      <c r="O221" s="64">
        <f t="shared" si="39"/>
        <v>0.58788063626304166</v>
      </c>
      <c r="R221" s="13"/>
    </row>
    <row r="222" spans="1:18" x14ac:dyDescent="0.25">
      <c r="A222" s="326">
        <f>'A) Base RI'!A224</f>
        <v>5755</v>
      </c>
      <c r="B222" s="34" t="str">
        <f>'A) Base RI'!B224</f>
        <v>Lignerolle</v>
      </c>
      <c r="C222" s="324">
        <f>'B) D RI'!U224</f>
        <v>9412.5036607142865</v>
      </c>
      <c r="D222" s="34">
        <f>'B) D RI'!AR224</f>
        <v>417</v>
      </c>
      <c r="E222" s="213">
        <f t="shared" si="31"/>
        <v>22.571951224734502</v>
      </c>
      <c r="F222" s="64">
        <f t="shared" si="32"/>
        <v>0.48768494456866324</v>
      </c>
      <c r="G222" s="291">
        <f t="shared" si="33"/>
        <v>0</v>
      </c>
      <c r="H222" s="291">
        <f t="shared" si="34"/>
        <v>0</v>
      </c>
      <c r="I222" s="291">
        <f t="shared" si="35"/>
        <v>0</v>
      </c>
      <c r="J222" s="291">
        <f t="shared" si="36"/>
        <v>0</v>
      </c>
      <c r="K222" s="292">
        <f t="shared" si="37"/>
        <v>0</v>
      </c>
      <c r="L222" s="59">
        <f>K222*D222*'B) D RI'!S224</f>
        <v>0</v>
      </c>
      <c r="M222" s="15">
        <f>(('B) D RI'!S224*C222)-(L222*$M$4))/'B) D RI'!S224</f>
        <v>9412.5036607142865</v>
      </c>
      <c r="N222" s="281">
        <f t="shared" si="38"/>
        <v>22.571951224734502</v>
      </c>
      <c r="O222" s="64">
        <f t="shared" si="39"/>
        <v>0.50391926494042338</v>
      </c>
      <c r="R222" s="13"/>
    </row>
    <row r="223" spans="1:18" x14ac:dyDescent="0.25">
      <c r="A223" s="326">
        <f>'A) Base RI'!A225</f>
        <v>5756</v>
      </c>
      <c r="B223" s="34" t="str">
        <f>'A) Base RI'!B225</f>
        <v>Montcherand</v>
      </c>
      <c r="C223" s="324">
        <f>'B) D RI'!U225</f>
        <v>18721.546388888888</v>
      </c>
      <c r="D223" s="34">
        <f>'B) D RI'!AR225</f>
        <v>482</v>
      </c>
      <c r="E223" s="213">
        <f t="shared" si="31"/>
        <v>38.841382549562006</v>
      </c>
      <c r="F223" s="64">
        <f t="shared" si="32"/>
        <v>0.83919893796758793</v>
      </c>
      <c r="G223" s="291">
        <f t="shared" si="33"/>
        <v>0</v>
      </c>
      <c r="H223" s="291">
        <f t="shared" si="34"/>
        <v>0</v>
      </c>
      <c r="I223" s="291">
        <f t="shared" si="35"/>
        <v>0</v>
      </c>
      <c r="J223" s="291">
        <f t="shared" si="36"/>
        <v>0</v>
      </c>
      <c r="K223" s="292">
        <f t="shared" si="37"/>
        <v>0</v>
      </c>
      <c r="L223" s="59">
        <f>K223*D223*'B) D RI'!S225</f>
        <v>0</v>
      </c>
      <c r="M223" s="15">
        <f>(('B) D RI'!S225*C223)-(L223*$M$4))/'B) D RI'!S225</f>
        <v>18721.546388888888</v>
      </c>
      <c r="N223" s="281">
        <f t="shared" si="38"/>
        <v>38.841382549562006</v>
      </c>
      <c r="O223" s="64">
        <f t="shared" si="39"/>
        <v>0.86713464639233018</v>
      </c>
      <c r="R223" s="13"/>
    </row>
    <row r="224" spans="1:18" x14ac:dyDescent="0.25">
      <c r="A224" s="326">
        <f>'A) Base RI'!A226</f>
        <v>5757</v>
      </c>
      <c r="B224" s="34" t="str">
        <f>'A) Base RI'!B226</f>
        <v>Orbe</v>
      </c>
      <c r="C224" s="324">
        <f>'B) D RI'!U226</f>
        <v>205952.941948052</v>
      </c>
      <c r="D224" s="34">
        <f>'B) D RI'!AR226</f>
        <v>6985</v>
      </c>
      <c r="E224" s="213">
        <f t="shared" si="31"/>
        <v>29.485031059134144</v>
      </c>
      <c r="F224" s="64">
        <f t="shared" si="32"/>
        <v>0.63704752834668965</v>
      </c>
      <c r="G224" s="291">
        <f t="shared" si="33"/>
        <v>0</v>
      </c>
      <c r="H224" s="291">
        <f t="shared" si="34"/>
        <v>0</v>
      </c>
      <c r="I224" s="291">
        <f t="shared" si="35"/>
        <v>0</v>
      </c>
      <c r="J224" s="291">
        <f t="shared" si="36"/>
        <v>0</v>
      </c>
      <c r="K224" s="292">
        <f t="shared" si="37"/>
        <v>0</v>
      </c>
      <c r="L224" s="59">
        <f>K224*D224*'B) D RI'!S226</f>
        <v>0</v>
      </c>
      <c r="M224" s="15">
        <f>(('B) D RI'!S226*C224)-(L224*$M$4))/'B) D RI'!S226</f>
        <v>205952.941948052</v>
      </c>
      <c r="N224" s="281">
        <f t="shared" si="38"/>
        <v>29.485031059134144</v>
      </c>
      <c r="O224" s="64">
        <f t="shared" si="39"/>
        <v>0.65825391124285482</v>
      </c>
      <c r="R224" s="13"/>
    </row>
    <row r="225" spans="1:18" x14ac:dyDescent="0.25">
      <c r="A225" s="326">
        <f>'A) Base RI'!A227</f>
        <v>5758</v>
      </c>
      <c r="B225" s="34" t="str">
        <f>'A) Base RI'!B227</f>
        <v>La Praz</v>
      </c>
      <c r="C225" s="324">
        <f>'B) D RI'!U227</f>
        <v>3230.1663052208837</v>
      </c>
      <c r="D225" s="34">
        <f>'B) D RI'!AR227</f>
        <v>160</v>
      </c>
      <c r="E225" s="213">
        <f t="shared" si="31"/>
        <v>20.188539407630522</v>
      </c>
      <c r="F225" s="64">
        <f t="shared" si="32"/>
        <v>0.43618943811750027</v>
      </c>
      <c r="G225" s="291">
        <f t="shared" si="33"/>
        <v>0</v>
      </c>
      <c r="H225" s="291">
        <f t="shared" si="34"/>
        <v>0</v>
      </c>
      <c r="I225" s="291">
        <f t="shared" si="35"/>
        <v>0</v>
      </c>
      <c r="J225" s="291">
        <f t="shared" si="36"/>
        <v>0</v>
      </c>
      <c r="K225" s="292">
        <f t="shared" si="37"/>
        <v>0</v>
      </c>
      <c r="L225" s="59">
        <f>K225*D225*'B) D RI'!S227</f>
        <v>0</v>
      </c>
      <c r="M225" s="15">
        <f>(('B) D RI'!S227*C225)-(L225*$M$4))/'B) D RI'!S227</f>
        <v>3230.1663052208837</v>
      </c>
      <c r="N225" s="281">
        <f t="shared" si="38"/>
        <v>20.188539407630522</v>
      </c>
      <c r="O225" s="64">
        <f t="shared" si="39"/>
        <v>0.45070954820094894</v>
      </c>
      <c r="R225" s="13"/>
    </row>
    <row r="226" spans="1:18" x14ac:dyDescent="0.25">
      <c r="A226" s="326">
        <f>'A) Base RI'!A228</f>
        <v>5759</v>
      </c>
      <c r="B226" s="34" t="str">
        <f>'A) Base RI'!B228</f>
        <v>Premier</v>
      </c>
      <c r="C226" s="324">
        <f>'B) D RI'!U228</f>
        <v>4732.7107407407411</v>
      </c>
      <c r="D226" s="34">
        <f>'B) D RI'!AR228</f>
        <v>210</v>
      </c>
      <c r="E226" s="213">
        <f t="shared" si="31"/>
        <v>22.536717813051148</v>
      </c>
      <c r="F226" s="64">
        <f t="shared" si="32"/>
        <v>0.48692369870858304</v>
      </c>
      <c r="G226" s="291">
        <f t="shared" si="33"/>
        <v>0</v>
      </c>
      <c r="H226" s="291">
        <f t="shared" si="34"/>
        <v>0</v>
      </c>
      <c r="I226" s="291">
        <f t="shared" si="35"/>
        <v>0</v>
      </c>
      <c r="J226" s="291">
        <f t="shared" si="36"/>
        <v>0</v>
      </c>
      <c r="K226" s="292">
        <f t="shared" si="37"/>
        <v>0</v>
      </c>
      <c r="L226" s="59">
        <f>K226*D226*'B) D RI'!S228</f>
        <v>0</v>
      </c>
      <c r="M226" s="15">
        <f>(('B) D RI'!S228*C226)-(L226*$M$4))/'B) D RI'!S228</f>
        <v>4732.7107407407411</v>
      </c>
      <c r="N226" s="281">
        <f t="shared" si="38"/>
        <v>22.536717813051148</v>
      </c>
      <c r="O226" s="64">
        <f t="shared" si="39"/>
        <v>0.50313267831616371</v>
      </c>
      <c r="R226" s="13"/>
    </row>
    <row r="227" spans="1:18" x14ac:dyDescent="0.25">
      <c r="A227" s="326">
        <f>'A) Base RI'!A229</f>
        <v>5760</v>
      </c>
      <c r="B227" s="34" t="str">
        <f>'A) Base RI'!B229</f>
        <v>Rances</v>
      </c>
      <c r="C227" s="324">
        <f>'B) D RI'!U229</f>
        <v>10468.899999999998</v>
      </c>
      <c r="D227" s="34">
        <f>'B) D RI'!AR229</f>
        <v>485</v>
      </c>
      <c r="E227" s="213">
        <f t="shared" si="31"/>
        <v>21.585360824742263</v>
      </c>
      <c r="F227" s="64">
        <f t="shared" si="32"/>
        <v>0.46636887491470491</v>
      </c>
      <c r="G227" s="291">
        <f t="shared" si="33"/>
        <v>0</v>
      </c>
      <c r="H227" s="291">
        <f t="shared" si="34"/>
        <v>0</v>
      </c>
      <c r="I227" s="291">
        <f t="shared" si="35"/>
        <v>0</v>
      </c>
      <c r="J227" s="291">
        <f t="shared" si="36"/>
        <v>0</v>
      </c>
      <c r="K227" s="292">
        <f t="shared" si="37"/>
        <v>0</v>
      </c>
      <c r="L227" s="59">
        <f>K227*D227*'B) D RI'!S229</f>
        <v>0</v>
      </c>
      <c r="M227" s="15">
        <f>(('B) D RI'!S229*C227)-(L227*$M$4))/'B) D RI'!S229</f>
        <v>10468.899999999998</v>
      </c>
      <c r="N227" s="281">
        <f t="shared" si="38"/>
        <v>21.585360824742263</v>
      </c>
      <c r="O227" s="64">
        <f t="shared" si="39"/>
        <v>0.48189361442348566</v>
      </c>
      <c r="R227" s="13"/>
    </row>
    <row r="228" spans="1:18" x14ac:dyDescent="0.25">
      <c r="A228" s="326">
        <f>'A) Base RI'!A230</f>
        <v>5761</v>
      </c>
      <c r="B228" s="34" t="str">
        <f>'A) Base RI'!B230</f>
        <v>Romainmôtier-Envy</v>
      </c>
      <c r="C228" s="324">
        <f>'B) D RI'!U230</f>
        <v>12891.998383838385</v>
      </c>
      <c r="D228" s="34">
        <f>'B) D RI'!AR230</f>
        <v>551</v>
      </c>
      <c r="E228" s="213">
        <f t="shared" si="31"/>
        <v>23.397456232011589</v>
      </c>
      <c r="F228" s="64">
        <f t="shared" si="32"/>
        <v>0.50552063629539012</v>
      </c>
      <c r="G228" s="291">
        <f t="shared" si="33"/>
        <v>0</v>
      </c>
      <c r="H228" s="291">
        <f t="shared" si="34"/>
        <v>0</v>
      </c>
      <c r="I228" s="291">
        <f t="shared" si="35"/>
        <v>0</v>
      </c>
      <c r="J228" s="291">
        <f t="shared" si="36"/>
        <v>0</v>
      </c>
      <c r="K228" s="292">
        <f t="shared" si="37"/>
        <v>0</v>
      </c>
      <c r="L228" s="59">
        <f>K228*D228*'B) D RI'!S230</f>
        <v>0</v>
      </c>
      <c r="M228" s="15">
        <f>(('B) D RI'!S230*C228)-(L228*$M$4))/'B) D RI'!S230</f>
        <v>12891.998383838385</v>
      </c>
      <c r="N228" s="281">
        <f t="shared" si="38"/>
        <v>23.397456232011589</v>
      </c>
      <c r="O228" s="64">
        <f t="shared" si="39"/>
        <v>0.5223486808260942</v>
      </c>
      <c r="R228" s="13"/>
    </row>
    <row r="229" spans="1:18" x14ac:dyDescent="0.25">
      <c r="A229" s="326">
        <f>'A) Base RI'!A231</f>
        <v>5762</v>
      </c>
      <c r="B229" s="34" t="str">
        <f>'A) Base RI'!B231</f>
        <v>Sergey</v>
      </c>
      <c r="C229" s="324">
        <f>'B) D RI'!U231</f>
        <v>4039.8601282051286</v>
      </c>
      <c r="D229" s="34">
        <f>'B) D RI'!AR231</f>
        <v>137</v>
      </c>
      <c r="E229" s="213">
        <f t="shared" si="31"/>
        <v>29.488030132884152</v>
      </c>
      <c r="F229" s="64">
        <f t="shared" si="32"/>
        <v>0.63711232571847942</v>
      </c>
      <c r="G229" s="291">
        <f t="shared" si="33"/>
        <v>0</v>
      </c>
      <c r="H229" s="291">
        <f t="shared" si="34"/>
        <v>0</v>
      </c>
      <c r="I229" s="291">
        <f t="shared" si="35"/>
        <v>0</v>
      </c>
      <c r="J229" s="291">
        <f t="shared" si="36"/>
        <v>0</v>
      </c>
      <c r="K229" s="292">
        <f t="shared" si="37"/>
        <v>0</v>
      </c>
      <c r="L229" s="59">
        <f>K229*D229*'B) D RI'!S231</f>
        <v>0</v>
      </c>
      <c r="M229" s="15">
        <f>(('B) D RI'!S231*C229)-(L229*$M$4))/'B) D RI'!S231</f>
        <v>4039.8601282051286</v>
      </c>
      <c r="N229" s="281">
        <f t="shared" si="38"/>
        <v>29.488030132884152</v>
      </c>
      <c r="O229" s="64">
        <f t="shared" si="39"/>
        <v>0.65832086562462533</v>
      </c>
      <c r="R229" s="13"/>
    </row>
    <row r="230" spans="1:18" x14ac:dyDescent="0.25">
      <c r="A230" s="326">
        <f>'A) Base RI'!A232</f>
        <v>5763</v>
      </c>
      <c r="B230" s="34" t="str">
        <f>'A) Base RI'!B232</f>
        <v>Valeyres-sous-Rances</v>
      </c>
      <c r="C230" s="324">
        <f>'B) D RI'!U232</f>
        <v>20051.556615384616</v>
      </c>
      <c r="D230" s="34">
        <f>'B) D RI'!AR232</f>
        <v>631</v>
      </c>
      <c r="E230" s="213">
        <f t="shared" si="31"/>
        <v>31.777427282701453</v>
      </c>
      <c r="F230" s="64">
        <f t="shared" si="32"/>
        <v>0.6865765705676723</v>
      </c>
      <c r="G230" s="291">
        <f t="shared" si="33"/>
        <v>0</v>
      </c>
      <c r="H230" s="291">
        <f t="shared" si="34"/>
        <v>0</v>
      </c>
      <c r="I230" s="291">
        <f t="shared" si="35"/>
        <v>0</v>
      </c>
      <c r="J230" s="291">
        <f t="shared" si="36"/>
        <v>0</v>
      </c>
      <c r="K230" s="292">
        <f t="shared" si="37"/>
        <v>0</v>
      </c>
      <c r="L230" s="59">
        <f>K230*D230*'B) D RI'!S232</f>
        <v>0</v>
      </c>
      <c r="M230" s="15">
        <f>(('B) D RI'!S232*C230)-(L230*$M$4))/'B) D RI'!S232</f>
        <v>20051.556615384616</v>
      </c>
      <c r="N230" s="281">
        <f t="shared" si="38"/>
        <v>31.777427282701453</v>
      </c>
      <c r="O230" s="64">
        <f t="shared" si="39"/>
        <v>0.70943170302659675</v>
      </c>
      <c r="R230" s="13"/>
    </row>
    <row r="231" spans="1:18" x14ac:dyDescent="0.25">
      <c r="A231" s="326">
        <f>'A) Base RI'!A233</f>
        <v>5764</v>
      </c>
      <c r="B231" s="34" t="str">
        <f>'A) Base RI'!B233</f>
        <v>Vallorbe</v>
      </c>
      <c r="C231" s="324">
        <f>'B) D RI'!U233</f>
        <v>83366.268356164379</v>
      </c>
      <c r="D231" s="34">
        <f>'B) D RI'!AR233</f>
        <v>3851</v>
      </c>
      <c r="E231" s="213">
        <f t="shared" si="31"/>
        <v>21.64795335138</v>
      </c>
      <c r="F231" s="64">
        <f t="shared" si="32"/>
        <v>0.46772123619618278</v>
      </c>
      <c r="G231" s="291">
        <f t="shared" si="33"/>
        <v>0</v>
      </c>
      <c r="H231" s="291">
        <f t="shared" si="34"/>
        <v>0</v>
      </c>
      <c r="I231" s="291">
        <f t="shared" si="35"/>
        <v>0</v>
      </c>
      <c r="J231" s="291">
        <f t="shared" si="36"/>
        <v>0</v>
      </c>
      <c r="K231" s="292">
        <f t="shared" si="37"/>
        <v>0</v>
      </c>
      <c r="L231" s="59">
        <f>K231*D231*'B) D RI'!S233</f>
        <v>0</v>
      </c>
      <c r="M231" s="15">
        <f>(('B) D RI'!S233*C231)-(L231*$M$4))/'B) D RI'!S233</f>
        <v>83366.268356164379</v>
      </c>
      <c r="N231" s="281">
        <f t="shared" si="38"/>
        <v>21.64795335138</v>
      </c>
      <c r="O231" s="64">
        <f t="shared" si="39"/>
        <v>0.48329099383920443</v>
      </c>
      <c r="R231" s="13"/>
    </row>
    <row r="232" spans="1:18" x14ac:dyDescent="0.25">
      <c r="A232" s="326">
        <f>'A) Base RI'!A234</f>
        <v>5765</v>
      </c>
      <c r="B232" s="34" t="str">
        <f>'A) Base RI'!B234</f>
        <v>Vaulion</v>
      </c>
      <c r="C232" s="324">
        <f>'B) D RI'!U234</f>
        <v>9587.663333333332</v>
      </c>
      <c r="D232" s="34">
        <f>'B) D RI'!AR234</f>
        <v>482</v>
      </c>
      <c r="E232" s="213">
        <f t="shared" si="31"/>
        <v>19.891417704011062</v>
      </c>
      <c r="F232" s="64">
        <f t="shared" si="32"/>
        <v>0.4297698875825417</v>
      </c>
      <c r="G232" s="291">
        <f t="shared" si="33"/>
        <v>0</v>
      </c>
      <c r="H232" s="291">
        <f t="shared" si="34"/>
        <v>0</v>
      </c>
      <c r="I232" s="291">
        <f t="shared" si="35"/>
        <v>0</v>
      </c>
      <c r="J232" s="291">
        <f t="shared" si="36"/>
        <v>0</v>
      </c>
      <c r="K232" s="292">
        <f t="shared" si="37"/>
        <v>0</v>
      </c>
      <c r="L232" s="59">
        <f>K232*D232*'B) D RI'!S234</f>
        <v>0</v>
      </c>
      <c r="M232" s="15">
        <f>(('B) D RI'!S234*C232)-(L232*$M$4))/'B) D RI'!S234</f>
        <v>9587.663333333332</v>
      </c>
      <c r="N232" s="281">
        <f t="shared" si="38"/>
        <v>19.891417704011062</v>
      </c>
      <c r="O232" s="64">
        <f t="shared" si="39"/>
        <v>0.44407630019349736</v>
      </c>
      <c r="R232" s="13"/>
    </row>
    <row r="233" spans="1:18" x14ac:dyDescent="0.25">
      <c r="A233" s="326">
        <f>'A) Base RI'!A235</f>
        <v>5766</v>
      </c>
      <c r="B233" s="34" t="str">
        <f>'A) Base RI'!B235</f>
        <v>Vuiteboeuf</v>
      </c>
      <c r="C233" s="324">
        <f>'B) D RI'!U235</f>
        <v>13049.547402597404</v>
      </c>
      <c r="D233" s="34">
        <f>'B) D RI'!AR235</f>
        <v>574</v>
      </c>
      <c r="E233" s="213">
        <f t="shared" si="31"/>
        <v>22.734403140413594</v>
      </c>
      <c r="F233" s="64">
        <f t="shared" si="32"/>
        <v>0.49119484731053231</v>
      </c>
      <c r="G233" s="291">
        <f t="shared" si="33"/>
        <v>0</v>
      </c>
      <c r="H233" s="291">
        <f t="shared" si="34"/>
        <v>0</v>
      </c>
      <c r="I233" s="291">
        <f t="shared" si="35"/>
        <v>0</v>
      </c>
      <c r="J233" s="291">
        <f t="shared" si="36"/>
        <v>0</v>
      </c>
      <c r="K233" s="292">
        <f t="shared" si="37"/>
        <v>0</v>
      </c>
      <c r="L233" s="59">
        <f>K233*D233*'B) D RI'!S235</f>
        <v>0</v>
      </c>
      <c r="M233" s="15">
        <f>(('B) D RI'!S235*C233)-(L233*$M$4))/'B) D RI'!S235</f>
        <v>13049.547402597404</v>
      </c>
      <c r="N233" s="281">
        <f t="shared" si="38"/>
        <v>22.734403140413594</v>
      </c>
      <c r="O233" s="64">
        <f t="shared" si="39"/>
        <v>0.50754600722433663</v>
      </c>
      <c r="R233" s="13"/>
    </row>
    <row r="234" spans="1:18" x14ac:dyDescent="0.25">
      <c r="A234" s="326">
        <f>'A) Base RI'!A236</f>
        <v>5785</v>
      </c>
      <c r="B234" s="34" t="str">
        <f>'A) Base RI'!B236</f>
        <v>Corcelles-le-Jorat</v>
      </c>
      <c r="C234" s="324">
        <f>'B) D RI'!U236</f>
        <v>15263.245714285717</v>
      </c>
      <c r="D234" s="34">
        <f>'B) D RI'!AR236</f>
        <v>460</v>
      </c>
      <c r="E234" s="213">
        <f t="shared" si="31"/>
        <v>33.180968944099384</v>
      </c>
      <c r="F234" s="64">
        <f t="shared" si="32"/>
        <v>0.71690120358338583</v>
      </c>
      <c r="G234" s="291">
        <f t="shared" si="33"/>
        <v>0</v>
      </c>
      <c r="H234" s="291">
        <f t="shared" si="34"/>
        <v>0</v>
      </c>
      <c r="I234" s="291">
        <f t="shared" si="35"/>
        <v>0</v>
      </c>
      <c r="J234" s="291">
        <f t="shared" si="36"/>
        <v>0</v>
      </c>
      <c r="K234" s="292">
        <f t="shared" si="37"/>
        <v>0</v>
      </c>
      <c r="L234" s="59">
        <f>K234*D234*'B) D RI'!S236</f>
        <v>0</v>
      </c>
      <c r="M234" s="15">
        <f>(('B) D RI'!S236*C234)-(L234*$M$4))/'B) D RI'!S236</f>
        <v>15263.245714285717</v>
      </c>
      <c r="N234" s="281">
        <f t="shared" si="38"/>
        <v>33.180968944099384</v>
      </c>
      <c r="O234" s="64">
        <f t="shared" si="39"/>
        <v>0.7407657988379448</v>
      </c>
      <c r="R234" s="13"/>
    </row>
    <row r="235" spans="1:18" x14ac:dyDescent="0.25">
      <c r="A235" s="326">
        <f>'A) Base RI'!A237</f>
        <v>5788</v>
      </c>
      <c r="B235" s="34" t="str">
        <f>'A) Base RI'!B237</f>
        <v>Essertes</v>
      </c>
      <c r="C235" s="324">
        <f>'B) D RI'!U237</f>
        <v>11561.131666666668</v>
      </c>
      <c r="D235" s="34">
        <f>'B) D RI'!AR237</f>
        <v>346</v>
      </c>
      <c r="E235" s="213">
        <f t="shared" si="31"/>
        <v>33.413675337186902</v>
      </c>
      <c r="F235" s="64">
        <f t="shared" si="32"/>
        <v>0.72192901014223132</v>
      </c>
      <c r="G235" s="291">
        <f t="shared" si="33"/>
        <v>0</v>
      </c>
      <c r="H235" s="291">
        <f t="shared" si="34"/>
        <v>0</v>
      </c>
      <c r="I235" s="291">
        <f t="shared" si="35"/>
        <v>0</v>
      </c>
      <c r="J235" s="291">
        <f t="shared" si="36"/>
        <v>0</v>
      </c>
      <c r="K235" s="292">
        <f t="shared" si="37"/>
        <v>0</v>
      </c>
      <c r="L235" s="59">
        <f>K235*D235*'B) D RI'!S237</f>
        <v>0</v>
      </c>
      <c r="M235" s="15">
        <f>(('B) D RI'!S237*C235)-(L235*$M$4))/'B) D RI'!S237</f>
        <v>11561.131666666668</v>
      </c>
      <c r="N235" s="281">
        <f t="shared" si="38"/>
        <v>33.413675337186902</v>
      </c>
      <c r="O235" s="64">
        <f t="shared" si="39"/>
        <v>0.74596097374258918</v>
      </c>
      <c r="R235" s="13"/>
    </row>
    <row r="236" spans="1:18" x14ac:dyDescent="0.25">
      <c r="A236" s="326">
        <f>'A) Base RI'!A238</f>
        <v>5790</v>
      </c>
      <c r="B236" s="34" t="str">
        <f>'A) Base RI'!B238</f>
        <v>Maracon</v>
      </c>
      <c r="C236" s="324">
        <f>'B) D RI'!U238</f>
        <v>12108.806973684212</v>
      </c>
      <c r="D236" s="34">
        <f>'B) D RI'!AR238</f>
        <v>477</v>
      </c>
      <c r="E236" s="213">
        <f t="shared" si="31"/>
        <v>25.38533956747214</v>
      </c>
      <c r="F236" s="64">
        <f t="shared" si="32"/>
        <v>0.54847043556665143</v>
      </c>
      <c r="G236" s="291">
        <f t="shared" si="33"/>
        <v>0</v>
      </c>
      <c r="H236" s="291">
        <f t="shared" si="34"/>
        <v>0</v>
      </c>
      <c r="I236" s="291">
        <f t="shared" si="35"/>
        <v>0</v>
      </c>
      <c r="J236" s="291">
        <f t="shared" si="36"/>
        <v>0</v>
      </c>
      <c r="K236" s="292">
        <f t="shared" si="37"/>
        <v>0</v>
      </c>
      <c r="L236" s="59">
        <f>K236*D236*'B) D RI'!S238</f>
        <v>0</v>
      </c>
      <c r="M236" s="15">
        <f>(('B) D RI'!S238*C236)-(L236*$M$4))/'B) D RI'!S238</f>
        <v>12108.806973684212</v>
      </c>
      <c r="N236" s="281">
        <f t="shared" si="38"/>
        <v>25.38533956747214</v>
      </c>
      <c r="O236" s="64">
        <f t="shared" si="39"/>
        <v>0.56672821626009307</v>
      </c>
      <c r="R236" s="13"/>
    </row>
    <row r="237" spans="1:18" x14ac:dyDescent="0.25">
      <c r="A237" s="326">
        <f>'A) Base RI'!A239</f>
        <v>5792</v>
      </c>
      <c r="B237" s="34" t="str">
        <f>'A) Base RI'!B239</f>
        <v>Montpreveyres</v>
      </c>
      <c r="C237" s="324">
        <f>'B) D RI'!U239</f>
        <v>17523.35194805195</v>
      </c>
      <c r="D237" s="34">
        <f>'B) D RI'!AR239</f>
        <v>648</v>
      </c>
      <c r="E237" s="213">
        <f t="shared" si="31"/>
        <v>27.042209796376465</v>
      </c>
      <c r="F237" s="64">
        <f t="shared" si="32"/>
        <v>0.58426843360836389</v>
      </c>
      <c r="G237" s="291">
        <f t="shared" si="33"/>
        <v>0</v>
      </c>
      <c r="H237" s="291">
        <f t="shared" si="34"/>
        <v>0</v>
      </c>
      <c r="I237" s="291">
        <f t="shared" si="35"/>
        <v>0</v>
      </c>
      <c r="J237" s="291">
        <f t="shared" si="36"/>
        <v>0</v>
      </c>
      <c r="K237" s="292">
        <f t="shared" si="37"/>
        <v>0</v>
      </c>
      <c r="L237" s="59">
        <f>K237*D237*'B) D RI'!S239</f>
        <v>0</v>
      </c>
      <c r="M237" s="15">
        <f>(('B) D RI'!S239*C237)-(L237*$M$4))/'B) D RI'!S239</f>
        <v>17523.35194805195</v>
      </c>
      <c r="N237" s="281">
        <f t="shared" si="38"/>
        <v>27.042209796376465</v>
      </c>
      <c r="O237" s="64">
        <f t="shared" si="39"/>
        <v>0.60371787743463157</v>
      </c>
      <c r="R237" s="13"/>
    </row>
    <row r="238" spans="1:18" x14ac:dyDescent="0.25">
      <c r="A238" s="326">
        <f>'A) Base RI'!A240</f>
        <v>5798</v>
      </c>
      <c r="B238" s="34" t="str">
        <f>'A) Base RI'!B240</f>
        <v>Ropraz</v>
      </c>
      <c r="C238" s="324">
        <f>'B) D RI'!U240</f>
        <v>14095.640645161293</v>
      </c>
      <c r="D238" s="34">
        <f>'B) D RI'!AR240</f>
        <v>450</v>
      </c>
      <c r="E238" s="213">
        <f t="shared" si="31"/>
        <v>31.323645878136208</v>
      </c>
      <c r="F238" s="64">
        <f t="shared" si="32"/>
        <v>0.67677226269334079</v>
      </c>
      <c r="G238" s="291">
        <f t="shared" si="33"/>
        <v>0</v>
      </c>
      <c r="H238" s="291">
        <f t="shared" si="34"/>
        <v>0</v>
      </c>
      <c r="I238" s="291">
        <f t="shared" si="35"/>
        <v>0</v>
      </c>
      <c r="J238" s="291">
        <f t="shared" si="36"/>
        <v>0</v>
      </c>
      <c r="K238" s="292">
        <f t="shared" si="37"/>
        <v>0</v>
      </c>
      <c r="L238" s="59">
        <f>K238*D238*'B) D RI'!S240</f>
        <v>0</v>
      </c>
      <c r="M238" s="15">
        <f>(('B) D RI'!S240*C238)-(L238*$M$4))/'B) D RI'!S240</f>
        <v>14095.640645161293</v>
      </c>
      <c r="N238" s="281">
        <f t="shared" si="38"/>
        <v>31.323645878136208</v>
      </c>
      <c r="O238" s="64">
        <f t="shared" si="39"/>
        <v>0.69930102404561545</v>
      </c>
      <c r="R238" s="13"/>
    </row>
    <row r="239" spans="1:18" x14ac:dyDescent="0.25">
      <c r="A239" s="326">
        <f>'A) Base RI'!A241</f>
        <v>5799</v>
      </c>
      <c r="B239" s="34" t="str">
        <f>'A) Base RI'!B241</f>
        <v>Servion</v>
      </c>
      <c r="C239" s="324">
        <f>'B) D RI'!U241</f>
        <v>65741.847101449268</v>
      </c>
      <c r="D239" s="34">
        <f>'B) D RI'!AR241</f>
        <v>1904</v>
      </c>
      <c r="E239" s="213">
        <f t="shared" si="31"/>
        <v>34.528281040677136</v>
      </c>
      <c r="F239" s="64">
        <f t="shared" si="32"/>
        <v>0.74601095216445645</v>
      </c>
      <c r="G239" s="291">
        <f t="shared" si="33"/>
        <v>0</v>
      </c>
      <c r="H239" s="291">
        <f t="shared" si="34"/>
        <v>0</v>
      </c>
      <c r="I239" s="291">
        <f t="shared" si="35"/>
        <v>0</v>
      </c>
      <c r="J239" s="291">
        <f t="shared" si="36"/>
        <v>0</v>
      </c>
      <c r="K239" s="292">
        <f t="shared" si="37"/>
        <v>0</v>
      </c>
      <c r="L239" s="59">
        <f>K239*D239*'B) D RI'!S241</f>
        <v>0</v>
      </c>
      <c r="M239" s="15">
        <f>(('B) D RI'!S241*C239)-(L239*$M$4))/'B) D RI'!S241</f>
        <v>65741.847101449268</v>
      </c>
      <c r="N239" s="281">
        <f t="shared" si="38"/>
        <v>34.528281040677136</v>
      </c>
      <c r="O239" s="64">
        <f t="shared" si="39"/>
        <v>0.77084456848408944</v>
      </c>
      <c r="R239" s="13"/>
    </row>
    <row r="240" spans="1:18" x14ac:dyDescent="0.25">
      <c r="A240" s="326">
        <f>'A) Base RI'!A242</f>
        <v>5803</v>
      </c>
      <c r="B240" s="34" t="str">
        <f>'A) Base RI'!B242</f>
        <v>Vulliens</v>
      </c>
      <c r="C240" s="324">
        <f>'B) D RI'!U242</f>
        <v>15644.362692307694</v>
      </c>
      <c r="D240" s="34">
        <f>'B) D RI'!AR242</f>
        <v>515</v>
      </c>
      <c r="E240" s="213">
        <f t="shared" si="31"/>
        <v>30.377403286034358</v>
      </c>
      <c r="F240" s="64">
        <f t="shared" si="32"/>
        <v>0.65632793949402346</v>
      </c>
      <c r="G240" s="291">
        <f t="shared" si="33"/>
        <v>0</v>
      </c>
      <c r="H240" s="291">
        <f t="shared" si="34"/>
        <v>0</v>
      </c>
      <c r="I240" s="291">
        <f t="shared" si="35"/>
        <v>0</v>
      </c>
      <c r="J240" s="291">
        <f t="shared" si="36"/>
        <v>0</v>
      </c>
      <c r="K240" s="292">
        <f t="shared" si="37"/>
        <v>0</v>
      </c>
      <c r="L240" s="59">
        <f>K240*D240*'B) D RI'!S242</f>
        <v>0</v>
      </c>
      <c r="M240" s="15">
        <f>(('B) D RI'!S242*C240)-(L240*$M$4))/'B) D RI'!S242</f>
        <v>15644.362692307694</v>
      </c>
      <c r="N240" s="281">
        <f t="shared" si="38"/>
        <v>30.377403286034358</v>
      </c>
      <c r="O240" s="64">
        <f t="shared" si="39"/>
        <v>0.67817613915109332</v>
      </c>
      <c r="R240" s="13"/>
    </row>
    <row r="241" spans="1:18" x14ac:dyDescent="0.25">
      <c r="A241" s="326">
        <f>'A) Base RI'!A243</f>
        <v>5804</v>
      </c>
      <c r="B241" s="34" t="str">
        <f>'A) Base RI'!B243</f>
        <v>Jorat-Menthue</v>
      </c>
      <c r="C241" s="324">
        <f>'B) D RI'!U243</f>
        <v>47020.955555555549</v>
      </c>
      <c r="D241" s="34">
        <f>'B) D RI'!AR243</f>
        <v>1532</v>
      </c>
      <c r="E241" s="213">
        <f t="shared" si="31"/>
        <v>30.692529736002317</v>
      </c>
      <c r="F241" s="64">
        <f t="shared" si="32"/>
        <v>0.66313649688255516</v>
      </c>
      <c r="G241" s="291">
        <f t="shared" si="33"/>
        <v>0</v>
      </c>
      <c r="H241" s="291">
        <f t="shared" si="34"/>
        <v>0</v>
      </c>
      <c r="I241" s="291">
        <f t="shared" si="35"/>
        <v>0</v>
      </c>
      <c r="J241" s="291">
        <f t="shared" si="36"/>
        <v>0</v>
      </c>
      <c r="K241" s="292">
        <f t="shared" si="37"/>
        <v>0</v>
      </c>
      <c r="L241" s="59">
        <f>K241*D241*'B) D RI'!S243</f>
        <v>0</v>
      </c>
      <c r="M241" s="15">
        <f>(('B) D RI'!S243*C241)-(L241*$M$4))/'B) D RI'!S243</f>
        <v>47020.955555555549</v>
      </c>
      <c r="N241" s="281">
        <f t="shared" si="38"/>
        <v>30.692529736002317</v>
      </c>
      <c r="O241" s="64">
        <f t="shared" si="39"/>
        <v>0.68521134348279178</v>
      </c>
      <c r="R241" s="13"/>
    </row>
    <row r="242" spans="1:18" x14ac:dyDescent="0.25">
      <c r="A242" s="326">
        <f>'A) Base RI'!A244</f>
        <v>5805</v>
      </c>
      <c r="B242" s="34" t="str">
        <f>'A) Base RI'!B244</f>
        <v>Oron</v>
      </c>
      <c r="C242" s="324">
        <f>'B) D RI'!U244</f>
        <v>148409.14060606057</v>
      </c>
      <c r="D242" s="34">
        <f>'B) D RI'!AR244</f>
        <v>5463</v>
      </c>
      <c r="E242" s="213">
        <f t="shared" si="31"/>
        <v>27.166234780534609</v>
      </c>
      <c r="F242" s="64">
        <f t="shared" si="32"/>
        <v>0.58694809195611064</v>
      </c>
      <c r="G242" s="291">
        <f t="shared" si="33"/>
        <v>0</v>
      </c>
      <c r="H242" s="291">
        <f t="shared" si="34"/>
        <v>0</v>
      </c>
      <c r="I242" s="291">
        <f t="shared" si="35"/>
        <v>0</v>
      </c>
      <c r="J242" s="291">
        <f t="shared" si="36"/>
        <v>0</v>
      </c>
      <c r="K242" s="292">
        <f t="shared" si="37"/>
        <v>0</v>
      </c>
      <c r="L242" s="59">
        <f>K242*D242*'B) D RI'!S244</f>
        <v>0</v>
      </c>
      <c r="M242" s="15">
        <f>(('B) D RI'!S244*C242)-(L242*$M$4))/'B) D RI'!S244</f>
        <v>148409.14060606057</v>
      </c>
      <c r="N242" s="281">
        <f t="shared" si="38"/>
        <v>27.166234780534609</v>
      </c>
      <c r="O242" s="64">
        <f t="shared" si="39"/>
        <v>0.60648673769969952</v>
      </c>
      <c r="R242" s="13"/>
    </row>
    <row r="243" spans="1:18" x14ac:dyDescent="0.25">
      <c r="A243" s="326">
        <f>'A) Base RI'!A245</f>
        <v>5806</v>
      </c>
      <c r="B243" s="34" t="str">
        <f>'A) Base RI'!B245</f>
        <v>Jorat-Mézières</v>
      </c>
      <c r="C243" s="324">
        <f>'B) D RI'!U245</f>
        <v>86246.382763157875</v>
      </c>
      <c r="D243" s="34">
        <f>'B) D RI'!AR245</f>
        <v>2850</v>
      </c>
      <c r="E243" s="213">
        <f t="shared" si="31"/>
        <v>30.261888688827323</v>
      </c>
      <c r="F243" s="64">
        <f t="shared" si="32"/>
        <v>0.65383215481972146</v>
      </c>
      <c r="G243" s="291">
        <f t="shared" si="33"/>
        <v>0</v>
      </c>
      <c r="H243" s="291">
        <f t="shared" si="34"/>
        <v>0</v>
      </c>
      <c r="I243" s="291">
        <f t="shared" si="35"/>
        <v>0</v>
      </c>
      <c r="J243" s="291">
        <f t="shared" si="36"/>
        <v>0</v>
      </c>
      <c r="K243" s="292">
        <f t="shared" si="37"/>
        <v>0</v>
      </c>
      <c r="L243" s="59">
        <f>K243*D243*'B) D RI'!S245</f>
        <v>0</v>
      </c>
      <c r="M243" s="15">
        <f>(('B) D RI'!S245*C243)-(L243*$M$4))/'B) D RI'!S245</f>
        <v>86246.382763157875</v>
      </c>
      <c r="N243" s="281">
        <f t="shared" si="38"/>
        <v>30.261888688827323</v>
      </c>
      <c r="O243" s="64">
        <f t="shared" si="39"/>
        <v>0.67559727344582499</v>
      </c>
      <c r="R243" s="13"/>
    </row>
    <row r="244" spans="1:18" x14ac:dyDescent="0.25">
      <c r="A244" s="326">
        <f>'A) Base RI'!A246</f>
        <v>5812</v>
      </c>
      <c r="B244" s="34" t="str">
        <f>'A) Base RI'!B246</f>
        <v>Champtauroz</v>
      </c>
      <c r="C244" s="324">
        <f>'B) D RI'!U246</f>
        <v>2413.8557792207789</v>
      </c>
      <c r="D244" s="34">
        <f>'B) D RI'!AR246</f>
        <v>128</v>
      </c>
      <c r="E244" s="213">
        <f t="shared" si="31"/>
        <v>18.858248275162335</v>
      </c>
      <c r="F244" s="64">
        <f t="shared" si="32"/>
        <v>0.4074474409929002</v>
      </c>
      <c r="G244" s="291">
        <f t="shared" si="33"/>
        <v>0</v>
      </c>
      <c r="H244" s="291">
        <f t="shared" si="34"/>
        <v>0</v>
      </c>
      <c r="I244" s="291">
        <f t="shared" si="35"/>
        <v>0</v>
      </c>
      <c r="J244" s="291">
        <f t="shared" si="36"/>
        <v>0</v>
      </c>
      <c r="K244" s="292">
        <f t="shared" si="37"/>
        <v>0</v>
      </c>
      <c r="L244" s="59">
        <f>K244*D244*'B) D RI'!S246</f>
        <v>0</v>
      </c>
      <c r="M244" s="15">
        <f>(('B) D RI'!S246*C244)-(L244*$M$4))/'B) D RI'!S246</f>
        <v>2413.8557792207789</v>
      </c>
      <c r="N244" s="281">
        <f t="shared" si="38"/>
        <v>18.858248275162335</v>
      </c>
      <c r="O244" s="64">
        <f t="shared" si="39"/>
        <v>0.42101077192078634</v>
      </c>
      <c r="R244" s="13"/>
    </row>
    <row r="245" spans="1:18" x14ac:dyDescent="0.25">
      <c r="A245" s="326">
        <f>'A) Base RI'!A247</f>
        <v>5813</v>
      </c>
      <c r="B245" s="34" t="str">
        <f>'A) Base RI'!B247</f>
        <v>Chevroux</v>
      </c>
      <c r="C245" s="324">
        <f>'B) D RI'!U247</f>
        <v>13303.445833333333</v>
      </c>
      <c r="D245" s="34">
        <f>'B) D RI'!AR247</f>
        <v>470</v>
      </c>
      <c r="E245" s="213">
        <f t="shared" si="31"/>
        <v>28.30520390070922</v>
      </c>
      <c r="F245" s="64">
        <f t="shared" si="32"/>
        <v>0.61155642495787177</v>
      </c>
      <c r="G245" s="291">
        <f t="shared" si="33"/>
        <v>0</v>
      </c>
      <c r="H245" s="291">
        <f t="shared" si="34"/>
        <v>0</v>
      </c>
      <c r="I245" s="291">
        <f t="shared" si="35"/>
        <v>0</v>
      </c>
      <c r="J245" s="291">
        <f t="shared" si="36"/>
        <v>0</v>
      </c>
      <c r="K245" s="292">
        <f t="shared" si="37"/>
        <v>0</v>
      </c>
      <c r="L245" s="59">
        <f>K245*D245*'B) D RI'!S247</f>
        <v>0</v>
      </c>
      <c r="M245" s="15">
        <f>(('B) D RI'!S247*C245)-(L245*$M$4))/'B) D RI'!S247</f>
        <v>13303.445833333333</v>
      </c>
      <c r="N245" s="281">
        <f t="shared" si="38"/>
        <v>28.30520390070922</v>
      </c>
      <c r="O245" s="64">
        <f t="shared" si="39"/>
        <v>0.63191424620854719</v>
      </c>
      <c r="R245" s="13"/>
    </row>
    <row r="246" spans="1:18" x14ac:dyDescent="0.25">
      <c r="A246" s="326">
        <f>'A) Base RI'!A248</f>
        <v>5816</v>
      </c>
      <c r="B246" s="34" t="str">
        <f>'A) Base RI'!B248</f>
        <v>Corcelles-près-Payerne</v>
      </c>
      <c r="C246" s="324">
        <f>'B) D RI'!U248</f>
        <v>57954.816904761909</v>
      </c>
      <c r="D246" s="34">
        <f>'B) D RI'!AR248</f>
        <v>2448</v>
      </c>
      <c r="E246" s="213">
        <f t="shared" si="31"/>
        <v>23.674353310768755</v>
      </c>
      <c r="F246" s="64">
        <f t="shared" si="32"/>
        <v>0.51150321773730534</v>
      </c>
      <c r="G246" s="291">
        <f t="shared" si="33"/>
        <v>0</v>
      </c>
      <c r="H246" s="291">
        <f t="shared" si="34"/>
        <v>0</v>
      </c>
      <c r="I246" s="291">
        <f t="shared" si="35"/>
        <v>0</v>
      </c>
      <c r="J246" s="291">
        <f t="shared" si="36"/>
        <v>0</v>
      </c>
      <c r="K246" s="292">
        <f t="shared" si="37"/>
        <v>0</v>
      </c>
      <c r="L246" s="59">
        <f>K246*D246*'B) D RI'!S248</f>
        <v>0</v>
      </c>
      <c r="M246" s="15">
        <f>(('B) D RI'!S248*C246)-(L246*$M$4))/'B) D RI'!S248</f>
        <v>57954.816904761909</v>
      </c>
      <c r="N246" s="281">
        <f t="shared" si="38"/>
        <v>23.674353310768755</v>
      </c>
      <c r="O246" s="64">
        <f t="shared" si="39"/>
        <v>0.52853041367684395</v>
      </c>
      <c r="R246" s="13"/>
    </row>
    <row r="247" spans="1:18" x14ac:dyDescent="0.25">
      <c r="A247" s="326">
        <f>'A) Base RI'!A249</f>
        <v>5817</v>
      </c>
      <c r="B247" s="34" t="str">
        <f>'A) Base RI'!B249</f>
        <v>Grandcour</v>
      </c>
      <c r="C247" s="324">
        <f>'B) D RI'!U249</f>
        <v>22248.358742138364</v>
      </c>
      <c r="D247" s="34">
        <f>'B) D RI'!AR249</f>
        <v>890</v>
      </c>
      <c r="E247" s="213">
        <f t="shared" si="31"/>
        <v>24.998155890043105</v>
      </c>
      <c r="F247" s="64">
        <f t="shared" si="32"/>
        <v>0.54010502451357612</v>
      </c>
      <c r="G247" s="291">
        <f t="shared" si="33"/>
        <v>0</v>
      </c>
      <c r="H247" s="291">
        <f t="shared" si="34"/>
        <v>0</v>
      </c>
      <c r="I247" s="291">
        <f t="shared" si="35"/>
        <v>0</v>
      </c>
      <c r="J247" s="291">
        <f t="shared" si="36"/>
        <v>0</v>
      </c>
      <c r="K247" s="292">
        <f t="shared" si="37"/>
        <v>0</v>
      </c>
      <c r="L247" s="59">
        <f>K247*D247*'B) D RI'!S249</f>
        <v>0</v>
      </c>
      <c r="M247" s="15">
        <f>(('B) D RI'!S249*C247)-(L247*$M$4))/'B) D RI'!S249</f>
        <v>22248.358742138364</v>
      </c>
      <c r="N247" s="281">
        <f t="shared" si="38"/>
        <v>24.998155890043105</v>
      </c>
      <c r="O247" s="64">
        <f t="shared" si="39"/>
        <v>0.55808433287649051</v>
      </c>
      <c r="R247" s="13"/>
    </row>
    <row r="248" spans="1:18" x14ac:dyDescent="0.25">
      <c r="A248" s="326">
        <f>'A) Base RI'!A250</f>
        <v>5819</v>
      </c>
      <c r="B248" s="34" t="str">
        <f>'A) Base RI'!B250</f>
        <v>Henniez</v>
      </c>
      <c r="C248" s="324">
        <f>'B) D RI'!U250</f>
        <v>14874.063333333332</v>
      </c>
      <c r="D248" s="34">
        <f>'B) D RI'!AR250</f>
        <v>359</v>
      </c>
      <c r="E248" s="213">
        <f t="shared" si="31"/>
        <v>41.431931290622096</v>
      </c>
      <c r="F248" s="64">
        <f t="shared" si="32"/>
        <v>0.89516980227646958</v>
      </c>
      <c r="G248" s="291">
        <f t="shared" si="33"/>
        <v>0</v>
      </c>
      <c r="H248" s="291">
        <f t="shared" si="34"/>
        <v>0</v>
      </c>
      <c r="I248" s="291">
        <f t="shared" si="35"/>
        <v>0</v>
      </c>
      <c r="J248" s="291">
        <f t="shared" si="36"/>
        <v>0</v>
      </c>
      <c r="K248" s="292">
        <f t="shared" si="37"/>
        <v>0</v>
      </c>
      <c r="L248" s="59">
        <f>K248*D248*'B) D RI'!S250</f>
        <v>0</v>
      </c>
      <c r="M248" s="15">
        <f>(('B) D RI'!S250*C248)-(L248*$M$4))/'B) D RI'!S250</f>
        <v>14874.063333333332</v>
      </c>
      <c r="N248" s="281">
        <f t="shared" si="38"/>
        <v>41.431931290622096</v>
      </c>
      <c r="O248" s="64">
        <f t="shared" si="39"/>
        <v>0.92496869912397184</v>
      </c>
      <c r="R248" s="13"/>
    </row>
    <row r="249" spans="1:18" x14ac:dyDescent="0.25">
      <c r="A249" s="326">
        <f>'A) Base RI'!A251</f>
        <v>5821</v>
      </c>
      <c r="B249" s="34" t="str">
        <f>'A) Base RI'!B251</f>
        <v>Missy</v>
      </c>
      <c r="C249" s="324">
        <f>'B) D RI'!U251</f>
        <v>7639.0673611111124</v>
      </c>
      <c r="D249" s="34">
        <f>'B) D RI'!AR251</f>
        <v>352</v>
      </c>
      <c r="E249" s="213">
        <f t="shared" si="31"/>
        <v>21.70189591224748</v>
      </c>
      <c r="F249" s="64">
        <f t="shared" si="32"/>
        <v>0.46888670809290212</v>
      </c>
      <c r="G249" s="291">
        <f t="shared" si="33"/>
        <v>0</v>
      </c>
      <c r="H249" s="291">
        <f t="shared" si="34"/>
        <v>0</v>
      </c>
      <c r="I249" s="291">
        <f t="shared" si="35"/>
        <v>0</v>
      </c>
      <c r="J249" s="291">
        <f t="shared" si="36"/>
        <v>0</v>
      </c>
      <c r="K249" s="292">
        <f t="shared" si="37"/>
        <v>0</v>
      </c>
      <c r="L249" s="59">
        <f>K249*D249*'B) D RI'!S251</f>
        <v>0</v>
      </c>
      <c r="M249" s="15">
        <f>(('B) D RI'!S251*C249)-(L249*$M$4))/'B) D RI'!S251</f>
        <v>7639.0673611111124</v>
      </c>
      <c r="N249" s="281">
        <f t="shared" si="38"/>
        <v>21.70189591224748</v>
      </c>
      <c r="O249" s="64">
        <f t="shared" si="39"/>
        <v>0.48449526259517967</v>
      </c>
      <c r="R249" s="13"/>
    </row>
    <row r="250" spans="1:18" x14ac:dyDescent="0.25">
      <c r="A250" s="326">
        <f>'A) Base RI'!A252</f>
        <v>5822</v>
      </c>
      <c r="B250" s="34" t="str">
        <f>'A) Base RI'!B252</f>
        <v>Payerne</v>
      </c>
      <c r="C250" s="324">
        <f>'B) D RI'!U252</f>
        <v>246397.68826666669</v>
      </c>
      <c r="D250" s="34">
        <f>'B) D RI'!AR252</f>
        <v>9716</v>
      </c>
      <c r="E250" s="213">
        <f t="shared" si="31"/>
        <v>25.35999261698916</v>
      </c>
      <c r="F250" s="64">
        <f t="shared" si="32"/>
        <v>0.54792279455776383</v>
      </c>
      <c r="G250" s="291">
        <f t="shared" si="33"/>
        <v>0</v>
      </c>
      <c r="H250" s="291">
        <f t="shared" si="34"/>
        <v>0</v>
      </c>
      <c r="I250" s="291">
        <f t="shared" si="35"/>
        <v>0</v>
      </c>
      <c r="J250" s="291">
        <f t="shared" si="36"/>
        <v>0</v>
      </c>
      <c r="K250" s="292">
        <f t="shared" si="37"/>
        <v>0</v>
      </c>
      <c r="L250" s="59">
        <f>K250*D250*'B) D RI'!S252</f>
        <v>0</v>
      </c>
      <c r="M250" s="15">
        <f>(('B) D RI'!S252*C250)-(L250*$M$4))/'B) D RI'!S252</f>
        <v>246397.68826666669</v>
      </c>
      <c r="N250" s="281">
        <f t="shared" si="38"/>
        <v>25.35999261698916</v>
      </c>
      <c r="O250" s="64">
        <f t="shared" si="39"/>
        <v>0.56616234508091612</v>
      </c>
      <c r="R250" s="13"/>
    </row>
    <row r="251" spans="1:18" x14ac:dyDescent="0.25">
      <c r="A251" s="326">
        <f>'A) Base RI'!A253</f>
        <v>5827</v>
      </c>
      <c r="B251" s="34" t="str">
        <f>'A) Base RI'!B253</f>
        <v>Trey</v>
      </c>
      <c r="C251" s="324">
        <f>'B) D RI'!U253</f>
        <v>6752.2672499999999</v>
      </c>
      <c r="D251" s="34">
        <f>'B) D RI'!AR253</f>
        <v>268</v>
      </c>
      <c r="E251" s="213">
        <f t="shared" si="31"/>
        <v>25.195027052238807</v>
      </c>
      <c r="F251" s="64">
        <f t="shared" si="32"/>
        <v>0.54435858243006541</v>
      </c>
      <c r="G251" s="291">
        <f t="shared" si="33"/>
        <v>0</v>
      </c>
      <c r="H251" s="291">
        <f t="shared" si="34"/>
        <v>0</v>
      </c>
      <c r="I251" s="291">
        <f t="shared" si="35"/>
        <v>0</v>
      </c>
      <c r="J251" s="291">
        <f t="shared" si="36"/>
        <v>0</v>
      </c>
      <c r="K251" s="292">
        <f t="shared" si="37"/>
        <v>0</v>
      </c>
      <c r="L251" s="59">
        <f>K251*D251*'B) D RI'!S253</f>
        <v>0</v>
      </c>
      <c r="M251" s="15">
        <f>(('B) D RI'!S253*C251)-(L251*$M$4))/'B) D RI'!S253</f>
        <v>6752.2672499999999</v>
      </c>
      <c r="N251" s="281">
        <f t="shared" si="38"/>
        <v>25.195027052238807</v>
      </c>
      <c r="O251" s="64">
        <f t="shared" si="39"/>
        <v>0.56247948553094573</v>
      </c>
      <c r="R251" s="13"/>
    </row>
    <row r="252" spans="1:18" x14ac:dyDescent="0.25">
      <c r="A252" s="326">
        <f>'A) Base RI'!A254</f>
        <v>5828</v>
      </c>
      <c r="B252" s="34" t="str">
        <f>'A) Base RI'!B254</f>
        <v>Treytorrens (Payerne)</v>
      </c>
      <c r="C252" s="324">
        <f>'B) D RI'!U254</f>
        <v>2280.7091269841271</v>
      </c>
      <c r="D252" s="34">
        <f>'B) D RI'!AR254</f>
        <v>122</v>
      </c>
      <c r="E252" s="213">
        <f t="shared" si="31"/>
        <v>18.694337106427273</v>
      </c>
      <c r="F252" s="64">
        <f t="shared" si="32"/>
        <v>0.40390600992906078</v>
      </c>
      <c r="G252" s="291">
        <f t="shared" si="33"/>
        <v>0</v>
      </c>
      <c r="H252" s="291">
        <f t="shared" si="34"/>
        <v>0</v>
      </c>
      <c r="I252" s="291">
        <f t="shared" si="35"/>
        <v>0</v>
      </c>
      <c r="J252" s="291">
        <f t="shared" si="36"/>
        <v>0</v>
      </c>
      <c r="K252" s="292">
        <f t="shared" si="37"/>
        <v>0</v>
      </c>
      <c r="L252" s="59">
        <f>K252*D252*'B) D RI'!S254</f>
        <v>0</v>
      </c>
      <c r="M252" s="15">
        <f>(('B) D RI'!S254*C252)-(L252*$M$4))/'B) D RI'!S254</f>
        <v>2280.7091269841271</v>
      </c>
      <c r="N252" s="281">
        <f t="shared" si="38"/>
        <v>18.694337106427273</v>
      </c>
      <c r="O252" s="64">
        <f t="shared" si="39"/>
        <v>0.41735145178305777</v>
      </c>
      <c r="R252" s="13"/>
    </row>
    <row r="253" spans="1:18" x14ac:dyDescent="0.25">
      <c r="A253" s="326">
        <f>'A) Base RI'!A255</f>
        <v>5830</v>
      </c>
      <c r="B253" s="34" t="str">
        <f>'A) Base RI'!B255</f>
        <v>Villarzel</v>
      </c>
      <c r="C253" s="324">
        <f>'B) D RI'!U255</f>
        <v>10522.833037974684</v>
      </c>
      <c r="D253" s="34">
        <f>'B) D RI'!AR255</f>
        <v>417</v>
      </c>
      <c r="E253" s="213">
        <f t="shared" si="31"/>
        <v>25.234611601857754</v>
      </c>
      <c r="F253" s="64">
        <f t="shared" si="32"/>
        <v>0.54521383808317603</v>
      </c>
      <c r="G253" s="291">
        <f t="shared" si="33"/>
        <v>0</v>
      </c>
      <c r="H253" s="291">
        <f t="shared" si="34"/>
        <v>0</v>
      </c>
      <c r="I253" s="291">
        <f t="shared" si="35"/>
        <v>0</v>
      </c>
      <c r="J253" s="291">
        <f t="shared" si="36"/>
        <v>0</v>
      </c>
      <c r="K253" s="292">
        <f t="shared" si="37"/>
        <v>0</v>
      </c>
      <c r="L253" s="59">
        <f>K253*D253*'B) D RI'!S255</f>
        <v>0</v>
      </c>
      <c r="M253" s="15">
        <f>(('B) D RI'!S255*C253)-(L253*$M$4))/'B) D RI'!S255</f>
        <v>10522.833037974684</v>
      </c>
      <c r="N253" s="281">
        <f t="shared" si="38"/>
        <v>25.234611601857754</v>
      </c>
      <c r="O253" s="64">
        <f t="shared" si="39"/>
        <v>0.56336321139710477</v>
      </c>
      <c r="R253" s="13"/>
    </row>
    <row r="254" spans="1:18" x14ac:dyDescent="0.25">
      <c r="A254" s="326">
        <f>'A) Base RI'!A256</f>
        <v>5831</v>
      </c>
      <c r="B254" s="34" t="str">
        <f>'A) Base RI'!B256</f>
        <v>Valbroye</v>
      </c>
      <c r="C254" s="324">
        <f>'B) D RI'!U256</f>
        <v>82821.588904109609</v>
      </c>
      <c r="D254" s="34">
        <f>'B) D RI'!AR256</f>
        <v>3035</v>
      </c>
      <c r="E254" s="213">
        <f t="shared" si="31"/>
        <v>27.288826657037763</v>
      </c>
      <c r="F254" s="64">
        <f t="shared" si="32"/>
        <v>0.58959678687405359</v>
      </c>
      <c r="G254" s="291">
        <f t="shared" si="33"/>
        <v>0</v>
      </c>
      <c r="H254" s="291">
        <f t="shared" si="34"/>
        <v>0</v>
      </c>
      <c r="I254" s="291">
        <f t="shared" si="35"/>
        <v>0</v>
      </c>
      <c r="J254" s="291">
        <f t="shared" si="36"/>
        <v>0</v>
      </c>
      <c r="K254" s="292">
        <f t="shared" si="37"/>
        <v>0</v>
      </c>
      <c r="L254" s="59">
        <f>K254*D254*'B) D RI'!S256</f>
        <v>0</v>
      </c>
      <c r="M254" s="15">
        <f>(('B) D RI'!S256*C254)-(L254*$M$4))/'B) D RI'!S256</f>
        <v>82821.588904109609</v>
      </c>
      <c r="N254" s="281">
        <f t="shared" si="38"/>
        <v>27.288826657037763</v>
      </c>
      <c r="O254" s="64">
        <f t="shared" si="39"/>
        <v>0.60922360380755469</v>
      </c>
      <c r="R254" s="13"/>
    </row>
    <row r="255" spans="1:18" x14ac:dyDescent="0.25">
      <c r="A255" s="326">
        <f>'A) Base RI'!A257</f>
        <v>5841</v>
      </c>
      <c r="B255" s="34" t="str">
        <f>'A) Base RI'!B257</f>
        <v>Château-d'Oex</v>
      </c>
      <c r="C255" s="324">
        <f>'B) D RI'!U257</f>
        <v>112619.72</v>
      </c>
      <c r="D255" s="34">
        <f>'B) D RI'!AR257</f>
        <v>3433</v>
      </c>
      <c r="E255" s="213">
        <f t="shared" si="31"/>
        <v>32.805045150014564</v>
      </c>
      <c r="F255" s="64">
        <f t="shared" si="32"/>
        <v>0.70877907125840545</v>
      </c>
      <c r="G255" s="291">
        <f t="shared" si="33"/>
        <v>0</v>
      </c>
      <c r="H255" s="291">
        <f t="shared" si="34"/>
        <v>0</v>
      </c>
      <c r="I255" s="291">
        <f t="shared" si="35"/>
        <v>0</v>
      </c>
      <c r="J255" s="291">
        <f t="shared" si="36"/>
        <v>0</v>
      </c>
      <c r="K255" s="292">
        <f t="shared" si="37"/>
        <v>0</v>
      </c>
      <c r="L255" s="59">
        <f>K255*D255*'B) D RI'!S257</f>
        <v>0</v>
      </c>
      <c r="M255" s="15">
        <f>(('B) D RI'!S257*C255)-(L255*$M$4))/'B) D RI'!S257</f>
        <v>112619.72</v>
      </c>
      <c r="N255" s="281">
        <f t="shared" si="38"/>
        <v>32.805045150014564</v>
      </c>
      <c r="O255" s="64">
        <f t="shared" si="39"/>
        <v>0.73237329257640138</v>
      </c>
      <c r="R255" s="13"/>
    </row>
    <row r="256" spans="1:18" x14ac:dyDescent="0.25">
      <c r="A256" s="326">
        <f>'A) Base RI'!A258</f>
        <v>5842</v>
      </c>
      <c r="B256" s="34" t="str">
        <f>'A) Base RI'!B258</f>
        <v>Rossinière</v>
      </c>
      <c r="C256" s="324">
        <f>'B) D RI'!U258</f>
        <v>12532.166460905351</v>
      </c>
      <c r="D256" s="34">
        <f>'B) D RI'!AR258</f>
        <v>545</v>
      </c>
      <c r="E256" s="213">
        <f t="shared" si="31"/>
        <v>22.994800845697892</v>
      </c>
      <c r="F256" s="64">
        <f t="shared" si="32"/>
        <v>0.49682094667620086</v>
      </c>
      <c r="G256" s="291">
        <f t="shared" si="33"/>
        <v>0</v>
      </c>
      <c r="H256" s="291">
        <f t="shared" si="34"/>
        <v>0</v>
      </c>
      <c r="I256" s="291">
        <f t="shared" si="35"/>
        <v>0</v>
      </c>
      <c r="J256" s="291">
        <f t="shared" si="36"/>
        <v>0</v>
      </c>
      <c r="K256" s="292">
        <f t="shared" si="37"/>
        <v>0</v>
      </c>
      <c r="L256" s="59">
        <f>K256*D256*'B) D RI'!S258</f>
        <v>0</v>
      </c>
      <c r="M256" s="15">
        <f>(('B) D RI'!S258*C256)-(L256*$M$4))/'B) D RI'!S258</f>
        <v>12532.166460905351</v>
      </c>
      <c r="N256" s="281">
        <f t="shared" si="38"/>
        <v>22.994800845697892</v>
      </c>
      <c r="O256" s="64">
        <f t="shared" si="39"/>
        <v>0.51335939123055607</v>
      </c>
      <c r="R256" s="13"/>
    </row>
    <row r="257" spans="1:18" x14ac:dyDescent="0.25">
      <c r="A257" s="326">
        <f>'A) Base RI'!A259</f>
        <v>5843</v>
      </c>
      <c r="B257" s="34" t="str">
        <f>'A) Base RI'!B259</f>
        <v>Rougemont</v>
      </c>
      <c r="C257" s="324">
        <f>'B) D RI'!U259</f>
        <v>87898.663243243253</v>
      </c>
      <c r="D257" s="34">
        <f>'B) D RI'!AR259</f>
        <v>882</v>
      </c>
      <c r="E257" s="213">
        <f t="shared" si="31"/>
        <v>99.658348348348355</v>
      </c>
      <c r="F257" s="64">
        <f t="shared" si="32"/>
        <v>2.153197816447987</v>
      </c>
      <c r="G257" s="291">
        <f t="shared" si="33"/>
        <v>44.117692908106854</v>
      </c>
      <c r="H257" s="291">
        <f t="shared" si="34"/>
        <v>30.232529048046473</v>
      </c>
      <c r="I257" s="291">
        <f t="shared" si="35"/>
        <v>7.0905892812791791</v>
      </c>
      <c r="J257" s="291">
        <f t="shared" si="36"/>
        <v>0</v>
      </c>
      <c r="K257" s="292">
        <f t="shared" si="37"/>
        <v>19.614681279851034</v>
      </c>
      <c r="L257" s="59">
        <f>K257*D257*'B) D RI'!S259</f>
        <v>1280211.0177733172</v>
      </c>
      <c r="M257" s="15">
        <f>(('B) D RI'!S259*C257)-(L257*$M$4))/'B) D RI'!S259</f>
        <v>76653.566465504657</v>
      </c>
      <c r="N257" s="281">
        <f t="shared" si="38"/>
        <v>86.908805516445184</v>
      </c>
      <c r="O257" s="64">
        <f t="shared" si="39"/>
        <v>1.9402408306068988</v>
      </c>
      <c r="R257" s="13"/>
    </row>
    <row r="258" spans="1:18" x14ac:dyDescent="0.25">
      <c r="A258" s="326">
        <f>'A) Base RI'!A260</f>
        <v>5851</v>
      </c>
      <c r="B258" s="34" t="str">
        <f>'A) Base RI'!B260</f>
        <v>Allaman</v>
      </c>
      <c r="C258" s="324">
        <f>'B) D RI'!U260</f>
        <v>28628.932741935481</v>
      </c>
      <c r="D258" s="34">
        <f>'B) D RI'!AR260</f>
        <v>442</v>
      </c>
      <c r="E258" s="213">
        <f t="shared" si="31"/>
        <v>64.771341045102901</v>
      </c>
      <c r="F258" s="64">
        <f t="shared" si="32"/>
        <v>1.3994362982941693</v>
      </c>
      <c r="G258" s="291">
        <f t="shared" si="33"/>
        <v>9.2306856048613994</v>
      </c>
      <c r="H258" s="291">
        <f t="shared" si="34"/>
        <v>0</v>
      </c>
      <c r="I258" s="291">
        <f t="shared" si="35"/>
        <v>0</v>
      </c>
      <c r="J258" s="291">
        <f t="shared" si="36"/>
        <v>0</v>
      </c>
      <c r="K258" s="292">
        <f t="shared" si="37"/>
        <v>3.3230468177501038</v>
      </c>
      <c r="L258" s="59">
        <f>K258*D258*'B) D RI'!S260</f>
        <v>91064.77499362384</v>
      </c>
      <c r="M258" s="15">
        <f>(('B) D RI'!S260*C258)-(L258*$M$4))/'B) D RI'!S260</f>
        <v>27674.221391195879</v>
      </c>
      <c r="N258" s="281">
        <f t="shared" si="38"/>
        <v>62.611360613565338</v>
      </c>
      <c r="O258" s="64">
        <f t="shared" si="39"/>
        <v>1.3977998846078374</v>
      </c>
      <c r="R258" s="13"/>
    </row>
    <row r="259" spans="1:18" x14ac:dyDescent="0.25">
      <c r="A259" s="326">
        <f>'A) Base RI'!A261</f>
        <v>5852</v>
      </c>
      <c r="B259" s="34" t="str">
        <f>'A) Base RI'!B261</f>
        <v>Bursinel</v>
      </c>
      <c r="C259" s="324">
        <f>'B) D RI'!U261</f>
        <v>38777.824427480911</v>
      </c>
      <c r="D259" s="34">
        <f>'B) D RI'!AR261</f>
        <v>488</v>
      </c>
      <c r="E259" s="213">
        <f t="shared" si="31"/>
        <v>79.462754974346126</v>
      </c>
      <c r="F259" s="64">
        <f t="shared" si="32"/>
        <v>1.7168559717811052</v>
      </c>
      <c r="G259" s="291">
        <f t="shared" si="33"/>
        <v>23.922099534104625</v>
      </c>
      <c r="H259" s="291">
        <f t="shared" si="34"/>
        <v>10.036935674044244</v>
      </c>
      <c r="I259" s="291">
        <f t="shared" si="35"/>
        <v>0</v>
      </c>
      <c r="J259" s="291">
        <f t="shared" si="36"/>
        <v>0</v>
      </c>
      <c r="K259" s="292">
        <f t="shared" si="37"/>
        <v>9.6156493996820895</v>
      </c>
      <c r="L259" s="59">
        <f>K259*D259*'B) D RI'!S261</f>
        <v>307354.61741143826</v>
      </c>
      <c r="M259" s="15">
        <f>(('B) D RI'!S261*C259)-(L259*$M$4))/'B) D RI'!S261</f>
        <v>35727.740437901746</v>
      </c>
      <c r="N259" s="281">
        <f t="shared" si="38"/>
        <v>73.212582864552758</v>
      </c>
      <c r="O259" s="64">
        <f t="shared" si="39"/>
        <v>1.6344723845170905</v>
      </c>
      <c r="R259" s="13"/>
    </row>
    <row r="260" spans="1:18" x14ac:dyDescent="0.25">
      <c r="A260" s="326">
        <f>'A) Base RI'!A262</f>
        <v>5853</v>
      </c>
      <c r="B260" s="34" t="str">
        <f>'A) Base RI'!B262</f>
        <v>Bursins</v>
      </c>
      <c r="C260" s="324">
        <f>'B) D RI'!U262</f>
        <v>36130.042112676056</v>
      </c>
      <c r="D260" s="34">
        <f>'B) D RI'!AR262</f>
        <v>745</v>
      </c>
      <c r="E260" s="213">
        <f t="shared" si="31"/>
        <v>48.496700822383964</v>
      </c>
      <c r="F260" s="64">
        <f t="shared" si="32"/>
        <v>1.04780976251669</v>
      </c>
      <c r="G260" s="291">
        <f t="shared" si="33"/>
        <v>0</v>
      </c>
      <c r="H260" s="291">
        <f t="shared" si="34"/>
        <v>0</v>
      </c>
      <c r="I260" s="291">
        <f t="shared" si="35"/>
        <v>0</v>
      </c>
      <c r="J260" s="291">
        <f t="shared" si="36"/>
        <v>0</v>
      </c>
      <c r="K260" s="292">
        <f t="shared" si="37"/>
        <v>0</v>
      </c>
      <c r="L260" s="59">
        <f>K260*D260*'B) D RI'!S262</f>
        <v>0</v>
      </c>
      <c r="M260" s="15">
        <f>(('B) D RI'!S262*C260)-(L260*$M$4))/'B) D RI'!S262</f>
        <v>36130.042112676056</v>
      </c>
      <c r="N260" s="281">
        <f t="shared" si="38"/>
        <v>48.496700822383964</v>
      </c>
      <c r="O260" s="64">
        <f t="shared" si="39"/>
        <v>1.0826898209699993</v>
      </c>
      <c r="R260" s="13"/>
    </row>
    <row r="261" spans="1:18" x14ac:dyDescent="0.25">
      <c r="A261" s="326">
        <f>'A) Base RI'!A263</f>
        <v>5854</v>
      </c>
      <c r="B261" s="34" t="str">
        <f>'A) Base RI'!B263</f>
        <v>Burtigny</v>
      </c>
      <c r="C261" s="324">
        <f>'B) D RI'!U263</f>
        <v>10180.844041666667</v>
      </c>
      <c r="D261" s="34">
        <f>'B) D RI'!AR263</f>
        <v>361</v>
      </c>
      <c r="E261" s="213">
        <f t="shared" si="31"/>
        <v>28.201784048938137</v>
      </c>
      <c r="F261" s="64">
        <f t="shared" si="32"/>
        <v>0.60932195687063739</v>
      </c>
      <c r="G261" s="291">
        <f t="shared" si="33"/>
        <v>0</v>
      </c>
      <c r="H261" s="291">
        <f t="shared" si="34"/>
        <v>0</v>
      </c>
      <c r="I261" s="291">
        <f t="shared" si="35"/>
        <v>0</v>
      </c>
      <c r="J261" s="291">
        <f t="shared" si="36"/>
        <v>0</v>
      </c>
      <c r="K261" s="292">
        <f t="shared" si="37"/>
        <v>0</v>
      </c>
      <c r="L261" s="59">
        <f>K261*D261*'B) D RI'!S263</f>
        <v>0</v>
      </c>
      <c r="M261" s="15">
        <f>(('B) D RI'!S263*C261)-(L261*$M$4))/'B) D RI'!S263</f>
        <v>10180.844041666667</v>
      </c>
      <c r="N261" s="281">
        <f t="shared" si="38"/>
        <v>28.201784048938137</v>
      </c>
      <c r="O261" s="64">
        <f t="shared" si="39"/>
        <v>0.62960539593832232</v>
      </c>
      <c r="R261" s="13"/>
    </row>
    <row r="262" spans="1:18" x14ac:dyDescent="0.25">
      <c r="A262" s="326">
        <f>'A) Base RI'!A264</f>
        <v>5855</v>
      </c>
      <c r="B262" s="34" t="str">
        <f>'A) Base RI'!B264</f>
        <v>Dully</v>
      </c>
      <c r="C262" s="324">
        <f>'B) D RI'!U264</f>
        <v>78426.610408163266</v>
      </c>
      <c r="D262" s="34">
        <f>'B) D RI'!AR264</f>
        <v>640</v>
      </c>
      <c r="E262" s="213">
        <f t="shared" ref="E262:E313" si="40">C262/D262</f>
        <v>122.54157876275511</v>
      </c>
      <c r="F262" s="64">
        <f t="shared" ref="F262:F313" si="41">E262/$E$314</f>
        <v>2.6476081952890023</v>
      </c>
      <c r="G262" s="291">
        <f t="shared" ref="G262:G313" si="42">IF(E262-$G$2&lt;0,0,E262-$G$2)</f>
        <v>67.000923322513614</v>
      </c>
      <c r="H262" s="291">
        <f t="shared" ref="H262:H313" si="43">IF(E262-$H$2&lt;0,0,E262-$H$2)</f>
        <v>53.115759462453227</v>
      </c>
      <c r="I262" s="291">
        <f t="shared" ref="I262:I313" si="44">IF(E262-$I$2&lt;0,0,E262-$I$2)</f>
        <v>29.973819695685933</v>
      </c>
      <c r="J262" s="291">
        <f t="shared" ref="J262:J313" si="45">IF(E262-$J$2&lt;0,0,E262-$J$2)</f>
        <v>0</v>
      </c>
      <c r="K262" s="292">
        <f t="shared" ref="K262:K313" si="46">(G262-H262)*$G$3+(H262-I262)*$H$3+(I262-J262)*$I$3+(J262*$J$3)</f>
        <v>32.42929031191882</v>
      </c>
      <c r="L262" s="59">
        <f>K262*D262*'B) D RI'!S264</f>
        <v>1016982.5441817741</v>
      </c>
      <c r="M262" s="15">
        <f>(('B) D RI'!S264*C262)-(L262*$M$4))/'B) D RI'!S264</f>
        <v>64936.025638405044</v>
      </c>
      <c r="N262" s="281">
        <f t="shared" ref="N262:N313" si="47">M262/D262</f>
        <v>101.46254006000788</v>
      </c>
      <c r="O262" s="64">
        <f t="shared" ref="O262:O313" si="48">N262/N$314</f>
        <v>2.2651532469200091</v>
      </c>
      <c r="R262" s="13"/>
    </row>
    <row r="263" spans="1:18" x14ac:dyDescent="0.25">
      <c r="A263" s="326">
        <f>'A) Base RI'!A265</f>
        <v>5856</v>
      </c>
      <c r="B263" s="34" t="str">
        <f>'A) Base RI'!B265</f>
        <v>Essertines-sur-Rolle</v>
      </c>
      <c r="C263" s="324">
        <f>'B) D RI'!U265</f>
        <v>34355.55787330318</v>
      </c>
      <c r="D263" s="34">
        <f>'B) D RI'!AR265</f>
        <v>696</v>
      </c>
      <c r="E263" s="213">
        <f t="shared" si="40"/>
        <v>49.361433726010318</v>
      </c>
      <c r="F263" s="64">
        <f t="shared" si="41"/>
        <v>1.0664930041191969</v>
      </c>
      <c r="G263" s="291">
        <f t="shared" si="42"/>
        <v>0</v>
      </c>
      <c r="H263" s="291">
        <f t="shared" si="43"/>
        <v>0</v>
      </c>
      <c r="I263" s="291">
        <f t="shared" si="44"/>
        <v>0</v>
      </c>
      <c r="J263" s="291">
        <f t="shared" si="45"/>
        <v>0</v>
      </c>
      <c r="K263" s="292">
        <f t="shared" si="46"/>
        <v>0</v>
      </c>
      <c r="L263" s="59">
        <f>K263*D263*'B) D RI'!S265</f>
        <v>0</v>
      </c>
      <c r="M263" s="15">
        <f>(('B) D RI'!S265*C263)-(L263*$M$4))/'B) D RI'!S265</f>
        <v>34355.55787330318</v>
      </c>
      <c r="N263" s="281">
        <f t="shared" si="47"/>
        <v>49.361433726010318</v>
      </c>
      <c r="O263" s="64">
        <f t="shared" si="48"/>
        <v>1.1019950004304124</v>
      </c>
      <c r="R263" s="13"/>
    </row>
    <row r="264" spans="1:18" x14ac:dyDescent="0.25">
      <c r="A264" s="326">
        <f>'A) Base RI'!A266</f>
        <v>5857</v>
      </c>
      <c r="B264" s="34" t="str">
        <f>'A) Base RI'!B266</f>
        <v>Gilly</v>
      </c>
      <c r="C264" s="324">
        <f>'B) D RI'!U266</f>
        <v>76893.262272727268</v>
      </c>
      <c r="D264" s="34">
        <f>'B) D RI'!AR266</f>
        <v>1294</v>
      </c>
      <c r="E264" s="213">
        <f t="shared" si="40"/>
        <v>59.422922931010255</v>
      </c>
      <c r="F264" s="64">
        <f t="shared" si="41"/>
        <v>1.283879474449757</v>
      </c>
      <c r="G264" s="291">
        <f t="shared" si="42"/>
        <v>3.8822674907687542</v>
      </c>
      <c r="H264" s="291">
        <f t="shared" si="43"/>
        <v>0</v>
      </c>
      <c r="I264" s="291">
        <f t="shared" si="44"/>
        <v>0</v>
      </c>
      <c r="J264" s="291">
        <f t="shared" si="45"/>
        <v>0</v>
      </c>
      <c r="K264" s="292">
        <f t="shared" si="46"/>
        <v>1.3976162966767514</v>
      </c>
      <c r="L264" s="59">
        <f>K264*D264*'B) D RI'!S266</f>
        <v>119362.02220138126</v>
      </c>
      <c r="M264" s="15">
        <f>(('B) D RI'!S266*C264)-(L264*$M$4))/'B) D RI'!S266</f>
        <v>75717.72720559244</v>
      </c>
      <c r="N264" s="281">
        <f t="shared" si="47"/>
        <v>58.514472338170357</v>
      </c>
      <c r="O264" s="64">
        <f t="shared" si="48"/>
        <v>1.3063367714846006</v>
      </c>
      <c r="R264" s="13"/>
    </row>
    <row r="265" spans="1:18" x14ac:dyDescent="0.25">
      <c r="A265" s="326">
        <f>'A) Base RI'!A267</f>
        <v>5858</v>
      </c>
      <c r="B265" s="34" t="str">
        <f>'A) Base RI'!B267</f>
        <v>Luins</v>
      </c>
      <c r="C265" s="324">
        <f>'B) D RI'!U267</f>
        <v>34234.109777777776</v>
      </c>
      <c r="D265" s="34">
        <f>'B) D RI'!AR267</f>
        <v>608</v>
      </c>
      <c r="E265" s="213">
        <f t="shared" si="40"/>
        <v>56.306101608187134</v>
      </c>
      <c r="F265" s="64">
        <f t="shared" si="41"/>
        <v>1.2165380727730706</v>
      </c>
      <c r="G265" s="291">
        <f t="shared" si="42"/>
        <v>0.76544616794563325</v>
      </c>
      <c r="H265" s="291">
        <f t="shared" si="43"/>
        <v>0</v>
      </c>
      <c r="I265" s="291">
        <f t="shared" si="44"/>
        <v>0</v>
      </c>
      <c r="J265" s="291">
        <f t="shared" si="45"/>
        <v>0</v>
      </c>
      <c r="K265" s="292">
        <f t="shared" si="46"/>
        <v>0.27556062046042795</v>
      </c>
      <c r="L265" s="59">
        <f>K265*D265*'B) D RI'!S267</f>
        <v>10052.451434396411</v>
      </c>
      <c r="M265" s="15">
        <f>(('B) D RI'!S267*C265)-(L265*$M$4))/'B) D RI'!S267</f>
        <v>34125.208220571811</v>
      </c>
      <c r="N265" s="281">
        <f t="shared" si="47"/>
        <v>56.126987204887847</v>
      </c>
      <c r="O265" s="64">
        <f t="shared" si="48"/>
        <v>1.2530361178795393</v>
      </c>
      <c r="R265" s="13"/>
    </row>
    <row r="266" spans="1:18" x14ac:dyDescent="0.25">
      <c r="A266" s="326">
        <f>'A) Base RI'!A268</f>
        <v>5859</v>
      </c>
      <c r="B266" s="34" t="str">
        <f>'A) Base RI'!B268</f>
        <v>Mont-sur-Rolle</v>
      </c>
      <c r="C266" s="324">
        <f>'B) D RI'!U268</f>
        <v>136889.24374999999</v>
      </c>
      <c r="D266" s="34">
        <f>'B) D RI'!AR268</f>
        <v>2701</v>
      </c>
      <c r="E266" s="213">
        <f t="shared" si="40"/>
        <v>50.680949185486853</v>
      </c>
      <c r="F266" s="64">
        <f t="shared" si="41"/>
        <v>1.0950021842651805</v>
      </c>
      <c r="G266" s="291">
        <f t="shared" si="42"/>
        <v>0</v>
      </c>
      <c r="H266" s="291">
        <f t="shared" si="43"/>
        <v>0</v>
      </c>
      <c r="I266" s="291">
        <f t="shared" si="44"/>
        <v>0</v>
      </c>
      <c r="J266" s="291">
        <f t="shared" si="45"/>
        <v>0</v>
      </c>
      <c r="K266" s="292">
        <f t="shared" si="46"/>
        <v>0</v>
      </c>
      <c r="L266" s="59">
        <f>K266*D266*'B) D RI'!S268</f>
        <v>0</v>
      </c>
      <c r="M266" s="15">
        <f>(('B) D RI'!S268*C266)-(L266*$M$4))/'B) D RI'!S268</f>
        <v>136889.24374999999</v>
      </c>
      <c r="N266" s="281">
        <f t="shared" si="47"/>
        <v>50.680949185486853</v>
      </c>
      <c r="O266" s="64">
        <f t="shared" si="48"/>
        <v>1.1314532095943728</v>
      </c>
      <c r="R266" s="13"/>
    </row>
    <row r="267" spans="1:18" x14ac:dyDescent="0.25">
      <c r="A267" s="326">
        <f>'A) Base RI'!A269</f>
        <v>5860</v>
      </c>
      <c r="B267" s="34" t="str">
        <f>'A) Base RI'!B269</f>
        <v>Perroy</v>
      </c>
      <c r="C267" s="324">
        <f>'B) D RI'!U269</f>
        <v>87860.762038461558</v>
      </c>
      <c r="D267" s="34">
        <f>'B) D RI'!AR269</f>
        <v>1514</v>
      </c>
      <c r="E267" s="213">
        <f t="shared" si="40"/>
        <v>58.032207423026129</v>
      </c>
      <c r="F267" s="64">
        <f t="shared" si="41"/>
        <v>1.2538319606717365</v>
      </c>
      <c r="G267" s="291">
        <f t="shared" si="42"/>
        <v>2.4915519827846282</v>
      </c>
      <c r="H267" s="291">
        <f t="shared" si="43"/>
        <v>0</v>
      </c>
      <c r="I267" s="291">
        <f t="shared" si="44"/>
        <v>0</v>
      </c>
      <c r="J267" s="291">
        <f t="shared" si="45"/>
        <v>0</v>
      </c>
      <c r="K267" s="292">
        <f t="shared" si="46"/>
        <v>0.89695871380246617</v>
      </c>
      <c r="L267" s="59">
        <f>K267*D267*'B) D RI'!S269</f>
        <v>81479.729561816028</v>
      </c>
      <c r="M267" s="15">
        <f>(('B) D RI'!S269*C267)-(L267*$M$4))/'B) D RI'!S269</f>
        <v>86978.06496820855</v>
      </c>
      <c r="N267" s="281">
        <f t="shared" si="47"/>
        <v>57.449184259054526</v>
      </c>
      <c r="O267" s="64">
        <f t="shared" si="48"/>
        <v>1.2825541936988754</v>
      </c>
      <c r="R267" s="13"/>
    </row>
    <row r="268" spans="1:18" x14ac:dyDescent="0.25">
      <c r="A268" s="326">
        <f>'A) Base RI'!A270</f>
        <v>5861</v>
      </c>
      <c r="B268" s="34" t="str">
        <f>'A) Base RI'!B270</f>
        <v>Rolle</v>
      </c>
      <c r="C268" s="324">
        <f>'B) D RI'!U270</f>
        <v>824107.17394957971</v>
      </c>
      <c r="D268" s="34">
        <f>'B) D RI'!AR270</f>
        <v>6225</v>
      </c>
      <c r="E268" s="213">
        <f t="shared" si="40"/>
        <v>132.38669461037426</v>
      </c>
      <c r="F268" s="64">
        <f t="shared" si="41"/>
        <v>2.8603197472773347</v>
      </c>
      <c r="G268" s="291">
        <f t="shared" si="42"/>
        <v>76.846039170132769</v>
      </c>
      <c r="H268" s="291">
        <f t="shared" si="43"/>
        <v>62.960875310072382</v>
      </c>
      <c r="I268" s="291">
        <f t="shared" si="44"/>
        <v>39.818935543305088</v>
      </c>
      <c r="J268" s="291">
        <f t="shared" si="45"/>
        <v>0</v>
      </c>
      <c r="K268" s="292">
        <f t="shared" si="46"/>
        <v>37.942555186585544</v>
      </c>
      <c r="L268" s="59">
        <f>K268*D268*'B) D RI'!S270</f>
        <v>14053448.159171453</v>
      </c>
      <c r="M268" s="15">
        <f>(('B) D RI'!S270*C268)-(L268*$M$4))/'B) D RI'!S270</f>
        <v>670582.11002585792</v>
      </c>
      <c r="N268" s="281">
        <f t="shared" si="47"/>
        <v>107.72403373909364</v>
      </c>
      <c r="O268" s="64">
        <f t="shared" si="48"/>
        <v>2.4049412192037884</v>
      </c>
      <c r="R268" s="13"/>
    </row>
    <row r="269" spans="1:18" x14ac:dyDescent="0.25">
      <c r="A269" s="326">
        <f>'A) Base RI'!A271</f>
        <v>5862</v>
      </c>
      <c r="B269" s="34" t="str">
        <f>'A) Base RI'!B271</f>
        <v>Tartegnin</v>
      </c>
      <c r="C269" s="324">
        <f>'B) D RI'!U271</f>
        <v>10629.942633744855</v>
      </c>
      <c r="D269" s="34">
        <f>'B) D RI'!AR271</f>
        <v>235</v>
      </c>
      <c r="E269" s="213">
        <f t="shared" si="40"/>
        <v>45.233798441467471</v>
      </c>
      <c r="F269" s="64">
        <f t="shared" si="41"/>
        <v>0.97731216348650529</v>
      </c>
      <c r="G269" s="291">
        <f t="shared" si="42"/>
        <v>0</v>
      </c>
      <c r="H269" s="291">
        <f t="shared" si="43"/>
        <v>0</v>
      </c>
      <c r="I269" s="291">
        <f t="shared" si="44"/>
        <v>0</v>
      </c>
      <c r="J269" s="291">
        <f t="shared" si="45"/>
        <v>0</v>
      </c>
      <c r="K269" s="292">
        <f t="shared" si="46"/>
        <v>0</v>
      </c>
      <c r="L269" s="59">
        <f>K269*D269*'B) D RI'!S271</f>
        <v>0</v>
      </c>
      <c r="M269" s="15">
        <f>(('B) D RI'!S271*C269)-(L269*$M$4))/'B) D RI'!S271</f>
        <v>10629.942633744855</v>
      </c>
      <c r="N269" s="281">
        <f t="shared" si="47"/>
        <v>45.233798441467471</v>
      </c>
      <c r="O269" s="64">
        <f t="shared" si="48"/>
        <v>1.0098454597097275</v>
      </c>
      <c r="R269" s="13"/>
    </row>
    <row r="270" spans="1:18" x14ac:dyDescent="0.25">
      <c r="A270" s="326">
        <f>'A) Base RI'!A272</f>
        <v>5863</v>
      </c>
      <c r="B270" s="34" t="str">
        <f>'A) Base RI'!B272</f>
        <v>Vinzel</v>
      </c>
      <c r="C270" s="324">
        <f>'B) D RI'!U272</f>
        <v>22869.43104477612</v>
      </c>
      <c r="D270" s="34">
        <f>'B) D RI'!AR272</f>
        <v>371</v>
      </c>
      <c r="E270" s="213">
        <f t="shared" si="40"/>
        <v>61.642671279719998</v>
      </c>
      <c r="F270" s="64">
        <f t="shared" si="41"/>
        <v>1.3318389015997962</v>
      </c>
      <c r="G270" s="291">
        <f t="shared" si="42"/>
        <v>6.1020158394784971</v>
      </c>
      <c r="H270" s="291">
        <f t="shared" si="43"/>
        <v>0</v>
      </c>
      <c r="I270" s="291">
        <f t="shared" si="44"/>
        <v>0</v>
      </c>
      <c r="J270" s="291">
        <f t="shared" si="45"/>
        <v>0</v>
      </c>
      <c r="K270" s="292">
        <f t="shared" si="46"/>
        <v>2.1967257022122588</v>
      </c>
      <c r="L270" s="59">
        <f>K270*D270*'B) D RI'!S272</f>
        <v>54604.010779890115</v>
      </c>
      <c r="M270" s="15">
        <f>(('B) D RI'!S272*C270)-(L270*$M$4))/'B) D RI'!S272</f>
        <v>22339.690641687634</v>
      </c>
      <c r="N270" s="281">
        <f t="shared" si="47"/>
        <v>60.214799573282029</v>
      </c>
      <c r="O270" s="64">
        <f t="shared" si="48"/>
        <v>1.3442966111964967</v>
      </c>
      <c r="R270" s="13"/>
    </row>
    <row r="271" spans="1:18" x14ac:dyDescent="0.25">
      <c r="A271" s="326">
        <f>'A) Base RI'!A273</f>
        <v>5871</v>
      </c>
      <c r="B271" s="34" t="str">
        <f>'A) Base RI'!B273</f>
        <v>L'Abbaye</v>
      </c>
      <c r="C271" s="324">
        <f>'B) D RI'!U273</f>
        <v>47794.781759379046</v>
      </c>
      <c r="D271" s="34">
        <f>'B) D RI'!AR273</f>
        <v>1492</v>
      </c>
      <c r="E271" s="213">
        <f t="shared" si="40"/>
        <v>32.034036031755392</v>
      </c>
      <c r="F271" s="64">
        <f t="shared" si="41"/>
        <v>0.69212080652282848</v>
      </c>
      <c r="G271" s="291">
        <f t="shared" si="42"/>
        <v>0</v>
      </c>
      <c r="H271" s="291">
        <f t="shared" si="43"/>
        <v>0</v>
      </c>
      <c r="I271" s="291">
        <f t="shared" si="44"/>
        <v>0</v>
      </c>
      <c r="J271" s="291">
        <f t="shared" si="45"/>
        <v>0</v>
      </c>
      <c r="K271" s="292">
        <f t="shared" si="46"/>
        <v>0</v>
      </c>
      <c r="L271" s="59">
        <f>K271*D271*'B) D RI'!S273</f>
        <v>0</v>
      </c>
      <c r="M271" s="15">
        <f>(('B) D RI'!S273*C271)-(L271*$M$4))/'B) D RI'!S273</f>
        <v>47794.781759379046</v>
      </c>
      <c r="N271" s="281">
        <f t="shared" si="47"/>
        <v>32.034036031755392</v>
      </c>
      <c r="O271" s="64">
        <f t="shared" si="48"/>
        <v>0.71516049850878982</v>
      </c>
      <c r="R271" s="13"/>
    </row>
    <row r="272" spans="1:18" x14ac:dyDescent="0.25">
      <c r="A272" s="326">
        <f>'A) Base RI'!A274</f>
        <v>5872</v>
      </c>
      <c r="B272" s="34" t="str">
        <f>'A) Base RI'!B274</f>
        <v>Le Chenit</v>
      </c>
      <c r="C272" s="324">
        <f>'B) D RI'!U274</f>
        <v>222566.8809866097</v>
      </c>
      <c r="D272" s="34">
        <f>'B) D RI'!AR274</f>
        <v>4612</v>
      </c>
      <c r="E272" s="213">
        <f t="shared" si="40"/>
        <v>48.258213570383717</v>
      </c>
      <c r="F272" s="64">
        <f t="shared" si="41"/>
        <v>1.0426570559068766</v>
      </c>
      <c r="G272" s="291">
        <f t="shared" si="42"/>
        <v>0</v>
      </c>
      <c r="H272" s="291">
        <f t="shared" si="43"/>
        <v>0</v>
      </c>
      <c r="I272" s="291">
        <f t="shared" si="44"/>
        <v>0</v>
      </c>
      <c r="J272" s="291">
        <f t="shared" si="45"/>
        <v>0</v>
      </c>
      <c r="K272" s="292">
        <f t="shared" si="46"/>
        <v>0</v>
      </c>
      <c r="L272" s="59">
        <f>K272*D272*'B) D RI'!S274</f>
        <v>0</v>
      </c>
      <c r="M272" s="15">
        <f>(('B) D RI'!S274*C272)-(L272*$M$4))/'B) D RI'!S274</f>
        <v>222566.8809866097</v>
      </c>
      <c r="N272" s="281">
        <f t="shared" si="47"/>
        <v>48.258213570383717</v>
      </c>
      <c r="O272" s="64">
        <f t="shared" si="48"/>
        <v>1.0773655882738939</v>
      </c>
      <c r="R272" s="13"/>
    </row>
    <row r="273" spans="1:18" x14ac:dyDescent="0.25">
      <c r="A273" s="326">
        <f>'A) Base RI'!A275</f>
        <v>5873</v>
      </c>
      <c r="B273" s="34" t="str">
        <f>'A) Base RI'!B275</f>
        <v>Le Lieu</v>
      </c>
      <c r="C273" s="324">
        <f>'B) D RI'!U275</f>
        <v>33457.98871794872</v>
      </c>
      <c r="D273" s="34">
        <f>'B) D RI'!AR275</f>
        <v>869</v>
      </c>
      <c r="E273" s="213">
        <f t="shared" si="40"/>
        <v>38.501713139181497</v>
      </c>
      <c r="F273" s="64">
        <f t="shared" si="41"/>
        <v>0.83186011041458641</v>
      </c>
      <c r="G273" s="291">
        <f t="shared" si="42"/>
        <v>0</v>
      </c>
      <c r="H273" s="291">
        <f t="shared" si="43"/>
        <v>0</v>
      </c>
      <c r="I273" s="291">
        <f t="shared" si="44"/>
        <v>0</v>
      </c>
      <c r="J273" s="291">
        <f t="shared" si="45"/>
        <v>0</v>
      </c>
      <c r="K273" s="292">
        <f t="shared" si="46"/>
        <v>0</v>
      </c>
      <c r="L273" s="59">
        <f>K273*D273*'B) D RI'!S275</f>
        <v>0</v>
      </c>
      <c r="M273" s="15">
        <f>(('B) D RI'!S275*C273)-(L273*$M$4))/'B) D RI'!S275</f>
        <v>33457.98871794872</v>
      </c>
      <c r="N273" s="281">
        <f t="shared" si="47"/>
        <v>38.501713139181497</v>
      </c>
      <c r="O273" s="64">
        <f t="shared" si="48"/>
        <v>0.8595515199759427</v>
      </c>
      <c r="R273" s="13"/>
    </row>
    <row r="274" spans="1:18" x14ac:dyDescent="0.25">
      <c r="A274" s="326">
        <f>'A) Base RI'!A276</f>
        <v>5881</v>
      </c>
      <c r="B274" s="34" t="str">
        <f>'A) Base RI'!B276</f>
        <v>Blonay</v>
      </c>
      <c r="C274" s="324">
        <f>'B) D RI'!U276</f>
        <v>339692.04942857131</v>
      </c>
      <c r="D274" s="34">
        <f>'B) D RI'!AR276</f>
        <v>6183</v>
      </c>
      <c r="E274" s="213">
        <f t="shared" si="40"/>
        <v>54.939681292021881</v>
      </c>
      <c r="F274" s="64">
        <f t="shared" si="41"/>
        <v>1.187015475922147</v>
      </c>
      <c r="G274" s="291">
        <f t="shared" si="42"/>
        <v>0</v>
      </c>
      <c r="H274" s="291">
        <f t="shared" si="43"/>
        <v>0</v>
      </c>
      <c r="I274" s="291">
        <f t="shared" si="44"/>
        <v>0</v>
      </c>
      <c r="J274" s="291">
        <f t="shared" si="45"/>
        <v>0</v>
      </c>
      <c r="K274" s="292">
        <f t="shared" si="46"/>
        <v>0</v>
      </c>
      <c r="L274" s="59">
        <f>K274*D274*'B) D RI'!S276</f>
        <v>0</v>
      </c>
      <c r="M274" s="15">
        <f>(('B) D RI'!S276*C274)-(L274*$M$4))/'B) D RI'!S276</f>
        <v>339692.04942857131</v>
      </c>
      <c r="N274" s="281">
        <f t="shared" si="47"/>
        <v>54.939681292021881</v>
      </c>
      <c r="O274" s="64">
        <f t="shared" si="48"/>
        <v>1.2265294895019623</v>
      </c>
      <c r="R274" s="13"/>
    </row>
    <row r="275" spans="1:18" x14ac:dyDescent="0.25">
      <c r="A275" s="326">
        <f>'A) Base RI'!A277</f>
        <v>5882</v>
      </c>
      <c r="B275" s="34" t="str">
        <f>'A) Base RI'!B277</f>
        <v>Chardonne</v>
      </c>
      <c r="C275" s="324">
        <f>'B) D RI'!U277</f>
        <v>157386.77911764712</v>
      </c>
      <c r="D275" s="34">
        <f>'B) D RI'!AR277</f>
        <v>2921</v>
      </c>
      <c r="E275" s="213">
        <f t="shared" si="40"/>
        <v>53.881129448013397</v>
      </c>
      <c r="F275" s="64">
        <f t="shared" si="41"/>
        <v>1.1641446220810916</v>
      </c>
      <c r="G275" s="291">
        <f t="shared" si="42"/>
        <v>0</v>
      </c>
      <c r="H275" s="291">
        <f t="shared" si="43"/>
        <v>0</v>
      </c>
      <c r="I275" s="291">
        <f t="shared" si="44"/>
        <v>0</v>
      </c>
      <c r="J275" s="291">
        <f t="shared" si="45"/>
        <v>0</v>
      </c>
      <c r="K275" s="292">
        <f t="shared" si="46"/>
        <v>0</v>
      </c>
      <c r="L275" s="59">
        <f>K275*D275*'B) D RI'!S277</f>
        <v>0</v>
      </c>
      <c r="M275" s="15">
        <f>(('B) D RI'!S277*C275)-(L275*$M$4))/'B) D RI'!S277</f>
        <v>157386.77911764712</v>
      </c>
      <c r="N275" s="281">
        <f t="shared" si="47"/>
        <v>53.881129448013397</v>
      </c>
      <c r="O275" s="64">
        <f t="shared" si="48"/>
        <v>1.202897298300452</v>
      </c>
      <c r="R275" s="13"/>
    </row>
    <row r="276" spans="1:18" x14ac:dyDescent="0.25">
      <c r="A276" s="326">
        <f>'A) Base RI'!A278</f>
        <v>5883</v>
      </c>
      <c r="B276" s="34" t="str">
        <f>'A) Base RI'!B278</f>
        <v>Corseaux</v>
      </c>
      <c r="C276" s="324">
        <f>'B) D RI'!U278</f>
        <v>151056.33637681158</v>
      </c>
      <c r="D276" s="34">
        <f>'B) D RI'!AR278</f>
        <v>2289</v>
      </c>
      <c r="E276" s="213">
        <f t="shared" si="40"/>
        <v>65.992283257672156</v>
      </c>
      <c r="F276" s="64">
        <f t="shared" si="41"/>
        <v>1.4258157251026897</v>
      </c>
      <c r="G276" s="291">
        <f t="shared" si="42"/>
        <v>10.451627817430655</v>
      </c>
      <c r="H276" s="291">
        <f t="shared" si="43"/>
        <v>0</v>
      </c>
      <c r="I276" s="291">
        <f t="shared" si="44"/>
        <v>0</v>
      </c>
      <c r="J276" s="291">
        <f t="shared" si="45"/>
        <v>0</v>
      </c>
      <c r="K276" s="292">
        <f t="shared" si="46"/>
        <v>3.7625860142750356</v>
      </c>
      <c r="L276" s="59">
        <f>K276*D276*'B) D RI'!S278</f>
        <v>594266.5976806134</v>
      </c>
      <c r="M276" s="15">
        <f>(('B) D RI'!S278*C276)-(L276*$M$4))/'B) D RI'!S278</f>
        <v>145458.17277547249</v>
      </c>
      <c r="N276" s="281">
        <f t="shared" si="47"/>
        <v>63.546602348393399</v>
      </c>
      <c r="O276" s="64">
        <f t="shared" si="48"/>
        <v>1.4186791751425312</v>
      </c>
      <c r="R276" s="13"/>
    </row>
    <row r="277" spans="1:18" x14ac:dyDescent="0.25">
      <c r="A277" s="326">
        <f>'A) Base RI'!A279</f>
        <v>5884</v>
      </c>
      <c r="B277" s="34" t="str">
        <f>'A) Base RI'!B279</f>
        <v>Corsier-sur-Vevey</v>
      </c>
      <c r="C277" s="324">
        <f>'B) D RI'!U279</f>
        <v>131937.87883838385</v>
      </c>
      <c r="D277" s="34">
        <f>'B) D RI'!AR279</f>
        <v>3396</v>
      </c>
      <c r="E277" s="213">
        <f t="shared" si="40"/>
        <v>38.850965500113034</v>
      </c>
      <c r="F277" s="64">
        <f t="shared" si="41"/>
        <v>0.83940598522999565</v>
      </c>
      <c r="G277" s="291">
        <f t="shared" si="42"/>
        <v>0</v>
      </c>
      <c r="H277" s="291">
        <f t="shared" si="43"/>
        <v>0</v>
      </c>
      <c r="I277" s="291">
        <f t="shared" si="44"/>
        <v>0</v>
      </c>
      <c r="J277" s="291">
        <f t="shared" si="45"/>
        <v>0</v>
      </c>
      <c r="K277" s="292">
        <f t="shared" si="46"/>
        <v>0</v>
      </c>
      <c r="L277" s="59">
        <f>K277*D277*'B) D RI'!S279</f>
        <v>0</v>
      </c>
      <c r="M277" s="15">
        <f>(('B) D RI'!S279*C277)-(L277*$M$4))/'B) D RI'!S279</f>
        <v>131937.87883838385</v>
      </c>
      <c r="N277" s="281">
        <f t="shared" si="47"/>
        <v>38.850965500113034</v>
      </c>
      <c r="O277" s="64">
        <f t="shared" si="48"/>
        <v>0.86734858595606368</v>
      </c>
      <c r="R277" s="13"/>
    </row>
    <row r="278" spans="1:18" x14ac:dyDescent="0.25">
      <c r="A278" s="326">
        <f>'A) Base RI'!A280</f>
        <v>5885</v>
      </c>
      <c r="B278" s="34" t="str">
        <f>'A) Base RI'!B280</f>
        <v>Jongny</v>
      </c>
      <c r="C278" s="324">
        <f>'B) D RI'!U280</f>
        <v>94073.949178403767</v>
      </c>
      <c r="D278" s="34">
        <f>'B) D RI'!AR280</f>
        <v>1549</v>
      </c>
      <c r="E278" s="213">
        <f t="shared" si="40"/>
        <v>60.732052406974674</v>
      </c>
      <c r="F278" s="64">
        <f t="shared" si="41"/>
        <v>1.312164257168023</v>
      </c>
      <c r="G278" s="291">
        <f t="shared" si="42"/>
        <v>5.1913969667331727</v>
      </c>
      <c r="H278" s="291">
        <f t="shared" si="43"/>
        <v>0</v>
      </c>
      <c r="I278" s="291">
        <f t="shared" si="44"/>
        <v>0</v>
      </c>
      <c r="J278" s="291">
        <f t="shared" si="45"/>
        <v>0</v>
      </c>
      <c r="K278" s="292">
        <f t="shared" si="46"/>
        <v>1.8689029080239421</v>
      </c>
      <c r="L278" s="59">
        <f>K278*D278*'B) D RI'!S280</f>
        <v>205540.07292156512</v>
      </c>
      <c r="M278" s="15">
        <f>(('B) D RI'!S280*C278)-(L278*$M$4))/'B) D RI'!S280</f>
        <v>92192.244285459863</v>
      </c>
      <c r="N278" s="281">
        <f t="shared" si="47"/>
        <v>59.51726551675911</v>
      </c>
      <c r="O278" s="64">
        <f t="shared" si="48"/>
        <v>1.3287241493594906</v>
      </c>
      <c r="R278" s="13"/>
    </row>
    <row r="279" spans="1:18" x14ac:dyDescent="0.25">
      <c r="A279" s="326">
        <f>'A) Base RI'!A281</f>
        <v>5886</v>
      </c>
      <c r="B279" s="34" t="str">
        <f>'A) Base RI'!B281</f>
        <v>Montreux</v>
      </c>
      <c r="C279" s="324">
        <f>'B) D RI'!U281</f>
        <v>1128562.492051282</v>
      </c>
      <c r="D279" s="34">
        <f>'B) D RI'!AR281</f>
        <v>26653</v>
      </c>
      <c r="E279" s="213">
        <f t="shared" si="40"/>
        <v>42.342794133916705</v>
      </c>
      <c r="F279" s="64">
        <f t="shared" si="41"/>
        <v>0.91484971788584823</v>
      </c>
      <c r="G279" s="291">
        <f t="shared" si="42"/>
        <v>0</v>
      </c>
      <c r="H279" s="291">
        <f t="shared" si="43"/>
        <v>0</v>
      </c>
      <c r="I279" s="291">
        <f t="shared" si="44"/>
        <v>0</v>
      </c>
      <c r="J279" s="291">
        <f t="shared" si="45"/>
        <v>0</v>
      </c>
      <c r="K279" s="292">
        <f t="shared" si="46"/>
        <v>0</v>
      </c>
      <c r="L279" s="59">
        <f>K279*D279*'B) D RI'!S281</f>
        <v>0</v>
      </c>
      <c r="M279" s="15">
        <f>(('B) D RI'!S281*C279)-(L279*$M$4))/'B) D RI'!S281</f>
        <v>1128562.492051282</v>
      </c>
      <c r="N279" s="281">
        <f t="shared" si="47"/>
        <v>42.342794133916705</v>
      </c>
      <c r="O279" s="64">
        <f t="shared" si="48"/>
        <v>0.94530373041500115</v>
      </c>
      <c r="R279" s="13"/>
    </row>
    <row r="280" spans="1:18" x14ac:dyDescent="0.25">
      <c r="A280" s="326">
        <f>'A) Base RI'!A282</f>
        <v>5888</v>
      </c>
      <c r="B280" s="34" t="str">
        <f>'A) Base RI'!B282</f>
        <v>Saint-Légier-La Chiésaz</v>
      </c>
      <c r="C280" s="324">
        <f>'B) D RI'!U282</f>
        <v>294301.72840796027</v>
      </c>
      <c r="D280" s="34">
        <f>'B) D RI'!AR282</f>
        <v>5167</v>
      </c>
      <c r="E280" s="213">
        <f t="shared" si="40"/>
        <v>56.957950146692525</v>
      </c>
      <c r="F280" s="64">
        <f t="shared" si="41"/>
        <v>1.2306217784838915</v>
      </c>
      <c r="G280" s="291">
        <f t="shared" si="42"/>
        <v>1.417294706451024</v>
      </c>
      <c r="H280" s="291">
        <f t="shared" si="43"/>
        <v>0</v>
      </c>
      <c r="I280" s="291">
        <f t="shared" si="44"/>
        <v>0</v>
      </c>
      <c r="J280" s="291">
        <f t="shared" si="45"/>
        <v>0</v>
      </c>
      <c r="K280" s="292">
        <f t="shared" si="46"/>
        <v>0.51022609432236865</v>
      </c>
      <c r="L280" s="59">
        <f>K280*D280*'B) D RI'!S282</f>
        <v>176634.66136736647</v>
      </c>
      <c r="M280" s="15">
        <f>(('B) D RI'!S282*C280)-(L280*$M$4))/'B) D RI'!S282</f>
        <v>292588.10855887394</v>
      </c>
      <c r="N280" s="281">
        <f t="shared" si="47"/>
        <v>56.626303185382994</v>
      </c>
      <c r="O280" s="64">
        <f t="shared" si="48"/>
        <v>1.2641833571837073</v>
      </c>
      <c r="R280" s="13"/>
    </row>
    <row r="281" spans="1:18" x14ac:dyDescent="0.25">
      <c r="A281" s="326">
        <f>'A) Base RI'!A283</f>
        <v>5889</v>
      </c>
      <c r="B281" s="34" t="str">
        <f>'A) Base RI'!B283</f>
        <v>La Tour-de-Peilz</v>
      </c>
      <c r="C281" s="324">
        <f>'B) D RI'!U283</f>
        <v>666166.0371614584</v>
      </c>
      <c r="D281" s="34">
        <f>'B) D RI'!AR283</f>
        <v>11779</v>
      </c>
      <c r="E281" s="213">
        <f t="shared" si="40"/>
        <v>56.555398349729046</v>
      </c>
      <c r="F281" s="64">
        <f t="shared" si="41"/>
        <v>1.2219243269949382</v>
      </c>
      <c r="G281" s="291">
        <f t="shared" si="42"/>
        <v>1.0147429094875449</v>
      </c>
      <c r="H281" s="291">
        <f t="shared" si="43"/>
        <v>0</v>
      </c>
      <c r="I281" s="291">
        <f t="shared" si="44"/>
        <v>0</v>
      </c>
      <c r="J281" s="291">
        <f t="shared" si="45"/>
        <v>0</v>
      </c>
      <c r="K281" s="292">
        <f t="shared" si="46"/>
        <v>0.36530744741551613</v>
      </c>
      <c r="L281" s="59">
        <f>K281*D281*'B) D RI'!S283</f>
        <v>275389.21107887133</v>
      </c>
      <c r="M281" s="15">
        <f>(('B) D RI'!S283*C281)-(L281*$M$4))/'B) D RI'!S283</f>
        <v>663369.11548643862</v>
      </c>
      <c r="N281" s="281">
        <f t="shared" si="47"/>
        <v>56.317948508908955</v>
      </c>
      <c r="O281" s="64">
        <f t="shared" si="48"/>
        <v>1.2572993328314188</v>
      </c>
      <c r="R281" s="13"/>
    </row>
    <row r="282" spans="1:18" x14ac:dyDescent="0.25">
      <c r="A282" s="326">
        <f>'A) Base RI'!A284</f>
        <v>5890</v>
      </c>
      <c r="B282" s="34" t="str">
        <f>'A) Base RI'!B284</f>
        <v>Vevey</v>
      </c>
      <c r="C282" s="324">
        <f>'B) D RI'!U284</f>
        <v>976058.24146118714</v>
      </c>
      <c r="D282" s="34">
        <f>'B) D RI'!AR284</f>
        <v>19829</v>
      </c>
      <c r="E282" s="213">
        <f t="shared" si="40"/>
        <v>49.223775352321709</v>
      </c>
      <c r="F282" s="64">
        <f t="shared" si="41"/>
        <v>1.0635187855559309</v>
      </c>
      <c r="G282" s="291">
        <f t="shared" si="42"/>
        <v>0</v>
      </c>
      <c r="H282" s="291">
        <f t="shared" si="43"/>
        <v>0</v>
      </c>
      <c r="I282" s="291">
        <f t="shared" si="44"/>
        <v>0</v>
      </c>
      <c r="J282" s="291">
        <f t="shared" si="45"/>
        <v>0</v>
      </c>
      <c r="K282" s="292">
        <f t="shared" si="46"/>
        <v>0</v>
      </c>
      <c r="L282" s="59">
        <f>K282*D282*'B) D RI'!S284</f>
        <v>0</v>
      </c>
      <c r="M282" s="15">
        <f>(('B) D RI'!S284*C282)-(L282*$M$4))/'B) D RI'!S284</f>
        <v>976058.24146118714</v>
      </c>
      <c r="N282" s="281">
        <f t="shared" si="47"/>
        <v>49.223775352321709</v>
      </c>
      <c r="O282" s="64">
        <f t="shared" si="48"/>
        <v>1.098921774469954</v>
      </c>
      <c r="R282" s="13"/>
    </row>
    <row r="283" spans="1:18" x14ac:dyDescent="0.25">
      <c r="A283" s="326">
        <f>'A) Base RI'!A285</f>
        <v>5891</v>
      </c>
      <c r="B283" s="34" t="str">
        <f>'A) Base RI'!B285</f>
        <v>Veytaux</v>
      </c>
      <c r="C283" s="324">
        <f>'B) D RI'!U285</f>
        <v>35228.276473429949</v>
      </c>
      <c r="D283" s="34">
        <f>'B) D RI'!AR285</f>
        <v>870</v>
      </c>
      <c r="E283" s="213">
        <f t="shared" si="40"/>
        <v>40.492271808540174</v>
      </c>
      <c r="F283" s="64">
        <f t="shared" si="41"/>
        <v>0.87486771240085537</v>
      </c>
      <c r="G283" s="291">
        <f t="shared" si="42"/>
        <v>0</v>
      </c>
      <c r="H283" s="291">
        <f t="shared" si="43"/>
        <v>0</v>
      </c>
      <c r="I283" s="291">
        <f t="shared" si="44"/>
        <v>0</v>
      </c>
      <c r="J283" s="291">
        <f t="shared" si="45"/>
        <v>0</v>
      </c>
      <c r="K283" s="292">
        <f t="shared" si="46"/>
        <v>0</v>
      </c>
      <c r="L283" s="59">
        <f>K283*D283*'B) D RI'!S285</f>
        <v>0</v>
      </c>
      <c r="M283" s="15">
        <f>(('B) D RI'!S285*C283)-(L283*$M$4))/'B) D RI'!S285</f>
        <v>35228.276473429949</v>
      </c>
      <c r="N283" s="281">
        <f t="shared" si="47"/>
        <v>40.492271808540174</v>
      </c>
      <c r="O283" s="64">
        <f t="shared" si="48"/>
        <v>0.90399078229300944</v>
      </c>
      <c r="R283" s="13"/>
    </row>
    <row r="284" spans="1:18" x14ac:dyDescent="0.25">
      <c r="A284" s="326">
        <f>'A) Base RI'!A286</f>
        <v>5902</v>
      </c>
      <c r="B284" s="34" t="str">
        <f>'A) Base RI'!B286</f>
        <v>Belmont-sur-Yverdon</v>
      </c>
      <c r="C284" s="324">
        <f>'B) D RI'!U286</f>
        <v>9905.4513157894726</v>
      </c>
      <c r="D284" s="34">
        <f>'B) D RI'!AR286</f>
        <v>378</v>
      </c>
      <c r="E284" s="213">
        <f t="shared" si="40"/>
        <v>26.204897660818709</v>
      </c>
      <c r="F284" s="64">
        <f t="shared" si="41"/>
        <v>0.56617763949178412</v>
      </c>
      <c r="G284" s="291">
        <f t="shared" si="42"/>
        <v>0</v>
      </c>
      <c r="H284" s="291">
        <f t="shared" si="43"/>
        <v>0</v>
      </c>
      <c r="I284" s="291">
        <f t="shared" si="44"/>
        <v>0</v>
      </c>
      <c r="J284" s="291">
        <f t="shared" si="45"/>
        <v>0</v>
      </c>
      <c r="K284" s="292">
        <f t="shared" si="46"/>
        <v>0</v>
      </c>
      <c r="L284" s="59">
        <f>K284*D284*'B) D RI'!S286</f>
        <v>0</v>
      </c>
      <c r="M284" s="15">
        <f>(('B) D RI'!S286*C284)-(L284*$M$4))/'B) D RI'!S286</f>
        <v>9905.4513157894726</v>
      </c>
      <c r="N284" s="281">
        <f t="shared" si="47"/>
        <v>26.204897660818709</v>
      </c>
      <c r="O284" s="64">
        <f t="shared" si="48"/>
        <v>0.58502486717269198</v>
      </c>
      <c r="R284" s="13"/>
    </row>
    <row r="285" spans="1:18" x14ac:dyDescent="0.25">
      <c r="A285" s="326">
        <f>'A) Base RI'!A287</f>
        <v>5903</v>
      </c>
      <c r="B285" s="34" t="str">
        <f>'A) Base RI'!B287</f>
        <v>Bioley-Magnoux</v>
      </c>
      <c r="C285" s="324">
        <f>'B) D RI'!U287</f>
        <v>5979.8765830115835</v>
      </c>
      <c r="D285" s="34">
        <f>'B) D RI'!AR287</f>
        <v>225</v>
      </c>
      <c r="E285" s="213">
        <f t="shared" si="40"/>
        <v>26.577229257829259</v>
      </c>
      <c r="F285" s="64">
        <f t="shared" si="41"/>
        <v>0.57422215954418765</v>
      </c>
      <c r="G285" s="291">
        <f t="shared" si="42"/>
        <v>0</v>
      </c>
      <c r="H285" s="291">
        <f t="shared" si="43"/>
        <v>0</v>
      </c>
      <c r="I285" s="291">
        <f t="shared" si="44"/>
        <v>0</v>
      </c>
      <c r="J285" s="291">
        <f t="shared" si="45"/>
        <v>0</v>
      </c>
      <c r="K285" s="292">
        <f t="shared" si="46"/>
        <v>0</v>
      </c>
      <c r="L285" s="59">
        <f>K285*D285*'B) D RI'!S287</f>
        <v>0</v>
      </c>
      <c r="M285" s="15">
        <f>(('B) D RI'!S287*C285)-(L285*$M$4))/'B) D RI'!S287</f>
        <v>5979.8765830115835</v>
      </c>
      <c r="N285" s="281">
        <f t="shared" si="47"/>
        <v>26.577229257829259</v>
      </c>
      <c r="O285" s="64">
        <f t="shared" si="48"/>
        <v>0.59333717756232507</v>
      </c>
      <c r="R285" s="13"/>
    </row>
    <row r="286" spans="1:18" x14ac:dyDescent="0.25">
      <c r="A286" s="326">
        <f>'A) Base RI'!A288</f>
        <v>5904</v>
      </c>
      <c r="B286" s="34" t="str">
        <f>'A) Base RI'!B288</f>
        <v>Chamblon</v>
      </c>
      <c r="C286" s="324">
        <f>'B) D RI'!U288</f>
        <v>21723.445757575762</v>
      </c>
      <c r="D286" s="34">
        <f>'B) D RI'!AR288</f>
        <v>534</v>
      </c>
      <c r="E286" s="213">
        <f t="shared" si="40"/>
        <v>40.680610032913414</v>
      </c>
      <c r="F286" s="64">
        <f t="shared" si="41"/>
        <v>0.87893690941440261</v>
      </c>
      <c r="G286" s="291">
        <f t="shared" si="42"/>
        <v>0</v>
      </c>
      <c r="H286" s="291">
        <f t="shared" si="43"/>
        <v>0</v>
      </c>
      <c r="I286" s="291">
        <f t="shared" si="44"/>
        <v>0</v>
      </c>
      <c r="J286" s="291">
        <f t="shared" si="45"/>
        <v>0</v>
      </c>
      <c r="K286" s="292">
        <f t="shared" si="46"/>
        <v>0</v>
      </c>
      <c r="L286" s="59">
        <f>K286*D286*'B) D RI'!S288</f>
        <v>0</v>
      </c>
      <c r="M286" s="15">
        <f>(('B) D RI'!S288*C286)-(L286*$M$4))/'B) D RI'!S288</f>
        <v>21723.445757575762</v>
      </c>
      <c r="N286" s="281">
        <f t="shared" si="47"/>
        <v>40.680610032913414</v>
      </c>
      <c r="O286" s="64">
        <f t="shared" si="48"/>
        <v>0.90819543693900862</v>
      </c>
      <c r="R286" s="13"/>
    </row>
    <row r="287" spans="1:18" x14ac:dyDescent="0.25">
      <c r="A287" s="326">
        <f>'A) Base RI'!A289</f>
        <v>5905</v>
      </c>
      <c r="B287" s="34" t="str">
        <f>'A) Base RI'!B289</f>
        <v>Champvent</v>
      </c>
      <c r="C287" s="324">
        <f>'B) D RI'!U289</f>
        <v>23277.051267605631</v>
      </c>
      <c r="D287" s="34">
        <f>'B) D RI'!AR289</f>
        <v>669</v>
      </c>
      <c r="E287" s="213">
        <f t="shared" si="40"/>
        <v>34.793798606286444</v>
      </c>
      <c r="F287" s="64">
        <f t="shared" si="41"/>
        <v>0.75174767018129707</v>
      </c>
      <c r="G287" s="291">
        <f t="shared" si="42"/>
        <v>0</v>
      </c>
      <c r="H287" s="291">
        <f t="shared" si="43"/>
        <v>0</v>
      </c>
      <c r="I287" s="291">
        <f t="shared" si="44"/>
        <v>0</v>
      </c>
      <c r="J287" s="291">
        <f t="shared" si="45"/>
        <v>0</v>
      </c>
      <c r="K287" s="292">
        <f t="shared" si="46"/>
        <v>0</v>
      </c>
      <c r="L287" s="59">
        <f>K287*D287*'B) D RI'!S289</f>
        <v>0</v>
      </c>
      <c r="M287" s="15">
        <f>(('B) D RI'!S289*C287)-(L287*$M$4))/'B) D RI'!S289</f>
        <v>23277.051267605631</v>
      </c>
      <c r="N287" s="281">
        <f t="shared" si="47"/>
        <v>34.793798606286444</v>
      </c>
      <c r="O287" s="64">
        <f t="shared" si="48"/>
        <v>0.77677225347500833</v>
      </c>
      <c r="R287" s="13"/>
    </row>
    <row r="288" spans="1:18" x14ac:dyDescent="0.25">
      <c r="A288" s="326">
        <f>'A) Base RI'!A290</f>
        <v>5907</v>
      </c>
      <c r="B288" s="34" t="str">
        <f>'A) Base RI'!B290</f>
        <v>Chavannes-le-Chêne</v>
      </c>
      <c r="C288" s="324">
        <f>'B) D RI'!U290</f>
        <v>8647.1699999999983</v>
      </c>
      <c r="D288" s="34">
        <f>'B) D RI'!AR290</f>
        <v>298</v>
      </c>
      <c r="E288" s="213">
        <f t="shared" si="40"/>
        <v>29.017348993288586</v>
      </c>
      <c r="F288" s="64">
        <f t="shared" si="41"/>
        <v>0.62694288563827749</v>
      </c>
      <c r="G288" s="291">
        <f t="shared" si="42"/>
        <v>0</v>
      </c>
      <c r="H288" s="291">
        <f t="shared" si="43"/>
        <v>0</v>
      </c>
      <c r="I288" s="291">
        <f t="shared" si="44"/>
        <v>0</v>
      </c>
      <c r="J288" s="291">
        <f t="shared" si="45"/>
        <v>0</v>
      </c>
      <c r="K288" s="292">
        <f t="shared" si="46"/>
        <v>0</v>
      </c>
      <c r="L288" s="59">
        <f>K288*D288*'B) D RI'!S290</f>
        <v>0</v>
      </c>
      <c r="M288" s="15">
        <f>(('B) D RI'!S290*C288)-(L288*$M$4))/'B) D RI'!S290</f>
        <v>8647.1699999999983</v>
      </c>
      <c r="N288" s="281">
        <f t="shared" si="47"/>
        <v>29.017348993288586</v>
      </c>
      <c r="O288" s="64">
        <f t="shared" si="48"/>
        <v>0.64781289971929368</v>
      </c>
      <c r="R288" s="13"/>
    </row>
    <row r="289" spans="1:18" x14ac:dyDescent="0.25">
      <c r="A289" s="326">
        <f>'A) Base RI'!A291</f>
        <v>5908</v>
      </c>
      <c r="B289" s="34" t="str">
        <f>'A) Base RI'!B291</f>
        <v>Chêne-Pâquier</v>
      </c>
      <c r="C289" s="324">
        <f>'B) D RI'!U291</f>
        <v>2751.637341772152</v>
      </c>
      <c r="D289" s="34">
        <f>'B) D RI'!AR291</f>
        <v>139</v>
      </c>
      <c r="E289" s="213">
        <f t="shared" si="40"/>
        <v>19.795952099080232</v>
      </c>
      <c r="F289" s="64">
        <f t="shared" si="41"/>
        <v>0.427707277319682</v>
      </c>
      <c r="G289" s="291">
        <f t="shared" si="42"/>
        <v>0</v>
      </c>
      <c r="H289" s="291">
        <f t="shared" si="43"/>
        <v>0</v>
      </c>
      <c r="I289" s="291">
        <f t="shared" si="44"/>
        <v>0</v>
      </c>
      <c r="J289" s="291">
        <f t="shared" si="45"/>
        <v>0</v>
      </c>
      <c r="K289" s="292">
        <f t="shared" si="46"/>
        <v>0</v>
      </c>
      <c r="L289" s="59">
        <f>K289*D289*'B) D RI'!S291</f>
        <v>0</v>
      </c>
      <c r="M289" s="15">
        <f>(('B) D RI'!S291*C289)-(L289*$M$4))/'B) D RI'!S291</f>
        <v>2751.637341772152</v>
      </c>
      <c r="N289" s="281">
        <f t="shared" si="47"/>
        <v>19.795952099080232</v>
      </c>
      <c r="O289" s="64">
        <f t="shared" si="48"/>
        <v>0.44194502864391505</v>
      </c>
      <c r="R289" s="13"/>
    </row>
    <row r="290" spans="1:18" x14ac:dyDescent="0.25">
      <c r="A290" s="326">
        <f>'A) Base RI'!A292</f>
        <v>5909</v>
      </c>
      <c r="B290" s="34" t="str">
        <f>'A) Base RI'!B292</f>
        <v>Cheseaux-Noréaz</v>
      </c>
      <c r="C290" s="324">
        <f>'B) D RI'!U292</f>
        <v>27973.27357142857</v>
      </c>
      <c r="D290" s="34">
        <f>'B) D RI'!AR292</f>
        <v>705</v>
      </c>
      <c r="E290" s="213">
        <f t="shared" si="40"/>
        <v>39.678402228976694</v>
      </c>
      <c r="F290" s="64">
        <f t="shared" si="41"/>
        <v>0.85728341333677627</v>
      </c>
      <c r="G290" s="291">
        <f t="shared" si="42"/>
        <v>0</v>
      </c>
      <c r="H290" s="291">
        <f t="shared" si="43"/>
        <v>0</v>
      </c>
      <c r="I290" s="291">
        <f t="shared" si="44"/>
        <v>0</v>
      </c>
      <c r="J290" s="291">
        <f t="shared" si="45"/>
        <v>0</v>
      </c>
      <c r="K290" s="292">
        <f t="shared" si="46"/>
        <v>0</v>
      </c>
      <c r="L290" s="59">
        <f>K290*D290*'B) D RI'!S292</f>
        <v>0</v>
      </c>
      <c r="M290" s="15">
        <f>(('B) D RI'!S292*C290)-(L290*$M$4))/'B) D RI'!S292</f>
        <v>27973.27357142857</v>
      </c>
      <c r="N290" s="281">
        <f t="shared" si="47"/>
        <v>39.678402228976694</v>
      </c>
      <c r="O290" s="64">
        <f t="shared" si="48"/>
        <v>0.88582112756499531</v>
      </c>
      <c r="R290" s="13"/>
    </row>
    <row r="291" spans="1:18" x14ac:dyDescent="0.25">
      <c r="A291" s="326">
        <f>'A) Base RI'!A293</f>
        <v>5910</v>
      </c>
      <c r="B291" s="34" t="str">
        <f>'A) Base RI'!B293</f>
        <v>Cronay</v>
      </c>
      <c r="C291" s="324">
        <f>'B) D RI'!U293</f>
        <v>10127.988607594936</v>
      </c>
      <c r="D291" s="34">
        <f>'B) D RI'!AR293</f>
        <v>380</v>
      </c>
      <c r="E291" s="213">
        <f t="shared" si="40"/>
        <v>26.652601598934044</v>
      </c>
      <c r="F291" s="64">
        <f t="shared" si="41"/>
        <v>0.57585063887358734</v>
      </c>
      <c r="G291" s="291">
        <f t="shared" si="42"/>
        <v>0</v>
      </c>
      <c r="H291" s="291">
        <f t="shared" si="43"/>
        <v>0</v>
      </c>
      <c r="I291" s="291">
        <f t="shared" si="44"/>
        <v>0</v>
      </c>
      <c r="J291" s="291">
        <f t="shared" si="45"/>
        <v>0</v>
      </c>
      <c r="K291" s="292">
        <f t="shared" si="46"/>
        <v>0</v>
      </c>
      <c r="L291" s="59">
        <f>K291*D291*'B) D RI'!S293</f>
        <v>0</v>
      </c>
      <c r="M291" s="15">
        <f>(('B) D RI'!S293*C291)-(L291*$M$4))/'B) D RI'!S293</f>
        <v>10127.988607594936</v>
      </c>
      <c r="N291" s="281">
        <f t="shared" si="47"/>
        <v>26.652601598934044</v>
      </c>
      <c r="O291" s="64">
        <f t="shared" si="48"/>
        <v>0.59501986659298101</v>
      </c>
      <c r="R291" s="13"/>
    </row>
    <row r="292" spans="1:18" x14ac:dyDescent="0.25">
      <c r="A292" s="326">
        <f>'A) Base RI'!A294</f>
        <v>5911</v>
      </c>
      <c r="B292" s="34" t="str">
        <f>'A) Base RI'!B294</f>
        <v>Cuarny</v>
      </c>
      <c r="C292" s="324">
        <f>'B) D RI'!U294</f>
        <v>7075.4874683544303</v>
      </c>
      <c r="D292" s="34">
        <f>'B) D RI'!AR294</f>
        <v>241</v>
      </c>
      <c r="E292" s="213">
        <f t="shared" si="40"/>
        <v>29.35886916329639</v>
      </c>
      <c r="F292" s="64">
        <f t="shared" si="41"/>
        <v>0.63432170032386059</v>
      </c>
      <c r="G292" s="291">
        <f t="shared" si="42"/>
        <v>0</v>
      </c>
      <c r="H292" s="291">
        <f t="shared" si="43"/>
        <v>0</v>
      </c>
      <c r="I292" s="291">
        <f t="shared" si="44"/>
        <v>0</v>
      </c>
      <c r="J292" s="291">
        <f t="shared" si="45"/>
        <v>0</v>
      </c>
      <c r="K292" s="292">
        <f t="shared" si="46"/>
        <v>0</v>
      </c>
      <c r="L292" s="59">
        <f>K292*D292*'B) D RI'!S294</f>
        <v>0</v>
      </c>
      <c r="M292" s="15">
        <f>(('B) D RI'!S294*C292)-(L292*$M$4))/'B) D RI'!S294</f>
        <v>7075.4874683544303</v>
      </c>
      <c r="N292" s="281">
        <f t="shared" si="47"/>
        <v>29.35886916329639</v>
      </c>
      <c r="O292" s="64">
        <f t="shared" si="48"/>
        <v>0.65543734438157319</v>
      </c>
      <c r="R292" s="13"/>
    </row>
    <row r="293" spans="1:18" x14ac:dyDescent="0.25">
      <c r="A293" s="326">
        <f>'A) Base RI'!A295</f>
        <v>5912</v>
      </c>
      <c r="B293" s="34" t="str">
        <f>'A) Base RI'!B295</f>
        <v>Démoret</v>
      </c>
      <c r="C293" s="324">
        <f>'B) D RI'!U295</f>
        <v>3190.0809876543208</v>
      </c>
      <c r="D293" s="34">
        <f>'B) D RI'!AR295</f>
        <v>146</v>
      </c>
      <c r="E293" s="213">
        <f t="shared" si="40"/>
        <v>21.849869778454252</v>
      </c>
      <c r="F293" s="64">
        <f t="shared" si="41"/>
        <v>0.47208380106994091</v>
      </c>
      <c r="G293" s="291">
        <f t="shared" si="42"/>
        <v>0</v>
      </c>
      <c r="H293" s="291">
        <f t="shared" si="43"/>
        <v>0</v>
      </c>
      <c r="I293" s="291">
        <f t="shared" si="44"/>
        <v>0</v>
      </c>
      <c r="J293" s="291">
        <f t="shared" si="45"/>
        <v>0</v>
      </c>
      <c r="K293" s="292">
        <f t="shared" si="46"/>
        <v>0</v>
      </c>
      <c r="L293" s="59">
        <f>K293*D293*'B) D RI'!S295</f>
        <v>0</v>
      </c>
      <c r="M293" s="15">
        <f>(('B) D RI'!S295*C293)-(L293*$M$4))/'B) D RI'!S295</f>
        <v>3190.0809876543208</v>
      </c>
      <c r="N293" s="281">
        <f t="shared" si="47"/>
        <v>21.849869778454252</v>
      </c>
      <c r="O293" s="64">
        <f t="shared" si="48"/>
        <v>0.48779878213351707</v>
      </c>
      <c r="R293" s="13"/>
    </row>
    <row r="294" spans="1:18" x14ac:dyDescent="0.25">
      <c r="A294" s="326">
        <f>'A) Base RI'!A296</f>
        <v>5913</v>
      </c>
      <c r="B294" s="34" t="str">
        <f>'A) Base RI'!B296</f>
        <v>Donneloye</v>
      </c>
      <c r="C294" s="324">
        <f>'B) D RI'!U296</f>
        <v>20217.518082191778</v>
      </c>
      <c r="D294" s="34">
        <f>'B) D RI'!AR296</f>
        <v>813</v>
      </c>
      <c r="E294" s="213">
        <f t="shared" si="40"/>
        <v>24.867795919055077</v>
      </c>
      <c r="F294" s="64">
        <f t="shared" si="41"/>
        <v>0.53728849374083532</v>
      </c>
      <c r="G294" s="291">
        <f t="shared" si="42"/>
        <v>0</v>
      </c>
      <c r="H294" s="291">
        <f t="shared" si="43"/>
        <v>0</v>
      </c>
      <c r="I294" s="291">
        <f t="shared" si="44"/>
        <v>0</v>
      </c>
      <c r="J294" s="291">
        <f t="shared" si="45"/>
        <v>0</v>
      </c>
      <c r="K294" s="292">
        <f t="shared" si="46"/>
        <v>0</v>
      </c>
      <c r="L294" s="59">
        <f>K294*D294*'B) D RI'!S296</f>
        <v>0</v>
      </c>
      <c r="M294" s="15">
        <f>(('B) D RI'!S296*C294)-(L294*$M$4))/'B) D RI'!S296</f>
        <v>20217.518082191778</v>
      </c>
      <c r="N294" s="281">
        <f t="shared" si="47"/>
        <v>24.867795919055077</v>
      </c>
      <c r="O294" s="64">
        <f t="shared" si="48"/>
        <v>0.55517404390306946</v>
      </c>
      <c r="R294" s="13"/>
    </row>
    <row r="295" spans="1:18" x14ac:dyDescent="0.25">
      <c r="A295" s="326">
        <f>'A) Base RI'!A297</f>
        <v>5914</v>
      </c>
      <c r="B295" s="34" t="str">
        <f>'A) Base RI'!B297</f>
        <v>Ependes</v>
      </c>
      <c r="C295" s="324">
        <f>'B) D RI'!U297</f>
        <v>9998.8652000000002</v>
      </c>
      <c r="D295" s="34">
        <f>'B) D RI'!AR297</f>
        <v>361</v>
      </c>
      <c r="E295" s="213">
        <f t="shared" si="40"/>
        <v>27.697687534626038</v>
      </c>
      <c r="F295" s="64">
        <f t="shared" si="41"/>
        <v>0.5984305510638519</v>
      </c>
      <c r="G295" s="291">
        <f t="shared" si="42"/>
        <v>0</v>
      </c>
      <c r="H295" s="291">
        <f t="shared" si="43"/>
        <v>0</v>
      </c>
      <c r="I295" s="291">
        <f t="shared" si="44"/>
        <v>0</v>
      </c>
      <c r="J295" s="291">
        <f t="shared" si="45"/>
        <v>0</v>
      </c>
      <c r="K295" s="292">
        <f t="shared" si="46"/>
        <v>0</v>
      </c>
      <c r="L295" s="59">
        <f>K295*D295*'B) D RI'!S297</f>
        <v>0</v>
      </c>
      <c r="M295" s="15">
        <f>(('B) D RI'!S297*C295)-(L295*$M$4))/'B) D RI'!S297</f>
        <v>9998.8652000000002</v>
      </c>
      <c r="N295" s="281">
        <f t="shared" si="47"/>
        <v>27.697687534626038</v>
      </c>
      <c r="O295" s="64">
        <f t="shared" si="48"/>
        <v>0.61835143112057001</v>
      </c>
      <c r="R295" s="13"/>
    </row>
    <row r="296" spans="1:18" x14ac:dyDescent="0.25">
      <c r="A296" s="326">
        <f>'A) Base RI'!A298</f>
        <v>5919</v>
      </c>
      <c r="B296" s="34" t="str">
        <f>'A) Base RI'!B298</f>
        <v>Mathod</v>
      </c>
      <c r="C296" s="324">
        <f>'B) D RI'!U298</f>
        <v>15974.205138888889</v>
      </c>
      <c r="D296" s="34">
        <f>'B) D RI'!AR298</f>
        <v>617</v>
      </c>
      <c r="E296" s="213">
        <f t="shared" si="40"/>
        <v>25.890121781019268</v>
      </c>
      <c r="F296" s="64">
        <f t="shared" si="41"/>
        <v>0.55937665645034795</v>
      </c>
      <c r="G296" s="291">
        <f t="shared" si="42"/>
        <v>0</v>
      </c>
      <c r="H296" s="291">
        <f t="shared" si="43"/>
        <v>0</v>
      </c>
      <c r="I296" s="291">
        <f t="shared" si="44"/>
        <v>0</v>
      </c>
      <c r="J296" s="291">
        <f t="shared" si="45"/>
        <v>0</v>
      </c>
      <c r="K296" s="292">
        <f t="shared" si="46"/>
        <v>0</v>
      </c>
      <c r="L296" s="59">
        <f>K296*D296*'B) D RI'!S298</f>
        <v>0</v>
      </c>
      <c r="M296" s="15">
        <f>(('B) D RI'!S298*C296)-(L296*$M$4))/'B) D RI'!S298</f>
        <v>15974.205138888889</v>
      </c>
      <c r="N296" s="281">
        <f t="shared" si="47"/>
        <v>25.890121781019268</v>
      </c>
      <c r="O296" s="64">
        <f t="shared" si="48"/>
        <v>0.57799748932705453</v>
      </c>
      <c r="R296" s="13"/>
    </row>
    <row r="297" spans="1:18" x14ac:dyDescent="0.25">
      <c r="A297" s="326">
        <f>'A) Base RI'!A299</f>
        <v>5921</v>
      </c>
      <c r="B297" s="34" t="str">
        <f>'A) Base RI'!B299</f>
        <v>Molondin</v>
      </c>
      <c r="C297" s="324">
        <f>'B) D RI'!U299</f>
        <v>5428.3767901234569</v>
      </c>
      <c r="D297" s="34">
        <f>'B) D RI'!AR299</f>
        <v>232</v>
      </c>
      <c r="E297" s="213">
        <f t="shared" si="40"/>
        <v>23.398175819497659</v>
      </c>
      <c r="F297" s="64">
        <f t="shared" si="41"/>
        <v>0.50553618355489649</v>
      </c>
      <c r="G297" s="291">
        <f t="shared" si="42"/>
        <v>0</v>
      </c>
      <c r="H297" s="291">
        <f t="shared" si="43"/>
        <v>0</v>
      </c>
      <c r="I297" s="291">
        <f t="shared" si="44"/>
        <v>0</v>
      </c>
      <c r="J297" s="291">
        <f t="shared" si="45"/>
        <v>0</v>
      </c>
      <c r="K297" s="292">
        <f t="shared" si="46"/>
        <v>0</v>
      </c>
      <c r="L297" s="59">
        <f>K297*D297*'B) D RI'!S299</f>
        <v>0</v>
      </c>
      <c r="M297" s="15">
        <f>(('B) D RI'!S299*C297)-(L297*$M$4))/'B) D RI'!S299</f>
        <v>5428.3767901234569</v>
      </c>
      <c r="N297" s="281">
        <f t="shared" si="47"/>
        <v>23.398175819497659</v>
      </c>
      <c r="O297" s="64">
        <f t="shared" si="48"/>
        <v>0.52236474563118929</v>
      </c>
      <c r="R297" s="13"/>
    </row>
    <row r="298" spans="1:18" x14ac:dyDescent="0.25">
      <c r="A298" s="326">
        <f>'A) Base RI'!A300</f>
        <v>5922</v>
      </c>
      <c r="B298" s="34" t="str">
        <f>'A) Base RI'!B300</f>
        <v>Montagny-près-Yverdon</v>
      </c>
      <c r="C298" s="324">
        <f>'B) D RI'!U300</f>
        <v>48081.180040983607</v>
      </c>
      <c r="D298" s="34">
        <f>'B) D RI'!AR300</f>
        <v>717</v>
      </c>
      <c r="E298" s="213">
        <f t="shared" si="40"/>
        <v>67.058828509042684</v>
      </c>
      <c r="F298" s="64">
        <f t="shared" si="41"/>
        <v>1.4488592828623146</v>
      </c>
      <c r="G298" s="291">
        <f t="shared" si="42"/>
        <v>11.518173068801183</v>
      </c>
      <c r="H298" s="291">
        <f t="shared" si="43"/>
        <v>0</v>
      </c>
      <c r="I298" s="291">
        <f t="shared" si="44"/>
        <v>0</v>
      </c>
      <c r="J298" s="291">
        <f t="shared" si="45"/>
        <v>0</v>
      </c>
      <c r="K298" s="292">
        <f t="shared" si="46"/>
        <v>4.1465423047684258</v>
      </c>
      <c r="L298" s="59">
        <f>K298*D298*'B) D RI'!S300</f>
        <v>181357.32078365664</v>
      </c>
      <c r="M298" s="15">
        <f>(('B) D RI'!S300*C298)-(L298*$M$4))/'B) D RI'!S300</f>
        <v>46148.683999846275</v>
      </c>
      <c r="N298" s="281">
        <f t="shared" si="47"/>
        <v>64.363576010943206</v>
      </c>
      <c r="O298" s="64">
        <f t="shared" si="48"/>
        <v>1.4369181285856278</v>
      </c>
      <c r="R298" s="13"/>
    </row>
    <row r="299" spans="1:18" x14ac:dyDescent="0.25">
      <c r="A299" s="326">
        <f>'A) Base RI'!A301</f>
        <v>5923</v>
      </c>
      <c r="B299" s="34" t="str">
        <f>'A) Base RI'!B301</f>
        <v>Oppens</v>
      </c>
      <c r="C299" s="324">
        <f>'B) D RI'!U301</f>
        <v>4655.3639506172849</v>
      </c>
      <c r="D299" s="34">
        <f>'B) D RI'!AR301</f>
        <v>187</v>
      </c>
      <c r="E299" s="213">
        <f t="shared" si="40"/>
        <v>24.894994388327728</v>
      </c>
      <c r="F299" s="64">
        <f t="shared" si="41"/>
        <v>0.53787613828461101</v>
      </c>
      <c r="G299" s="291">
        <f t="shared" si="42"/>
        <v>0</v>
      </c>
      <c r="H299" s="291">
        <f t="shared" si="43"/>
        <v>0</v>
      </c>
      <c r="I299" s="291">
        <f t="shared" si="44"/>
        <v>0</v>
      </c>
      <c r="J299" s="291">
        <f t="shared" si="45"/>
        <v>0</v>
      </c>
      <c r="K299" s="292">
        <f t="shared" si="46"/>
        <v>0</v>
      </c>
      <c r="L299" s="59">
        <f>K299*D299*'B) D RI'!S301</f>
        <v>0</v>
      </c>
      <c r="M299" s="15">
        <f>(('B) D RI'!S301*C299)-(L299*$M$4))/'B) D RI'!S301</f>
        <v>4655.3639506172849</v>
      </c>
      <c r="N299" s="281">
        <f t="shared" si="47"/>
        <v>24.894994388327728</v>
      </c>
      <c r="O299" s="64">
        <f t="shared" si="48"/>
        <v>0.55578125027645386</v>
      </c>
      <c r="R299" s="13"/>
    </row>
    <row r="300" spans="1:18" x14ac:dyDescent="0.25">
      <c r="A300" s="326">
        <f>'A) Base RI'!A302</f>
        <v>5924</v>
      </c>
      <c r="B300" s="34" t="str">
        <f>'A) Base RI'!B302</f>
        <v>Orges</v>
      </c>
      <c r="C300" s="324">
        <f>'B) D RI'!U302</f>
        <v>10584.548243243244</v>
      </c>
      <c r="D300" s="34">
        <f>'B) D RI'!AR302</f>
        <v>336</v>
      </c>
      <c r="E300" s="213">
        <f t="shared" si="40"/>
        <v>31.501631676319178</v>
      </c>
      <c r="F300" s="64">
        <f t="shared" si="41"/>
        <v>0.68061778731177758</v>
      </c>
      <c r="G300" s="291">
        <f t="shared" si="42"/>
        <v>0</v>
      </c>
      <c r="H300" s="291">
        <f t="shared" si="43"/>
        <v>0</v>
      </c>
      <c r="I300" s="291">
        <f t="shared" si="44"/>
        <v>0</v>
      </c>
      <c r="J300" s="291">
        <f t="shared" si="45"/>
        <v>0</v>
      </c>
      <c r="K300" s="292">
        <f t="shared" si="46"/>
        <v>0</v>
      </c>
      <c r="L300" s="59">
        <f>K300*D300*'B) D RI'!S302</f>
        <v>0</v>
      </c>
      <c r="M300" s="15">
        <f>(('B) D RI'!S302*C300)-(L300*$M$4))/'B) D RI'!S302</f>
        <v>10584.548243243244</v>
      </c>
      <c r="N300" s="281">
        <f t="shared" si="47"/>
        <v>31.501631676319178</v>
      </c>
      <c r="O300" s="64">
        <f t="shared" si="48"/>
        <v>0.70327456056876347</v>
      </c>
      <c r="R300" s="13"/>
    </row>
    <row r="301" spans="1:18" x14ac:dyDescent="0.25">
      <c r="A301" s="326">
        <f>'A) Base RI'!A303</f>
        <v>5925</v>
      </c>
      <c r="B301" s="34" t="str">
        <f>'A) Base RI'!B303</f>
        <v>Orzens</v>
      </c>
      <c r="C301" s="324">
        <f>'B) D RI'!U303</f>
        <v>4781.2708860759494</v>
      </c>
      <c r="D301" s="34">
        <f>'B) D RI'!AR303</f>
        <v>195</v>
      </c>
      <c r="E301" s="213">
        <f t="shared" si="40"/>
        <v>24.519337877312562</v>
      </c>
      <c r="F301" s="64">
        <f t="shared" si="41"/>
        <v>0.52975978082276542</v>
      </c>
      <c r="G301" s="291">
        <f t="shared" si="42"/>
        <v>0</v>
      </c>
      <c r="H301" s="291">
        <f t="shared" si="43"/>
        <v>0</v>
      </c>
      <c r="I301" s="291">
        <f t="shared" si="44"/>
        <v>0</v>
      </c>
      <c r="J301" s="291">
        <f t="shared" si="45"/>
        <v>0</v>
      </c>
      <c r="K301" s="292">
        <f t="shared" si="46"/>
        <v>0</v>
      </c>
      <c r="L301" s="59">
        <f>K301*D301*'B) D RI'!S303</f>
        <v>0</v>
      </c>
      <c r="M301" s="15">
        <f>(('B) D RI'!S303*C301)-(L301*$M$4))/'B) D RI'!S303</f>
        <v>4781.2708860759494</v>
      </c>
      <c r="N301" s="281">
        <f t="shared" si="47"/>
        <v>24.519337877312562</v>
      </c>
      <c r="O301" s="64">
        <f t="shared" si="48"/>
        <v>0.54739471111481464</v>
      </c>
      <c r="R301" s="13"/>
    </row>
    <row r="302" spans="1:18" x14ac:dyDescent="0.25">
      <c r="A302" s="326">
        <f>'A) Base RI'!A304</f>
        <v>5926</v>
      </c>
      <c r="B302" s="34" t="str">
        <f>'A) Base RI'!B304</f>
        <v>Pomy</v>
      </c>
      <c r="C302" s="324">
        <f>'B) D RI'!U304</f>
        <v>23350.72985915493</v>
      </c>
      <c r="D302" s="34">
        <f>'B) D RI'!AR304</f>
        <v>785</v>
      </c>
      <c r="E302" s="213">
        <f t="shared" si="40"/>
        <v>29.746152686821567</v>
      </c>
      <c r="F302" s="64">
        <f t="shared" si="41"/>
        <v>0.64268926863119258</v>
      </c>
      <c r="G302" s="291">
        <f t="shared" si="42"/>
        <v>0</v>
      </c>
      <c r="H302" s="291">
        <f t="shared" si="43"/>
        <v>0</v>
      </c>
      <c r="I302" s="291">
        <f t="shared" si="44"/>
        <v>0</v>
      </c>
      <c r="J302" s="291">
        <f t="shared" si="45"/>
        <v>0</v>
      </c>
      <c r="K302" s="292">
        <f t="shared" si="46"/>
        <v>0</v>
      </c>
      <c r="L302" s="59">
        <f>K302*D302*'B) D RI'!S304</f>
        <v>0</v>
      </c>
      <c r="M302" s="15">
        <f>(('B) D RI'!S304*C302)-(L302*$M$4))/'B) D RI'!S304</f>
        <v>23350.72985915493</v>
      </c>
      <c r="N302" s="281">
        <f t="shared" si="47"/>
        <v>29.746152686821567</v>
      </c>
      <c r="O302" s="64">
        <f t="shared" si="48"/>
        <v>0.66408345683127967</v>
      </c>
      <c r="R302" s="13"/>
    </row>
    <row r="303" spans="1:18" x14ac:dyDescent="0.25">
      <c r="A303" s="326">
        <f>'A) Base RI'!A305</f>
        <v>5928</v>
      </c>
      <c r="B303" s="34" t="str">
        <f>'A) Base RI'!B305</f>
        <v>Rovray</v>
      </c>
      <c r="C303" s="324">
        <f>'B) D RI'!U305</f>
        <v>4495.7758904109587</v>
      </c>
      <c r="D303" s="34">
        <f>'B) D RI'!AR305</f>
        <v>187</v>
      </c>
      <c r="E303" s="213">
        <f t="shared" si="40"/>
        <v>24.041582301662881</v>
      </c>
      <c r="F303" s="64">
        <f t="shared" si="41"/>
        <v>0.51943749192942568</v>
      </c>
      <c r="G303" s="291">
        <f t="shared" si="42"/>
        <v>0</v>
      </c>
      <c r="H303" s="291">
        <f t="shared" si="43"/>
        <v>0</v>
      </c>
      <c r="I303" s="291">
        <f t="shared" si="44"/>
        <v>0</v>
      </c>
      <c r="J303" s="291">
        <f t="shared" si="45"/>
        <v>0</v>
      </c>
      <c r="K303" s="292">
        <f t="shared" si="46"/>
        <v>0</v>
      </c>
      <c r="L303" s="59">
        <f>K303*D303*'B) D RI'!S305</f>
        <v>0</v>
      </c>
      <c r="M303" s="15">
        <f>(('B) D RI'!S305*C303)-(L303*$M$4))/'B) D RI'!S305</f>
        <v>4495.7758904109587</v>
      </c>
      <c r="N303" s="281">
        <f t="shared" si="47"/>
        <v>24.041582301662881</v>
      </c>
      <c r="O303" s="64">
        <f t="shared" si="48"/>
        <v>0.53672880828233105</v>
      </c>
      <c r="R303" s="13"/>
    </row>
    <row r="304" spans="1:18" x14ac:dyDescent="0.25">
      <c r="A304" s="326">
        <f>'A) Base RI'!A306</f>
        <v>5929</v>
      </c>
      <c r="B304" s="34" t="str">
        <f>'A) Base RI'!B306</f>
        <v>Suchy</v>
      </c>
      <c r="C304" s="324">
        <f>'B) D RI'!U306</f>
        <v>17118.434321428569</v>
      </c>
      <c r="D304" s="34">
        <f>'B) D RI'!AR306</f>
        <v>605</v>
      </c>
      <c r="E304" s="213">
        <f t="shared" si="40"/>
        <v>28.29493276269185</v>
      </c>
      <c r="F304" s="64">
        <f t="shared" si="41"/>
        <v>0.61133450885833807</v>
      </c>
      <c r="G304" s="291">
        <f t="shared" si="42"/>
        <v>0</v>
      </c>
      <c r="H304" s="291">
        <f t="shared" si="43"/>
        <v>0</v>
      </c>
      <c r="I304" s="291">
        <f t="shared" si="44"/>
        <v>0</v>
      </c>
      <c r="J304" s="291">
        <f t="shared" si="45"/>
        <v>0</v>
      </c>
      <c r="K304" s="292">
        <f t="shared" si="46"/>
        <v>0</v>
      </c>
      <c r="L304" s="59">
        <f>K304*D304*'B) D RI'!S306</f>
        <v>0</v>
      </c>
      <c r="M304" s="15">
        <f>(('B) D RI'!S306*C304)-(L304*$M$4))/'B) D RI'!S306</f>
        <v>17118.434321428569</v>
      </c>
      <c r="N304" s="281">
        <f t="shared" si="47"/>
        <v>28.29493276269185</v>
      </c>
      <c r="O304" s="64">
        <f t="shared" si="48"/>
        <v>0.63168494284579035</v>
      </c>
      <c r="R304" s="13"/>
    </row>
    <row r="305" spans="1:18" x14ac:dyDescent="0.25">
      <c r="A305" s="326">
        <f>'A) Base RI'!A307</f>
        <v>5930</v>
      </c>
      <c r="B305" s="34" t="str">
        <f>'A) Base RI'!B307</f>
        <v>Suscévaz</v>
      </c>
      <c r="C305" s="324">
        <f>'B) D RI'!U307</f>
        <v>5362.7113888888889</v>
      </c>
      <c r="D305" s="34">
        <f>'B) D RI'!AR307</f>
        <v>200</v>
      </c>
      <c r="E305" s="213">
        <f t="shared" si="40"/>
        <v>26.813556944444443</v>
      </c>
      <c r="F305" s="64">
        <f t="shared" si="41"/>
        <v>0.57932820702760901</v>
      </c>
      <c r="G305" s="291">
        <f t="shared" si="42"/>
        <v>0</v>
      </c>
      <c r="H305" s="291">
        <f t="shared" si="43"/>
        <v>0</v>
      </c>
      <c r="I305" s="291">
        <f t="shared" si="44"/>
        <v>0</v>
      </c>
      <c r="J305" s="291">
        <f t="shared" si="45"/>
        <v>0</v>
      </c>
      <c r="K305" s="292">
        <f t="shared" si="46"/>
        <v>0</v>
      </c>
      <c r="L305" s="59">
        <f>K305*D305*'B) D RI'!S307</f>
        <v>0</v>
      </c>
      <c r="M305" s="15">
        <f>(('B) D RI'!S307*C305)-(L305*$M$4))/'B) D RI'!S307</f>
        <v>5362.7113888888889</v>
      </c>
      <c r="N305" s="281">
        <f t="shared" si="47"/>
        <v>26.813556944444443</v>
      </c>
      <c r="O305" s="64">
        <f t="shared" si="48"/>
        <v>0.598613197917787</v>
      </c>
      <c r="R305" s="13"/>
    </row>
    <row r="306" spans="1:18" x14ac:dyDescent="0.25">
      <c r="A306" s="326">
        <f>'A) Base RI'!A308</f>
        <v>5931</v>
      </c>
      <c r="B306" s="34" t="str">
        <f>'A) Base RI'!B308</f>
        <v>Treycovagnes</v>
      </c>
      <c r="C306" s="324">
        <f>'B) D RI'!U308</f>
        <v>13288.6564</v>
      </c>
      <c r="D306" s="34">
        <f>'B) D RI'!AR308</f>
        <v>456</v>
      </c>
      <c r="E306" s="213">
        <f t="shared" si="40"/>
        <v>29.141790350877194</v>
      </c>
      <c r="F306" s="64">
        <f t="shared" si="41"/>
        <v>0.62963154006488931</v>
      </c>
      <c r="G306" s="291">
        <f t="shared" si="42"/>
        <v>0</v>
      </c>
      <c r="H306" s="291">
        <f t="shared" si="43"/>
        <v>0</v>
      </c>
      <c r="I306" s="291">
        <f t="shared" si="44"/>
        <v>0</v>
      </c>
      <c r="J306" s="291">
        <f t="shared" si="45"/>
        <v>0</v>
      </c>
      <c r="K306" s="292">
        <f t="shared" si="46"/>
        <v>0</v>
      </c>
      <c r="L306" s="59">
        <f>K306*D306*'B) D RI'!S308</f>
        <v>0</v>
      </c>
      <c r="M306" s="15">
        <f>(('B) D RI'!S308*C306)-(L306*$M$4))/'B) D RI'!S308</f>
        <v>13288.6564</v>
      </c>
      <c r="N306" s="281">
        <f t="shared" si="47"/>
        <v>29.141790350877194</v>
      </c>
      <c r="O306" s="64">
        <f t="shared" si="48"/>
        <v>0.65059105552956864</v>
      </c>
      <c r="R306" s="13"/>
    </row>
    <row r="307" spans="1:18" x14ac:dyDescent="0.25">
      <c r="A307" s="326">
        <f>'A) Base RI'!A309</f>
        <v>5932</v>
      </c>
      <c r="B307" s="34" t="str">
        <f>'A) Base RI'!B309</f>
        <v>Ursins</v>
      </c>
      <c r="C307" s="324">
        <f>'B) D RI'!U309</f>
        <v>6858.6807692307693</v>
      </c>
      <c r="D307" s="34">
        <f>'B) D RI'!AR309</f>
        <v>218</v>
      </c>
      <c r="E307" s="213">
        <f t="shared" si="40"/>
        <v>31.461838390966832</v>
      </c>
      <c r="F307" s="64">
        <f t="shared" si="41"/>
        <v>0.67975802175726063</v>
      </c>
      <c r="G307" s="291">
        <f t="shared" si="42"/>
        <v>0</v>
      </c>
      <c r="H307" s="291">
        <f t="shared" si="43"/>
        <v>0</v>
      </c>
      <c r="I307" s="291">
        <f t="shared" si="44"/>
        <v>0</v>
      </c>
      <c r="J307" s="291">
        <f t="shared" si="45"/>
        <v>0</v>
      </c>
      <c r="K307" s="292">
        <f t="shared" si="46"/>
        <v>0</v>
      </c>
      <c r="L307" s="59">
        <f>K307*D307*'B) D RI'!S309</f>
        <v>0</v>
      </c>
      <c r="M307" s="15">
        <f>(('B) D RI'!S309*C307)-(L307*$M$4))/'B) D RI'!S309</f>
        <v>6858.6807692307693</v>
      </c>
      <c r="N307" s="281">
        <f t="shared" si="47"/>
        <v>31.461838390966832</v>
      </c>
      <c r="O307" s="64">
        <f t="shared" si="48"/>
        <v>0.70238617467315934</v>
      </c>
      <c r="R307" s="13"/>
    </row>
    <row r="308" spans="1:18" x14ac:dyDescent="0.25">
      <c r="A308" s="326">
        <f>'A) Base RI'!A310</f>
        <v>5933</v>
      </c>
      <c r="B308" s="34" t="str">
        <f>'A) Base RI'!B310</f>
        <v>Valeyres-sous-Montagny</v>
      </c>
      <c r="C308" s="324">
        <f>'B) D RI'!U310</f>
        <v>20763.196805555559</v>
      </c>
      <c r="D308" s="34">
        <f>'B) D RI'!AR310</f>
        <v>705</v>
      </c>
      <c r="E308" s="213">
        <f t="shared" si="40"/>
        <v>29.451342986603631</v>
      </c>
      <c r="F308" s="64">
        <f t="shared" si="41"/>
        <v>0.63631967076711693</v>
      </c>
      <c r="G308" s="291">
        <f t="shared" si="42"/>
        <v>0</v>
      </c>
      <c r="H308" s="291">
        <f t="shared" si="43"/>
        <v>0</v>
      </c>
      <c r="I308" s="291">
        <f t="shared" si="44"/>
        <v>0</v>
      </c>
      <c r="J308" s="291">
        <f t="shared" si="45"/>
        <v>0</v>
      </c>
      <c r="K308" s="292">
        <f t="shared" si="46"/>
        <v>0</v>
      </c>
      <c r="L308" s="59">
        <f>K308*D308*'B) D RI'!S310</f>
        <v>0</v>
      </c>
      <c r="M308" s="15">
        <f>(('B) D RI'!S310*C308)-(L308*$M$4))/'B) D RI'!S310</f>
        <v>20763.196805555559</v>
      </c>
      <c r="N308" s="281">
        <f t="shared" si="47"/>
        <v>29.451342986603631</v>
      </c>
      <c r="O308" s="64">
        <f t="shared" si="48"/>
        <v>0.65750182434625393</v>
      </c>
      <c r="R308" s="13"/>
    </row>
    <row r="309" spans="1:18" x14ac:dyDescent="0.25">
      <c r="A309" s="326">
        <f>'A) Base RI'!A311</f>
        <v>5934</v>
      </c>
      <c r="B309" s="34" t="str">
        <f>'A) Base RI'!B311</f>
        <v>Valeyres-sous-Ursins</v>
      </c>
      <c r="C309" s="324">
        <f>'B) D RI'!U311</f>
        <v>6895.611012658228</v>
      </c>
      <c r="D309" s="34">
        <f>'B) D RI'!AR311</f>
        <v>238</v>
      </c>
      <c r="E309" s="213">
        <f t="shared" si="40"/>
        <v>28.973155515370706</v>
      </c>
      <c r="F309" s="64">
        <f t="shared" si="41"/>
        <v>0.62598805042646555</v>
      </c>
      <c r="G309" s="291">
        <f t="shared" si="42"/>
        <v>0</v>
      </c>
      <c r="H309" s="291">
        <f t="shared" si="43"/>
        <v>0</v>
      </c>
      <c r="I309" s="291">
        <f t="shared" si="44"/>
        <v>0</v>
      </c>
      <c r="J309" s="291">
        <f t="shared" si="45"/>
        <v>0</v>
      </c>
      <c r="K309" s="292">
        <f t="shared" si="46"/>
        <v>0</v>
      </c>
      <c r="L309" s="59">
        <f>K309*D309*'B) D RI'!S311</f>
        <v>0</v>
      </c>
      <c r="M309" s="15">
        <f>(('B) D RI'!S311*C309)-(L309*$M$4))/'B) D RI'!S311</f>
        <v>6895.611012658228</v>
      </c>
      <c r="N309" s="281">
        <f t="shared" si="47"/>
        <v>28.973155515370706</v>
      </c>
      <c r="O309" s="64">
        <f t="shared" si="48"/>
        <v>0.64682627943619053</v>
      </c>
      <c r="R309" s="13"/>
    </row>
    <row r="310" spans="1:18" x14ac:dyDescent="0.25">
      <c r="A310" s="326">
        <f>'A) Base RI'!A312</f>
        <v>5935</v>
      </c>
      <c r="B310" s="34" t="str">
        <f>'A) Base RI'!B312</f>
        <v>Villars-Epeney</v>
      </c>
      <c r="C310" s="324">
        <f>'B) D RI'!U312</f>
        <v>5507.9496666666664</v>
      </c>
      <c r="D310" s="34">
        <f>'B) D RI'!AR312</f>
        <v>106</v>
      </c>
      <c r="E310" s="213">
        <f t="shared" si="40"/>
        <v>51.961789308176101</v>
      </c>
      <c r="F310" s="64">
        <f t="shared" si="41"/>
        <v>1.12267575302385</v>
      </c>
      <c r="G310" s="291">
        <f t="shared" si="42"/>
        <v>0</v>
      </c>
      <c r="H310" s="291">
        <f t="shared" si="43"/>
        <v>0</v>
      </c>
      <c r="I310" s="291">
        <f t="shared" si="44"/>
        <v>0</v>
      </c>
      <c r="J310" s="291">
        <f t="shared" si="45"/>
        <v>0</v>
      </c>
      <c r="K310" s="292">
        <f t="shared" si="46"/>
        <v>0</v>
      </c>
      <c r="L310" s="59">
        <f>K310*D310*'B) D RI'!S312</f>
        <v>0</v>
      </c>
      <c r="M310" s="15">
        <f>(('B) D RI'!S312*C310)-(L310*$M$4))/'B) D RI'!S312</f>
        <v>5507.9496666666664</v>
      </c>
      <c r="N310" s="281">
        <f t="shared" si="47"/>
        <v>51.961789308176101</v>
      </c>
      <c r="O310" s="64">
        <f t="shared" si="48"/>
        <v>1.1600479910869224</v>
      </c>
      <c r="R310" s="13"/>
    </row>
    <row r="311" spans="1:18" x14ac:dyDescent="0.25">
      <c r="A311" s="326">
        <f>'A) Base RI'!A313</f>
        <v>5937</v>
      </c>
      <c r="B311" s="34" t="str">
        <f>'A) Base RI'!B313</f>
        <v>Vugelles-La Mothe</v>
      </c>
      <c r="C311" s="324">
        <f>'B) D RI'!U313</f>
        <v>2890.9266938775513</v>
      </c>
      <c r="D311" s="34">
        <f>'B) D RI'!AR313</f>
        <v>122</v>
      </c>
      <c r="E311" s="213">
        <f t="shared" si="40"/>
        <v>23.696120441619271</v>
      </c>
      <c r="F311" s="64">
        <f t="shared" si="41"/>
        <v>0.51197351389808299</v>
      </c>
      <c r="G311" s="291">
        <f t="shared" si="42"/>
        <v>0</v>
      </c>
      <c r="H311" s="291">
        <f t="shared" si="43"/>
        <v>0</v>
      </c>
      <c r="I311" s="291">
        <f t="shared" si="44"/>
        <v>0</v>
      </c>
      <c r="J311" s="291">
        <f t="shared" si="45"/>
        <v>0</v>
      </c>
      <c r="K311" s="292">
        <f t="shared" si="46"/>
        <v>0</v>
      </c>
      <c r="L311" s="59">
        <f>K311*D311*'B) D RI'!S313</f>
        <v>0</v>
      </c>
      <c r="M311" s="15">
        <f>(('B) D RI'!S313*C311)-(L311*$M$4))/'B) D RI'!S313</f>
        <v>2890.9266938775513</v>
      </c>
      <c r="N311" s="281">
        <f t="shared" si="47"/>
        <v>23.696120441619271</v>
      </c>
      <c r="O311" s="64">
        <f t="shared" si="48"/>
        <v>0.52901636531074769</v>
      </c>
      <c r="R311" s="13"/>
    </row>
    <row r="312" spans="1:18" x14ac:dyDescent="0.25">
      <c r="A312" s="326">
        <f>'A) Base RI'!A314</f>
        <v>5938</v>
      </c>
      <c r="B312" s="34" t="str">
        <f>'A) Base RI'!B314</f>
        <v>Yverdon-les-Bains</v>
      </c>
      <c r="C312" s="324">
        <f>'B) D RI'!U314</f>
        <v>801914.63490196085</v>
      </c>
      <c r="D312" s="34">
        <f>'B) D RI'!AR314</f>
        <v>30208</v>
      </c>
      <c r="E312" s="213">
        <f t="shared" si="40"/>
        <v>26.546432564286309</v>
      </c>
      <c r="F312" s="64">
        <f t="shared" si="41"/>
        <v>0.57355677250547499</v>
      </c>
      <c r="G312" s="291">
        <f t="shared" si="42"/>
        <v>0</v>
      </c>
      <c r="H312" s="291">
        <f t="shared" si="43"/>
        <v>0</v>
      </c>
      <c r="I312" s="291">
        <f t="shared" si="44"/>
        <v>0</v>
      </c>
      <c r="J312" s="291">
        <f t="shared" si="45"/>
        <v>0</v>
      </c>
      <c r="K312" s="292">
        <f t="shared" si="46"/>
        <v>0</v>
      </c>
      <c r="L312" s="59">
        <f>K312*D312*'B) D RI'!S314</f>
        <v>0</v>
      </c>
      <c r="M312" s="15">
        <f>(('B) D RI'!S314*C312)-(L312*$M$4))/'B) D RI'!S314</f>
        <v>801914.63490196085</v>
      </c>
      <c r="N312" s="281">
        <f t="shared" si="47"/>
        <v>26.546432564286309</v>
      </c>
      <c r="O312" s="64">
        <f t="shared" si="48"/>
        <v>0.59264964075975779</v>
      </c>
      <c r="R312" s="13"/>
    </row>
    <row r="313" spans="1:18" x14ac:dyDescent="0.25">
      <c r="A313" s="326">
        <f>'A) Base RI'!A315</f>
        <v>5939</v>
      </c>
      <c r="B313" s="34" t="str">
        <f>'A) Base RI'!B315</f>
        <v>Yvonand</v>
      </c>
      <c r="C313" s="324">
        <f>'B) D RI'!U315</f>
        <v>93413.424931506845</v>
      </c>
      <c r="D313" s="34">
        <f>'B) D RI'!AR315</f>
        <v>3351</v>
      </c>
      <c r="E313" s="213">
        <f t="shared" si="40"/>
        <v>27.876283178605444</v>
      </c>
      <c r="F313" s="64">
        <f t="shared" si="41"/>
        <v>0.60228925188537663</v>
      </c>
      <c r="G313" s="291">
        <f t="shared" si="42"/>
        <v>0</v>
      </c>
      <c r="H313" s="291">
        <f t="shared" si="43"/>
        <v>0</v>
      </c>
      <c r="I313" s="291">
        <f t="shared" si="44"/>
        <v>0</v>
      </c>
      <c r="J313" s="291">
        <f t="shared" si="45"/>
        <v>0</v>
      </c>
      <c r="K313" s="292">
        <f t="shared" si="46"/>
        <v>0</v>
      </c>
      <c r="L313" s="59">
        <f>K313*D313*'B) D RI'!S315</f>
        <v>0</v>
      </c>
      <c r="M313" s="15">
        <f>(('B) D RI'!S315*C313)-(L313*$M$4))/'B) D RI'!S315</f>
        <v>93413.424931506845</v>
      </c>
      <c r="N313" s="281">
        <f t="shared" si="47"/>
        <v>27.876283178605444</v>
      </c>
      <c r="O313" s="64">
        <f t="shared" si="48"/>
        <v>0.62233858246338536</v>
      </c>
      <c r="R313" s="13"/>
    </row>
    <row r="314" spans="1:18" x14ac:dyDescent="0.25">
      <c r="A314" s="7"/>
      <c r="B314" s="126">
        <f>COUNTA(B5:B313)</f>
        <v>309</v>
      </c>
      <c r="C314" s="325">
        <f>SUM(C5:C313)</f>
        <v>36767173.359367341</v>
      </c>
      <c r="D314" s="293">
        <f>SUM(D5:D313)</f>
        <v>794384</v>
      </c>
      <c r="E314" s="65">
        <f>C314/D314</f>
        <v>46.283879533534588</v>
      </c>
      <c r="F314" s="66">
        <v>1</v>
      </c>
      <c r="G314" s="32"/>
      <c r="H314" s="32"/>
      <c r="I314" s="32"/>
      <c r="J314" s="32"/>
      <c r="K314" s="32"/>
      <c r="L314" s="39">
        <f>SUM(L5:L313)</f>
        <v>105403906.78489967</v>
      </c>
      <c r="M314" s="11">
        <f>SUM(M5:M313)</f>
        <v>35582677.91930794</v>
      </c>
      <c r="N314" s="104">
        <f t="shared" ref="N314" si="49">M314/D314</f>
        <v>44.792792804623382</v>
      </c>
      <c r="O314" s="66">
        <v>1</v>
      </c>
      <c r="R314" s="13"/>
    </row>
    <row r="315" spans="1:18" x14ac:dyDescent="0.25">
      <c r="L315" s="14"/>
      <c r="M315" s="213"/>
    </row>
    <row r="317" spans="1:18" x14ac:dyDescent="0.25">
      <c r="F317" s="16"/>
    </row>
    <row r="318" spans="1:18" x14ac:dyDescent="0.25">
      <c r="F318" s="16"/>
    </row>
    <row r="319" spans="1:18" x14ac:dyDescent="0.25">
      <c r="F319" s="16"/>
      <c r="G319" s="19"/>
    </row>
    <row r="320" spans="1:18" x14ac:dyDescent="0.25">
      <c r="E320" s="30"/>
    </row>
  </sheetData>
  <mergeCells count="8">
    <mergeCell ref="A3:A4"/>
    <mergeCell ref="B3:B4"/>
    <mergeCell ref="F3:F4"/>
    <mergeCell ref="C3:E3"/>
    <mergeCell ref="O3:O4"/>
    <mergeCell ref="N3:N4"/>
    <mergeCell ref="L3:L4"/>
    <mergeCell ref="K3:K4"/>
  </mergeCells>
  <phoneticPr fontId="8"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00B050"/>
  </sheetPr>
  <dimension ref="A1:AG332"/>
  <sheetViews>
    <sheetView topLeftCell="A318" workbookViewId="0">
      <selection activeCell="A318" sqref="A318"/>
    </sheetView>
  </sheetViews>
  <sheetFormatPr baseColWidth="10" defaultColWidth="10.75" defaultRowHeight="15" x14ac:dyDescent="0.25"/>
  <cols>
    <col min="1" max="1" width="7.25" style="14" customWidth="1"/>
    <col min="2" max="2" width="18" style="14" customWidth="1"/>
    <col min="3" max="3" width="10.375" style="14" customWidth="1"/>
    <col min="4" max="4" width="12.75" style="14" customWidth="1"/>
    <col min="5" max="5" width="10.75" style="14" bestFit="1" customWidth="1"/>
    <col min="6" max="6" width="15.125" style="14" customWidth="1"/>
    <col min="7" max="7" width="12.125" style="14" customWidth="1"/>
    <col min="8" max="8" width="9.25" style="14" customWidth="1"/>
    <col min="9" max="10" width="12.125" style="14" customWidth="1"/>
    <col min="11" max="12" width="9.25" style="14" customWidth="1"/>
    <col min="13" max="13" width="12.125" style="14" customWidth="1"/>
    <col min="14" max="14" width="14" style="14" customWidth="1"/>
    <col min="15" max="20" width="12.125" style="14" customWidth="1"/>
    <col min="21" max="23" width="8.125" style="14" customWidth="1"/>
    <col min="24" max="31" width="11" style="14" customWidth="1"/>
    <col min="32" max="32" width="9.25" style="14" customWidth="1"/>
    <col min="33" max="33" width="11" style="14" customWidth="1"/>
    <col min="34" max="16384" width="10.75" style="14"/>
  </cols>
  <sheetData>
    <row r="1" spans="1:33" s="45" customFormat="1" ht="20.25" customHeight="1" x14ac:dyDescent="0.25">
      <c r="A1" s="53" t="s">
        <v>98</v>
      </c>
      <c r="B1" s="44"/>
      <c r="C1" s="74"/>
      <c r="D1" s="74"/>
      <c r="E1" s="74"/>
      <c r="F1" s="74"/>
      <c r="G1" s="74"/>
      <c r="H1" s="74"/>
      <c r="I1" s="74"/>
      <c r="J1" s="74"/>
      <c r="K1" s="14"/>
      <c r="L1" s="14"/>
      <c r="M1" s="74"/>
      <c r="N1" s="14"/>
      <c r="O1" s="14"/>
      <c r="P1" s="14"/>
      <c r="Q1" s="14"/>
      <c r="R1" s="14"/>
      <c r="S1" s="14"/>
      <c r="T1" s="14"/>
      <c r="U1" s="14"/>
      <c r="V1" s="14"/>
      <c r="W1" s="14"/>
      <c r="X1" s="14"/>
      <c r="Y1" s="14"/>
      <c r="Z1" s="14"/>
      <c r="AA1" s="14"/>
      <c r="AB1" s="14"/>
      <c r="AC1" s="14"/>
      <c r="AD1" s="14"/>
      <c r="AE1" s="14"/>
      <c r="AF1" s="14"/>
      <c r="AG1" s="14"/>
    </row>
    <row r="2" spans="1:33" s="55" customFormat="1" x14ac:dyDescent="0.25">
      <c r="A2" s="29"/>
      <c r="D2" s="14"/>
      <c r="E2" s="14"/>
      <c r="F2" s="14"/>
      <c r="G2" s="14"/>
      <c r="K2" s="14"/>
      <c r="L2" s="14"/>
      <c r="N2" s="14"/>
      <c r="O2" s="14"/>
      <c r="P2" s="14"/>
      <c r="Q2" s="14"/>
      <c r="R2" s="14"/>
      <c r="S2" s="14"/>
      <c r="T2" s="14"/>
      <c r="U2" s="14"/>
      <c r="V2" s="14"/>
      <c r="W2" s="14"/>
      <c r="X2" s="14"/>
      <c r="Y2" s="14"/>
      <c r="Z2" s="14"/>
      <c r="AA2" s="14"/>
      <c r="AB2" s="14"/>
      <c r="AC2" s="14"/>
      <c r="AD2" s="14"/>
      <c r="AE2" s="14"/>
      <c r="AF2" s="14"/>
      <c r="AG2" s="14"/>
    </row>
    <row r="3" spans="1:33" s="55" customFormat="1" ht="30" x14ac:dyDescent="0.25">
      <c r="A3" s="578" t="s">
        <v>97</v>
      </c>
      <c r="B3" s="579"/>
      <c r="C3" s="580"/>
      <c r="D3" s="67" t="s">
        <v>2</v>
      </c>
      <c r="E3" s="70" t="s">
        <v>1</v>
      </c>
      <c r="F3" s="14"/>
      <c r="G3" s="14"/>
      <c r="K3" s="14"/>
      <c r="L3" s="14"/>
      <c r="N3" s="14"/>
      <c r="O3" s="14"/>
      <c r="P3" s="14"/>
      <c r="Q3" s="14"/>
      <c r="R3" s="14"/>
      <c r="S3" s="14"/>
      <c r="T3" s="14"/>
      <c r="U3" s="14"/>
      <c r="V3" s="14"/>
      <c r="W3" s="14"/>
      <c r="X3" s="14"/>
      <c r="Y3" s="14"/>
      <c r="Z3" s="14"/>
      <c r="AA3" s="14"/>
      <c r="AB3" s="14"/>
      <c r="AC3" s="14"/>
      <c r="AD3" s="14"/>
      <c r="AE3" s="14"/>
      <c r="AF3" s="14"/>
      <c r="AG3" s="14"/>
    </row>
    <row r="4" spans="1:33" s="55" customFormat="1" x14ac:dyDescent="0.25">
      <c r="A4" s="85" t="s">
        <v>413</v>
      </c>
      <c r="B4" s="86"/>
      <c r="C4" s="95">
        <f>+Paramètres!B58</f>
        <v>772630956</v>
      </c>
      <c r="D4" s="93">
        <f>C4/$E$4</f>
        <v>21.713682082954008</v>
      </c>
      <c r="E4" s="98">
        <f>'D) Ecrêtage'!M314</f>
        <v>35582677.91930794</v>
      </c>
      <c r="F4" s="14"/>
      <c r="G4" s="14"/>
      <c r="K4" s="14"/>
      <c r="L4" s="14"/>
      <c r="N4" s="14"/>
      <c r="O4" s="14"/>
      <c r="P4" s="14"/>
      <c r="Q4" s="14"/>
      <c r="R4" s="14"/>
      <c r="S4" s="14"/>
      <c r="T4" s="14"/>
      <c r="U4" s="14"/>
      <c r="V4" s="14"/>
      <c r="W4" s="14"/>
      <c r="X4" s="14"/>
      <c r="Y4" s="14"/>
      <c r="Z4" s="14"/>
      <c r="AA4" s="14"/>
      <c r="AB4" s="14"/>
      <c r="AC4" s="14"/>
      <c r="AD4" s="14"/>
      <c r="AE4" s="14"/>
      <c r="AF4" s="14"/>
      <c r="AG4" s="14"/>
    </row>
    <row r="5" spans="1:33" s="55" customFormat="1" x14ac:dyDescent="0.25">
      <c r="A5" s="87" t="s">
        <v>382</v>
      </c>
      <c r="B5" s="88"/>
      <c r="C5" s="9">
        <f>-'C) Prél. conj.'!H314</f>
        <v>-132947500.20500003</v>
      </c>
      <c r="D5" s="35">
        <f>C5/$E$4</f>
        <v>-3.7362983333207702</v>
      </c>
      <c r="E5" s="78"/>
      <c r="F5" s="14"/>
      <c r="G5" s="14"/>
      <c r="K5" s="14"/>
      <c r="L5" s="14"/>
      <c r="N5" s="14"/>
      <c r="O5" s="14"/>
      <c r="P5" s="14"/>
      <c r="Q5" s="14"/>
      <c r="R5" s="14"/>
      <c r="S5" s="14"/>
      <c r="T5" s="14"/>
      <c r="U5" s="14"/>
      <c r="V5" s="14"/>
      <c r="W5" s="14"/>
      <c r="X5" s="14"/>
      <c r="Y5" s="14"/>
      <c r="Z5" s="14"/>
      <c r="AA5" s="14"/>
      <c r="AB5" s="14"/>
      <c r="AC5" s="14"/>
      <c r="AD5" s="14"/>
      <c r="AE5" s="14"/>
      <c r="AF5" s="14"/>
      <c r="AG5" s="14"/>
    </row>
    <row r="6" spans="1:33" s="55" customFormat="1" x14ac:dyDescent="0.25">
      <c r="A6" s="89" t="s">
        <v>383</v>
      </c>
      <c r="B6" s="90"/>
      <c r="C6" s="96">
        <f>-'D) Ecrêtage'!L314</f>
        <v>-105403906.78489967</v>
      </c>
      <c r="D6" s="35">
        <f>C6/$E$4</f>
        <v>-2.9622252440900518</v>
      </c>
      <c r="E6" s="78"/>
      <c r="F6" s="14"/>
      <c r="G6" s="14"/>
      <c r="K6" s="14"/>
      <c r="L6" s="14"/>
      <c r="N6" s="14"/>
      <c r="O6" s="14"/>
      <c r="P6" s="14"/>
      <c r="Q6" s="14"/>
      <c r="R6" s="14"/>
      <c r="S6" s="14"/>
      <c r="T6" s="14"/>
      <c r="U6" s="14"/>
      <c r="V6" s="14"/>
      <c r="W6" s="14"/>
      <c r="X6" s="14"/>
      <c r="Y6" s="14"/>
      <c r="Z6" s="14"/>
      <c r="AA6" s="14"/>
      <c r="AB6" s="14"/>
      <c r="AC6" s="14"/>
      <c r="AD6" s="14"/>
      <c r="AE6" s="14"/>
      <c r="AF6" s="14"/>
      <c r="AG6" s="14"/>
    </row>
    <row r="7" spans="1:33" s="55" customFormat="1" x14ac:dyDescent="0.25">
      <c r="A7" s="81" t="s">
        <v>295</v>
      </c>
      <c r="B7" s="83"/>
      <c r="C7" s="97">
        <f>C4+C6+C5</f>
        <v>534279549.01010025</v>
      </c>
      <c r="D7" s="21">
        <f>C7/$E$4</f>
        <v>15.015158505543184</v>
      </c>
      <c r="E7" s="78"/>
      <c r="F7" s="14"/>
      <c r="G7" s="14"/>
      <c r="K7" s="14"/>
      <c r="L7" s="14"/>
      <c r="N7" s="14"/>
      <c r="O7" s="14"/>
      <c r="P7" s="14"/>
      <c r="Q7" s="14"/>
      <c r="R7" s="14"/>
      <c r="S7" s="14"/>
      <c r="T7" s="14"/>
      <c r="U7" s="14"/>
      <c r="V7" s="14"/>
      <c r="W7" s="14"/>
      <c r="X7" s="14"/>
      <c r="Y7" s="14"/>
      <c r="Z7" s="14"/>
      <c r="AA7" s="14"/>
      <c r="AB7" s="14"/>
      <c r="AC7" s="14"/>
      <c r="AD7" s="14"/>
      <c r="AE7" s="14"/>
      <c r="AF7" s="14"/>
      <c r="AG7" s="14"/>
    </row>
    <row r="8" spans="1:33" s="55" customFormat="1" x14ac:dyDescent="0.25">
      <c r="A8" s="29"/>
      <c r="D8" s="14"/>
      <c r="E8" s="14"/>
      <c r="F8" s="14"/>
      <c r="G8" s="14"/>
      <c r="K8" s="14"/>
      <c r="L8" s="14"/>
      <c r="N8" s="14"/>
      <c r="O8" s="14"/>
      <c r="P8" s="14"/>
      <c r="Q8" s="14"/>
      <c r="R8" s="14"/>
      <c r="S8" s="14"/>
      <c r="T8" s="14"/>
      <c r="U8" s="14"/>
      <c r="V8" s="14"/>
      <c r="W8" s="14"/>
      <c r="X8" s="14"/>
      <c r="Y8" s="14"/>
      <c r="Z8" s="14"/>
      <c r="AA8" s="14"/>
      <c r="AB8" s="14"/>
      <c r="AC8" s="14"/>
      <c r="AD8" s="14"/>
      <c r="AE8" s="14"/>
      <c r="AF8" s="14"/>
      <c r="AG8" s="14"/>
    </row>
    <row r="9" spans="1:33" ht="38.25" customHeight="1" x14ac:dyDescent="0.25">
      <c r="A9" s="568" t="s">
        <v>50</v>
      </c>
      <c r="B9" s="568" t="s">
        <v>101</v>
      </c>
      <c r="C9" s="568" t="s">
        <v>310</v>
      </c>
      <c r="D9" s="568" t="s">
        <v>446</v>
      </c>
      <c r="E9" s="583" t="s">
        <v>487</v>
      </c>
      <c r="F9" s="313" t="s">
        <v>447</v>
      </c>
      <c r="G9" s="581" t="s">
        <v>412</v>
      </c>
    </row>
    <row r="10" spans="1:33" x14ac:dyDescent="0.25">
      <c r="A10" s="570"/>
      <c r="B10" s="570"/>
      <c r="C10" s="570"/>
      <c r="D10" s="570"/>
      <c r="E10" s="584"/>
      <c r="F10" s="330">
        <f>D7</f>
        <v>15.015158505543184</v>
      </c>
      <c r="G10" s="582"/>
    </row>
    <row r="11" spans="1:33" x14ac:dyDescent="0.25">
      <c r="A11" s="51">
        <f>'A) Base RI'!A7</f>
        <v>5401</v>
      </c>
      <c r="B11" s="321" t="str">
        <f>'A) Base RI'!B7</f>
        <v>Aigle</v>
      </c>
      <c r="C11" s="10">
        <f>'A) Base RI'!AN7</f>
        <v>10153</v>
      </c>
      <c r="D11" s="15">
        <f>'C) Prél. conj.'!H5</f>
        <v>1280761.5049999999</v>
      </c>
      <c r="E11" s="10">
        <f>'D) Ecrêtage'!L5</f>
        <v>0</v>
      </c>
      <c r="F11" s="15">
        <f>$F$10*'D) Ecrêtage'!M5</f>
        <v>4216369.6462782584</v>
      </c>
      <c r="G11" s="59">
        <f>D11+F11+E11</f>
        <v>5497131.1512782583</v>
      </c>
    </row>
    <row r="12" spans="1:33" x14ac:dyDescent="0.25">
      <c r="A12" s="51">
        <f>'A) Base RI'!A8</f>
        <v>5402</v>
      </c>
      <c r="B12" s="321" t="str">
        <f>'A) Base RI'!B8</f>
        <v>Bex</v>
      </c>
      <c r="C12" s="10">
        <f>'A) Base RI'!AN8</f>
        <v>7719</v>
      </c>
      <c r="D12" s="15">
        <f>'C) Prél. conj.'!H6</f>
        <v>887740.06500000006</v>
      </c>
      <c r="E12" s="10">
        <f>'D) Ecrêtage'!L6</f>
        <v>0</v>
      </c>
      <c r="F12" s="15">
        <f>$F$10*'D) Ecrêtage'!M6</f>
        <v>2686041.0729599469</v>
      </c>
      <c r="G12" s="59">
        <f t="shared" ref="G12:G75" si="0">D12+F12+E12</f>
        <v>3573781.1379599469</v>
      </c>
    </row>
    <row r="13" spans="1:33" x14ac:dyDescent="0.25">
      <c r="A13" s="51">
        <f>'A) Base RI'!A9</f>
        <v>5403</v>
      </c>
      <c r="B13" s="321" t="str">
        <f>'A) Base RI'!B9</f>
        <v>Chessel</v>
      </c>
      <c r="C13" s="10">
        <f>'A) Base RI'!AN9</f>
        <v>403</v>
      </c>
      <c r="D13" s="15">
        <f>'C) Prél. conj.'!H7</f>
        <v>35621.384999999995</v>
      </c>
      <c r="E13" s="10">
        <f>'D) Ecrêtage'!L7</f>
        <v>0</v>
      </c>
      <c r="F13" s="15">
        <f>$F$10*'D) Ecrêtage'!M7</f>
        <v>147109.39828490678</v>
      </c>
      <c r="G13" s="59">
        <f t="shared" si="0"/>
        <v>182730.78328490676</v>
      </c>
    </row>
    <row r="14" spans="1:33" x14ac:dyDescent="0.25">
      <c r="A14" s="51">
        <f>'A) Base RI'!A10</f>
        <v>5404</v>
      </c>
      <c r="B14" s="321" t="str">
        <f>'A) Base RI'!B10</f>
        <v>Corbeyrier</v>
      </c>
      <c r="C14" s="10">
        <f>'A) Base RI'!AN10</f>
        <v>437</v>
      </c>
      <c r="D14" s="15">
        <f>'C) Prél. conj.'!H8</f>
        <v>197377.27499999999</v>
      </c>
      <c r="E14" s="10">
        <f>'D) Ecrêtage'!L8</f>
        <v>0</v>
      </c>
      <c r="F14" s="15">
        <f>$F$10*'D) Ecrêtage'!M8</f>
        <v>164646.54267954294</v>
      </c>
      <c r="G14" s="59">
        <f t="shared" si="0"/>
        <v>362023.81767954293</v>
      </c>
    </row>
    <row r="15" spans="1:33" x14ac:dyDescent="0.25">
      <c r="A15" s="51">
        <f>'A) Base RI'!A11</f>
        <v>5405</v>
      </c>
      <c r="B15" s="321" t="str">
        <f>'A) Base RI'!B11</f>
        <v>Gryon</v>
      </c>
      <c r="C15" s="10">
        <f>'A) Base RI'!AN11</f>
        <v>1364</v>
      </c>
      <c r="D15" s="15">
        <f>'C) Prél. conj.'!H9</f>
        <v>324099.375</v>
      </c>
      <c r="E15" s="10">
        <f>'D) Ecrêtage'!L9</f>
        <v>0</v>
      </c>
      <c r="F15" s="15">
        <f>$F$10*'D) Ecrêtage'!M9</f>
        <v>1050307.9276966406</v>
      </c>
      <c r="G15" s="59">
        <f t="shared" si="0"/>
        <v>1374407.3026966406</v>
      </c>
    </row>
    <row r="16" spans="1:33" x14ac:dyDescent="0.25">
      <c r="A16" s="51">
        <f>'A) Base RI'!A12</f>
        <v>5406</v>
      </c>
      <c r="B16" s="321" t="str">
        <f>'A) Base RI'!B12</f>
        <v>Lavey-Morcles</v>
      </c>
      <c r="C16" s="10">
        <f>'A) Base RI'!AN12</f>
        <v>926</v>
      </c>
      <c r="D16" s="15">
        <f>'C) Prél. conj.'!H10</f>
        <v>77750.899999999994</v>
      </c>
      <c r="E16" s="10">
        <f>'D) Ecrêtage'!L10</f>
        <v>0</v>
      </c>
      <c r="F16" s="15">
        <f>$F$10*'D) Ecrêtage'!M10</f>
        <v>333411.74102558265</v>
      </c>
      <c r="G16" s="59">
        <f t="shared" si="0"/>
        <v>411162.64102558268</v>
      </c>
    </row>
    <row r="17" spans="1:7" x14ac:dyDescent="0.25">
      <c r="A17" s="51">
        <f>'A) Base RI'!A13</f>
        <v>5407</v>
      </c>
      <c r="B17" s="321" t="str">
        <f>'A) Base RI'!B13</f>
        <v>Leysin</v>
      </c>
      <c r="C17" s="10">
        <f>'A) Base RI'!AN13</f>
        <v>4023</v>
      </c>
      <c r="D17" s="15">
        <f>'C) Prél. conj.'!H11</f>
        <v>350943.45</v>
      </c>
      <c r="E17" s="10">
        <f>'D) Ecrêtage'!L11</f>
        <v>0</v>
      </c>
      <c r="F17" s="15">
        <f>$F$10*'D) Ecrêtage'!M11</f>
        <v>1340399.0648461899</v>
      </c>
      <c r="G17" s="59">
        <f t="shared" si="0"/>
        <v>1691342.5148461899</v>
      </c>
    </row>
    <row r="18" spans="1:7" x14ac:dyDescent="0.25">
      <c r="A18" s="51">
        <f>'A) Base RI'!A14</f>
        <v>5408</v>
      </c>
      <c r="B18" s="321" t="str">
        <f>'A) Base RI'!B14</f>
        <v>Noville</v>
      </c>
      <c r="C18" s="10">
        <f>'A) Base RI'!AN14</f>
        <v>1055</v>
      </c>
      <c r="D18" s="15">
        <f>'C) Prél. conj.'!H12</f>
        <v>142205.97500000001</v>
      </c>
      <c r="E18" s="10">
        <f>'D) Ecrêtage'!L12</f>
        <v>0</v>
      </c>
      <c r="F18" s="15">
        <f>$F$10*'D) Ecrêtage'!M12</f>
        <v>516093.32100875047</v>
      </c>
      <c r="G18" s="59">
        <f t="shared" si="0"/>
        <v>658299.29600875045</v>
      </c>
    </row>
    <row r="19" spans="1:7" x14ac:dyDescent="0.25">
      <c r="A19" s="51">
        <f>'A) Base RI'!A15</f>
        <v>5409</v>
      </c>
      <c r="B19" s="321" t="str">
        <f>'A) Base RI'!B15</f>
        <v>Ollon</v>
      </c>
      <c r="C19" s="10">
        <f>'A) Base RI'!AN15</f>
        <v>7494</v>
      </c>
      <c r="D19" s="15">
        <f>'C) Prél. conj.'!H13</f>
        <v>1467573.6099999999</v>
      </c>
      <c r="E19" s="10">
        <f>'D) Ecrêtage'!L13</f>
        <v>0</v>
      </c>
      <c r="F19" s="15">
        <f>$F$10*'D) Ecrêtage'!M13</f>
        <v>5585813.6358765531</v>
      </c>
      <c r="G19" s="59">
        <f t="shared" si="0"/>
        <v>7053387.2458765525</v>
      </c>
    </row>
    <row r="20" spans="1:7" x14ac:dyDescent="0.25">
      <c r="A20" s="51">
        <f>'A) Base RI'!A16</f>
        <v>5410</v>
      </c>
      <c r="B20" s="321" t="str">
        <f>'A) Base RI'!B16</f>
        <v>Ormont-Dessous</v>
      </c>
      <c r="C20" s="10">
        <f>'A) Base RI'!AN16</f>
        <v>1117</v>
      </c>
      <c r="D20" s="15">
        <f>'C) Prél. conj.'!H14</f>
        <v>202023.125</v>
      </c>
      <c r="E20" s="10">
        <f>'D) Ecrêtage'!L14</f>
        <v>0</v>
      </c>
      <c r="F20" s="15">
        <f>$F$10*'D) Ecrêtage'!M14</f>
        <v>575319.10584215156</v>
      </c>
      <c r="G20" s="59">
        <f t="shared" si="0"/>
        <v>777342.23084215156</v>
      </c>
    </row>
    <row r="21" spans="1:7" x14ac:dyDescent="0.25">
      <c r="A21" s="51">
        <f>'A) Base RI'!A17</f>
        <v>5411</v>
      </c>
      <c r="B21" s="321" t="str">
        <f>'A) Base RI'!B17</f>
        <v>Ormont-Dessus</v>
      </c>
      <c r="C21" s="10">
        <f>'A) Base RI'!AN17</f>
        <v>1467</v>
      </c>
      <c r="D21" s="15">
        <f>'C) Prél. conj.'!H15</f>
        <v>262764.40000000002</v>
      </c>
      <c r="E21" s="10">
        <f>'D) Ecrêtage'!L15</f>
        <v>0</v>
      </c>
      <c r="F21" s="15">
        <f>$F$10*'D) Ecrêtage'!M15</f>
        <v>1200062.5739623755</v>
      </c>
      <c r="G21" s="59">
        <f t="shared" si="0"/>
        <v>1462826.9739623754</v>
      </c>
    </row>
    <row r="22" spans="1:7" x14ac:dyDescent="0.25">
      <c r="A22" s="51">
        <f>'A) Base RI'!A18</f>
        <v>5412</v>
      </c>
      <c r="B22" s="321" t="str">
        <f>'A) Base RI'!B18</f>
        <v>Rennaz</v>
      </c>
      <c r="C22" s="10">
        <f>'A) Base RI'!AN18</f>
        <v>839</v>
      </c>
      <c r="D22" s="15">
        <f>'C) Prél. conj.'!H16</f>
        <v>76388.789999999994</v>
      </c>
      <c r="E22" s="10">
        <f>'D) Ecrêtage'!L16</f>
        <v>0</v>
      </c>
      <c r="F22" s="15">
        <f>$F$10*'D) Ecrêtage'!M16</f>
        <v>472956.20699101913</v>
      </c>
      <c r="G22" s="59">
        <f t="shared" si="0"/>
        <v>549344.99699101911</v>
      </c>
    </row>
    <row r="23" spans="1:7" x14ac:dyDescent="0.25">
      <c r="A23" s="51">
        <f>'A) Base RI'!A19</f>
        <v>5413</v>
      </c>
      <c r="B23" s="321" t="str">
        <f>'A) Base RI'!B19</f>
        <v>Roche</v>
      </c>
      <c r="C23" s="10">
        <f>'A) Base RI'!AN19</f>
        <v>1650</v>
      </c>
      <c r="D23" s="15">
        <f>'C) Prél. conj.'!H17</f>
        <v>163136.33500000002</v>
      </c>
      <c r="E23" s="10">
        <f>'D) Ecrêtage'!L17</f>
        <v>0</v>
      </c>
      <c r="F23" s="15">
        <f>$F$10*'D) Ecrêtage'!M17</f>
        <v>566250.90680311946</v>
      </c>
      <c r="G23" s="59">
        <f t="shared" si="0"/>
        <v>729387.24180311942</v>
      </c>
    </row>
    <row r="24" spans="1:7" x14ac:dyDescent="0.25">
      <c r="A24" s="51">
        <f>'A) Base RI'!A20</f>
        <v>5414</v>
      </c>
      <c r="B24" s="321" t="str">
        <f>'A) Base RI'!B20</f>
        <v>Villeneuve</v>
      </c>
      <c r="C24" s="10">
        <f>'A) Base RI'!AN20</f>
        <v>5672</v>
      </c>
      <c r="D24" s="15">
        <f>'C) Prél. conj.'!H18</f>
        <v>963159.67500000005</v>
      </c>
      <c r="E24" s="10">
        <f>'D) Ecrêtage'!L18</f>
        <v>0</v>
      </c>
      <c r="F24" s="15">
        <f>$F$10*'D) Ecrêtage'!M18</f>
        <v>2533148.1729907105</v>
      </c>
      <c r="G24" s="59">
        <f t="shared" si="0"/>
        <v>3496307.8479907103</v>
      </c>
    </row>
    <row r="25" spans="1:7" x14ac:dyDescent="0.25">
      <c r="A25" s="51">
        <f>'A) Base RI'!A21</f>
        <v>5415</v>
      </c>
      <c r="B25" s="321" t="str">
        <f>'A) Base RI'!B21</f>
        <v>Yvorne</v>
      </c>
      <c r="C25" s="10">
        <f>'A) Base RI'!AN21</f>
        <v>1057</v>
      </c>
      <c r="D25" s="15">
        <f>'C) Prél. conj.'!H19</f>
        <v>125816.31</v>
      </c>
      <c r="E25" s="10">
        <f>'D) Ecrêtage'!L19</f>
        <v>0</v>
      </c>
      <c r="F25" s="15">
        <f>$F$10*'D) Ecrêtage'!M19</f>
        <v>525732.76372867846</v>
      </c>
      <c r="G25" s="59">
        <f t="shared" si="0"/>
        <v>651549.07372867852</v>
      </c>
    </row>
    <row r="26" spans="1:7" x14ac:dyDescent="0.25">
      <c r="A26" s="51">
        <f>'A) Base RI'!A22</f>
        <v>5421</v>
      </c>
      <c r="B26" s="321" t="str">
        <f>'A) Base RI'!B22</f>
        <v>Apples</v>
      </c>
      <c r="C26" s="10">
        <f>'A) Base RI'!AN22</f>
        <v>1437</v>
      </c>
      <c r="D26" s="15">
        <f>'C) Prél. conj.'!H20</f>
        <v>129860.14500000002</v>
      </c>
      <c r="E26" s="10">
        <f>'D) Ecrêtage'!L20</f>
        <v>0</v>
      </c>
      <c r="F26" s="15">
        <f>$F$10*'D) Ecrêtage'!M20</f>
        <v>890827.20875076042</v>
      </c>
      <c r="G26" s="59">
        <f t="shared" si="0"/>
        <v>1020687.3537507604</v>
      </c>
    </row>
    <row r="27" spans="1:7" x14ac:dyDescent="0.25">
      <c r="A27" s="51">
        <f>'A) Base RI'!A23</f>
        <v>5422</v>
      </c>
      <c r="B27" s="321" t="str">
        <f>'A) Base RI'!B23</f>
        <v>Aubonne</v>
      </c>
      <c r="C27" s="10">
        <f>'A) Base RI'!AN23</f>
        <v>3269</v>
      </c>
      <c r="D27" s="15">
        <f>'C) Prél. conj.'!H21</f>
        <v>701334.78</v>
      </c>
      <c r="E27" s="10">
        <f>'D) Ecrêtage'!L21</f>
        <v>2304366.7261257484</v>
      </c>
      <c r="F27" s="15">
        <f>$F$10*'D) Ecrêtage'!M21</f>
        <v>3649763.1460519596</v>
      </c>
      <c r="G27" s="59">
        <f t="shared" si="0"/>
        <v>6655464.6521777082</v>
      </c>
    </row>
    <row r="28" spans="1:7" x14ac:dyDescent="0.25">
      <c r="A28" s="51">
        <f>'A) Base RI'!A24</f>
        <v>5423</v>
      </c>
      <c r="B28" s="321" t="str">
        <f>'A) Base RI'!B24</f>
        <v>Ballens</v>
      </c>
      <c r="C28" s="10">
        <f>'A) Base RI'!AN24</f>
        <v>527</v>
      </c>
      <c r="D28" s="15">
        <f>'C) Prél. conj.'!H22</f>
        <v>70321.574999999997</v>
      </c>
      <c r="E28" s="10">
        <f>'D) Ecrêtage'!L22</f>
        <v>0</v>
      </c>
      <c r="F28" s="15">
        <f>$F$10*'D) Ecrêtage'!M22</f>
        <v>250805.19741594719</v>
      </c>
      <c r="G28" s="59">
        <f t="shared" si="0"/>
        <v>321126.77241594717</v>
      </c>
    </row>
    <row r="29" spans="1:7" x14ac:dyDescent="0.25">
      <c r="A29" s="51">
        <f>'A) Base RI'!A25</f>
        <v>5424</v>
      </c>
      <c r="B29" s="321" t="str">
        <f>'A) Base RI'!B25</f>
        <v>Berolle</v>
      </c>
      <c r="C29" s="10">
        <f>'A) Base RI'!AN25</f>
        <v>301</v>
      </c>
      <c r="D29" s="15">
        <f>'C) Prél. conj.'!H23</f>
        <v>20209.824999999997</v>
      </c>
      <c r="E29" s="10">
        <f>'D) Ecrêtage'!L23</f>
        <v>0</v>
      </c>
      <c r="F29" s="15">
        <f>$F$10*'D) Ecrêtage'!M23</f>
        <v>170316.05956905131</v>
      </c>
      <c r="G29" s="59">
        <f t="shared" si="0"/>
        <v>190525.88456905133</v>
      </c>
    </row>
    <row r="30" spans="1:7" x14ac:dyDescent="0.25">
      <c r="A30" s="51">
        <f>'A) Base RI'!A26</f>
        <v>5425</v>
      </c>
      <c r="B30" s="321" t="str">
        <f>'A) Base RI'!B26</f>
        <v>Bière</v>
      </c>
      <c r="C30" s="10">
        <f>'A) Base RI'!AN26</f>
        <v>1577</v>
      </c>
      <c r="D30" s="15">
        <f>'C) Prél. conj.'!H24</f>
        <v>77702.084999999992</v>
      </c>
      <c r="E30" s="10">
        <f>'D) Ecrêtage'!L24</f>
        <v>0</v>
      </c>
      <c r="F30" s="15">
        <f>$F$10*'D) Ecrêtage'!M24</f>
        <v>622399.07272462372</v>
      </c>
      <c r="G30" s="59">
        <f t="shared" si="0"/>
        <v>700101.15772462368</v>
      </c>
    </row>
    <row r="31" spans="1:7" x14ac:dyDescent="0.25">
      <c r="A31" s="51">
        <f>'A) Base RI'!A27</f>
        <v>5426</v>
      </c>
      <c r="B31" s="321" t="str">
        <f>'A) Base RI'!B27</f>
        <v>Bougy-Villars</v>
      </c>
      <c r="C31" s="10">
        <f>'A) Base RI'!AN27</f>
        <v>483</v>
      </c>
      <c r="D31" s="15">
        <f>'C) Prél. conj.'!H25</f>
        <v>418518.935</v>
      </c>
      <c r="E31" s="10">
        <f>'D) Ecrêtage'!L25</f>
        <v>617841.38072918123</v>
      </c>
      <c r="F31" s="15">
        <f>$F$10*'D) Ecrêtage'!M25</f>
        <v>628369.45456572634</v>
      </c>
      <c r="G31" s="59">
        <f t="shared" si="0"/>
        <v>1664729.7702949075</v>
      </c>
    </row>
    <row r="32" spans="1:7" x14ac:dyDescent="0.25">
      <c r="A32" s="51">
        <f>'A) Base RI'!A28</f>
        <v>5427</v>
      </c>
      <c r="B32" s="321" t="str">
        <f>'A) Base RI'!B28</f>
        <v>Féchy</v>
      </c>
      <c r="C32" s="10">
        <f>'A) Base RI'!AN28</f>
        <v>895</v>
      </c>
      <c r="D32" s="15">
        <f>'C) Prél. conj.'!H26</f>
        <v>244792.375</v>
      </c>
      <c r="E32" s="10">
        <f>'D) Ecrêtage'!L26</f>
        <v>805181.97300727724</v>
      </c>
      <c r="F32" s="15">
        <f>$F$10*'D) Ecrêtage'!M26</f>
        <v>1074826.461822456</v>
      </c>
      <c r="G32" s="59">
        <f t="shared" si="0"/>
        <v>2124800.8098297333</v>
      </c>
    </row>
    <row r="33" spans="1:7" x14ac:dyDescent="0.25">
      <c r="A33" s="51">
        <f>'A) Base RI'!A29</f>
        <v>5428</v>
      </c>
      <c r="B33" s="321" t="str">
        <f>'A) Base RI'!B29</f>
        <v>Gimel</v>
      </c>
      <c r="C33" s="10">
        <f>'A) Base RI'!AN29</f>
        <v>2016</v>
      </c>
      <c r="D33" s="15">
        <f>'C) Prél. conj.'!H27</f>
        <v>421912.82499999995</v>
      </c>
      <c r="E33" s="10">
        <f>'D) Ecrêtage'!L27</f>
        <v>0</v>
      </c>
      <c r="F33" s="15">
        <f>$F$10*'D) Ecrêtage'!M27</f>
        <v>941370.00324845582</v>
      </c>
      <c r="G33" s="59">
        <f t="shared" si="0"/>
        <v>1363282.8282484557</v>
      </c>
    </row>
    <row r="34" spans="1:7" x14ac:dyDescent="0.25">
      <c r="A34" s="51">
        <f>'A) Base RI'!A30</f>
        <v>5429</v>
      </c>
      <c r="B34" s="321" t="str">
        <f>'A) Base RI'!B30</f>
        <v>Longirod</v>
      </c>
      <c r="C34" s="10">
        <f>'A) Base RI'!AN30</f>
        <v>469</v>
      </c>
      <c r="D34" s="15">
        <f>'C) Prél. conj.'!H28</f>
        <v>41538.649999999994</v>
      </c>
      <c r="E34" s="10">
        <f>'D) Ecrêtage'!L28</f>
        <v>0</v>
      </c>
      <c r="F34" s="15">
        <f>$F$10*'D) Ecrêtage'!M28</f>
        <v>223651.7350463811</v>
      </c>
      <c r="G34" s="59">
        <f t="shared" si="0"/>
        <v>265190.3850463811</v>
      </c>
    </row>
    <row r="35" spans="1:7" x14ac:dyDescent="0.25">
      <c r="A35" s="51">
        <f>'A) Base RI'!A31</f>
        <v>5430</v>
      </c>
      <c r="B35" s="321" t="str">
        <f>'A) Base RI'!B31</f>
        <v>Marchissy</v>
      </c>
      <c r="C35" s="10">
        <f>'A) Base RI'!AN31</f>
        <v>455</v>
      </c>
      <c r="D35" s="15">
        <f>'C) Prél. conj.'!H29</f>
        <v>52078.805</v>
      </c>
      <c r="E35" s="10">
        <f>'D) Ecrêtage'!L29</f>
        <v>0</v>
      </c>
      <c r="F35" s="15">
        <f>$F$10*'D) Ecrêtage'!M29</f>
        <v>204568.4581455552</v>
      </c>
      <c r="G35" s="59">
        <f t="shared" si="0"/>
        <v>256647.26314555519</v>
      </c>
    </row>
    <row r="36" spans="1:7" x14ac:dyDescent="0.25">
      <c r="A36" s="51">
        <f>'A) Base RI'!A32</f>
        <v>5431</v>
      </c>
      <c r="B36" s="321" t="str">
        <f>'A) Base RI'!B32</f>
        <v>Mollens</v>
      </c>
      <c r="C36" s="10">
        <f>'A) Base RI'!AN32</f>
        <v>301</v>
      </c>
      <c r="D36" s="15">
        <f>'C) Prél. conj.'!H30</f>
        <v>14493.800000000001</v>
      </c>
      <c r="E36" s="10">
        <f>'D) Ecrêtage'!L30</f>
        <v>0</v>
      </c>
      <c r="F36" s="15">
        <f>$F$10*'D) Ecrêtage'!M30</f>
        <v>134775.52504075508</v>
      </c>
      <c r="G36" s="59">
        <f t="shared" si="0"/>
        <v>149269.32504075507</v>
      </c>
    </row>
    <row r="37" spans="1:7" x14ac:dyDescent="0.25">
      <c r="A37" s="51">
        <f>'A) Base RI'!A33</f>
        <v>5432</v>
      </c>
      <c r="B37" s="321" t="str">
        <f>'A) Base RI'!B33</f>
        <v>Montherod</v>
      </c>
      <c r="C37" s="10">
        <f>'A) Base RI'!AN33</f>
        <v>534</v>
      </c>
      <c r="D37" s="15">
        <f>'C) Prél. conj.'!H31</f>
        <v>60137.34</v>
      </c>
      <c r="E37" s="10">
        <f>'D) Ecrêtage'!L31</f>
        <v>0</v>
      </c>
      <c r="F37" s="15">
        <f>$F$10*'D) Ecrêtage'!M31</f>
        <v>270569.57573209069</v>
      </c>
      <c r="G37" s="59">
        <f t="shared" si="0"/>
        <v>330706.91573209071</v>
      </c>
    </row>
    <row r="38" spans="1:7" x14ac:dyDescent="0.25">
      <c r="A38" s="51">
        <f>'A) Base RI'!A34</f>
        <v>5434</v>
      </c>
      <c r="B38" s="321" t="str">
        <f>'A) Base RI'!B34</f>
        <v>Saint-George</v>
      </c>
      <c r="C38" s="10">
        <f>'A) Base RI'!AN34</f>
        <v>1031</v>
      </c>
      <c r="D38" s="15">
        <f>'C) Prél. conj.'!H32</f>
        <v>224882.54500000001</v>
      </c>
      <c r="E38" s="10">
        <f>'D) Ecrêtage'!L32</f>
        <v>0</v>
      </c>
      <c r="F38" s="15">
        <f>$F$10*'D) Ecrêtage'!M32</f>
        <v>559219.79448151658</v>
      </c>
      <c r="G38" s="59">
        <f t="shared" si="0"/>
        <v>784102.33948151662</v>
      </c>
    </row>
    <row r="39" spans="1:7" x14ac:dyDescent="0.25">
      <c r="A39" s="51">
        <f>'A) Base RI'!A35</f>
        <v>5435</v>
      </c>
      <c r="B39" s="321" t="str">
        <f>'A) Base RI'!B35</f>
        <v>Saint-Livres</v>
      </c>
      <c r="C39" s="10">
        <f>'A) Base RI'!AN35</f>
        <v>683</v>
      </c>
      <c r="D39" s="15">
        <f>'C) Prél. conj.'!H33</f>
        <v>4404.9400000000005</v>
      </c>
      <c r="E39" s="10">
        <f>'D) Ecrêtage'!L33</f>
        <v>0</v>
      </c>
      <c r="F39" s="15">
        <f>$F$10*'D) Ecrêtage'!M33</f>
        <v>387155.47549274296</v>
      </c>
      <c r="G39" s="59">
        <f t="shared" si="0"/>
        <v>391560.41549274296</v>
      </c>
    </row>
    <row r="40" spans="1:7" x14ac:dyDescent="0.25">
      <c r="A40" s="51">
        <f>'A) Base RI'!A36</f>
        <v>5436</v>
      </c>
      <c r="B40" s="321" t="str">
        <f>'A) Base RI'!B36</f>
        <v>Saint-Oyens</v>
      </c>
      <c r="C40" s="10">
        <f>'A) Base RI'!AN36</f>
        <v>366</v>
      </c>
      <c r="D40" s="15">
        <f>'C) Prél. conj.'!H34</f>
        <v>86284.225000000006</v>
      </c>
      <c r="E40" s="10">
        <f>'D) Ecrêtage'!L34</f>
        <v>0</v>
      </c>
      <c r="F40" s="15">
        <f>$F$10*'D) Ecrêtage'!M34</f>
        <v>170124.6923609456</v>
      </c>
      <c r="G40" s="59">
        <f t="shared" si="0"/>
        <v>256408.9173609456</v>
      </c>
    </row>
    <row r="41" spans="1:7" x14ac:dyDescent="0.25">
      <c r="A41" s="51">
        <f>'A) Base RI'!A37</f>
        <v>5437</v>
      </c>
      <c r="B41" s="321" t="str">
        <f>'A) Base RI'!B37</f>
        <v>Saubraz</v>
      </c>
      <c r="C41" s="10">
        <f>'A) Base RI'!AN37</f>
        <v>420</v>
      </c>
      <c r="D41" s="15">
        <f>'C) Prél. conj.'!H35</f>
        <v>22300.6</v>
      </c>
      <c r="E41" s="10">
        <f>'D) Ecrêtage'!L35</f>
        <v>0</v>
      </c>
      <c r="F41" s="15">
        <f>$F$10*'D) Ecrêtage'!M35</f>
        <v>149381.34120820407</v>
      </c>
      <c r="G41" s="59">
        <f t="shared" si="0"/>
        <v>171681.94120820408</v>
      </c>
    </row>
    <row r="42" spans="1:7" x14ac:dyDescent="0.25">
      <c r="A42" s="51">
        <f>'A) Base RI'!A38</f>
        <v>5451</v>
      </c>
      <c r="B42" s="321" t="str">
        <f>'A) Base RI'!B38</f>
        <v>Avenches</v>
      </c>
      <c r="C42" s="10">
        <f>'A) Base RI'!AN38</f>
        <v>4210</v>
      </c>
      <c r="D42" s="15">
        <f>'C) Prél. conj.'!H36</f>
        <v>453307.01500000001</v>
      </c>
      <c r="E42" s="10">
        <f>'D) Ecrêtage'!L36</f>
        <v>0</v>
      </c>
      <c r="F42" s="15">
        <f>$F$10*'D) Ecrêtage'!M36</f>
        <v>1465239.5374765794</v>
      </c>
      <c r="G42" s="59">
        <f t="shared" si="0"/>
        <v>1918546.5524765793</v>
      </c>
    </row>
    <row r="43" spans="1:7" x14ac:dyDescent="0.25">
      <c r="A43" s="51">
        <f>'A) Base RI'!A39</f>
        <v>5456</v>
      </c>
      <c r="B43" s="321" t="str">
        <f>'A) Base RI'!B39</f>
        <v>Cudrefin</v>
      </c>
      <c r="C43" s="10">
        <f>'A) Base RI'!AN39</f>
        <v>1589</v>
      </c>
      <c r="D43" s="15">
        <f>'C) Prél. conj.'!H37</f>
        <v>188601.89</v>
      </c>
      <c r="E43" s="10">
        <f>'D) Ecrêtage'!L37</f>
        <v>0</v>
      </c>
      <c r="F43" s="15">
        <f>$F$10*'D) Ecrêtage'!M37</f>
        <v>839369.86453471356</v>
      </c>
      <c r="G43" s="59">
        <f t="shared" si="0"/>
        <v>1027971.7545347136</v>
      </c>
    </row>
    <row r="44" spans="1:7" x14ac:dyDescent="0.25">
      <c r="A44" s="51">
        <f>'A) Base RI'!A40</f>
        <v>5458</v>
      </c>
      <c r="B44" s="321" t="str">
        <f>'A) Base RI'!B40</f>
        <v>Faoug</v>
      </c>
      <c r="C44" s="10">
        <f>'A) Base RI'!AN40</f>
        <v>893</v>
      </c>
      <c r="D44" s="15">
        <f>'C) Prél. conj.'!H38</f>
        <v>129691.95000000001</v>
      </c>
      <c r="E44" s="10">
        <f>'D) Ecrêtage'!L38</f>
        <v>0</v>
      </c>
      <c r="F44" s="15">
        <f>$F$10*'D) Ecrêtage'!M38</f>
        <v>522531.06801633677</v>
      </c>
      <c r="G44" s="59">
        <f t="shared" si="0"/>
        <v>652223.01801633672</v>
      </c>
    </row>
    <row r="45" spans="1:7" x14ac:dyDescent="0.25">
      <c r="A45" s="51">
        <f>'A) Base RI'!A41</f>
        <v>5464</v>
      </c>
      <c r="B45" s="321" t="str">
        <f>'A) Base RI'!B41</f>
        <v>Vully-les-Lacs</v>
      </c>
      <c r="C45" s="10">
        <f>'A) Base RI'!AN41</f>
        <v>3080</v>
      </c>
      <c r="D45" s="15">
        <f>'C) Prél. conj.'!H39</f>
        <v>300884.55</v>
      </c>
      <c r="E45" s="10">
        <f>'D) Ecrêtage'!L39</f>
        <v>0</v>
      </c>
      <c r="F45" s="15">
        <f>$F$10*'D) Ecrêtage'!M39</f>
        <v>1485810.9135955779</v>
      </c>
      <c r="G45" s="59">
        <f t="shared" si="0"/>
        <v>1786695.463595578</v>
      </c>
    </row>
    <row r="46" spans="1:7" x14ac:dyDescent="0.25">
      <c r="A46" s="51">
        <f>'A) Base RI'!A42</f>
        <v>5471</v>
      </c>
      <c r="B46" s="321" t="str">
        <f>'A) Base RI'!B42</f>
        <v>Bettens</v>
      </c>
      <c r="C46" s="10">
        <f>'A) Base RI'!AN42</f>
        <v>574</v>
      </c>
      <c r="D46" s="15">
        <f>'C) Prél. conj.'!H40</f>
        <v>107357.485</v>
      </c>
      <c r="E46" s="10">
        <f>'D) Ecrêtage'!L40</f>
        <v>0</v>
      </c>
      <c r="F46" s="15">
        <f>$F$10*'D) Ecrêtage'!M40</f>
        <v>288522.45478429389</v>
      </c>
      <c r="G46" s="59">
        <f t="shared" si="0"/>
        <v>395879.93978429388</v>
      </c>
    </row>
    <row r="47" spans="1:7" x14ac:dyDescent="0.25">
      <c r="A47" s="51">
        <f>'A) Base RI'!A43</f>
        <v>5472</v>
      </c>
      <c r="B47" s="321" t="str">
        <f>'A) Base RI'!B43</f>
        <v>Bournens</v>
      </c>
      <c r="C47" s="10">
        <f>'A) Base RI'!AN43</f>
        <v>419</v>
      </c>
      <c r="D47" s="15">
        <f>'C) Prél. conj.'!H41</f>
        <v>25346.050000000003</v>
      </c>
      <c r="E47" s="10">
        <f>'D) Ecrêtage'!L41</f>
        <v>0</v>
      </c>
      <c r="F47" s="15">
        <f>$F$10*'D) Ecrêtage'!M41</f>
        <v>227253.95851148246</v>
      </c>
      <c r="G47" s="59">
        <f t="shared" si="0"/>
        <v>252600.00851148245</v>
      </c>
    </row>
    <row r="48" spans="1:7" x14ac:dyDescent="0.25">
      <c r="A48" s="51">
        <f>'A) Base RI'!A44</f>
        <v>5473</v>
      </c>
      <c r="B48" s="321" t="str">
        <f>'A) Base RI'!B44</f>
        <v>Boussens</v>
      </c>
      <c r="C48" s="10">
        <f>'A) Base RI'!AN44</f>
        <v>982</v>
      </c>
      <c r="D48" s="15">
        <f>'C) Prél. conj.'!H42</f>
        <v>46871.25</v>
      </c>
      <c r="E48" s="10">
        <f>'D) Ecrêtage'!L42</f>
        <v>0</v>
      </c>
      <c r="F48" s="15">
        <f>$F$10*'D) Ecrêtage'!M42</f>
        <v>499686.1674516502</v>
      </c>
      <c r="G48" s="59">
        <f t="shared" si="0"/>
        <v>546557.41745165014</v>
      </c>
    </row>
    <row r="49" spans="1:7" x14ac:dyDescent="0.25">
      <c r="A49" s="51">
        <f>'A) Base RI'!A45</f>
        <v>5474</v>
      </c>
      <c r="B49" s="321" t="str">
        <f>'A) Base RI'!B45</f>
        <v>La Chaux (Cossonay)</v>
      </c>
      <c r="C49" s="10">
        <f>'A) Base RI'!AN45</f>
        <v>420</v>
      </c>
      <c r="D49" s="15">
        <f>'C) Prél. conj.'!H43</f>
        <v>107889.505</v>
      </c>
      <c r="E49" s="10">
        <f>'D) Ecrêtage'!L43</f>
        <v>0</v>
      </c>
      <c r="F49" s="15">
        <f>$F$10*'D) Ecrêtage'!M43</f>
        <v>201402.88278300624</v>
      </c>
      <c r="G49" s="59">
        <f t="shared" si="0"/>
        <v>309292.38778300624</v>
      </c>
    </row>
    <row r="50" spans="1:7" x14ac:dyDescent="0.25">
      <c r="A50" s="51">
        <f>'A) Base RI'!A46</f>
        <v>5475</v>
      </c>
      <c r="B50" s="321" t="str">
        <f>'A) Base RI'!B46</f>
        <v>Chavannes-le-Veyron</v>
      </c>
      <c r="C50" s="10">
        <f>'A) Base RI'!AN46</f>
        <v>141</v>
      </c>
      <c r="D50" s="15">
        <f>'C) Prél. conj.'!H44</f>
        <v>2750</v>
      </c>
      <c r="E50" s="10">
        <f>'D) Ecrêtage'!L44</f>
        <v>0</v>
      </c>
      <c r="F50" s="15">
        <f>$F$10*'D) Ecrêtage'!M44</f>
        <v>56803.717440961795</v>
      </c>
      <c r="G50" s="59">
        <f t="shared" si="0"/>
        <v>59553.717440961795</v>
      </c>
    </row>
    <row r="51" spans="1:7" x14ac:dyDescent="0.25">
      <c r="A51" s="51">
        <f>'A) Base RI'!A47</f>
        <v>5476</v>
      </c>
      <c r="B51" s="321" t="str">
        <f>'A) Base RI'!B47</f>
        <v>Chevilly</v>
      </c>
      <c r="C51" s="10">
        <f>'A) Base RI'!AN47</f>
        <v>298</v>
      </c>
      <c r="D51" s="15">
        <f>'C) Prél. conj.'!H45</f>
        <v>2204.6</v>
      </c>
      <c r="E51" s="10">
        <f>'D) Ecrêtage'!L45</f>
        <v>0</v>
      </c>
      <c r="F51" s="15">
        <f>$F$10*'D) Ecrêtage'!M45</f>
        <v>151495.18945996076</v>
      </c>
      <c r="G51" s="59">
        <f t="shared" si="0"/>
        <v>153699.78945996077</v>
      </c>
    </row>
    <row r="52" spans="1:7" x14ac:dyDescent="0.25">
      <c r="A52" s="51">
        <f>'A) Base RI'!A48</f>
        <v>5477</v>
      </c>
      <c r="B52" s="321" t="str">
        <f>'A) Base RI'!B48</f>
        <v>Cossonay</v>
      </c>
      <c r="C52" s="10">
        <f>'A) Base RI'!AN48</f>
        <v>3808</v>
      </c>
      <c r="D52" s="15">
        <f>'C) Prél. conj.'!H46</f>
        <v>588208.54</v>
      </c>
      <c r="E52" s="10">
        <f>'D) Ecrêtage'!L46</f>
        <v>0</v>
      </c>
      <c r="F52" s="15">
        <f>$F$10*'D) Ecrêtage'!M46</f>
        <v>1892108.5799492483</v>
      </c>
      <c r="G52" s="59">
        <f t="shared" si="0"/>
        <v>2480317.1199492486</v>
      </c>
    </row>
    <row r="53" spans="1:7" x14ac:dyDescent="0.25">
      <c r="A53" s="51">
        <f>'A) Base RI'!A49</f>
        <v>5478</v>
      </c>
      <c r="B53" s="321" t="str">
        <f>'A) Base RI'!B49</f>
        <v>Cottens</v>
      </c>
      <c r="C53" s="10">
        <f>'A) Base RI'!AN49</f>
        <v>477</v>
      </c>
      <c r="D53" s="15">
        <f>'C) Prél. conj.'!H47</f>
        <v>40354.449999999997</v>
      </c>
      <c r="E53" s="10">
        <f>'D) Ecrêtage'!L47</f>
        <v>0</v>
      </c>
      <c r="F53" s="15">
        <f>$F$10*'D) Ecrêtage'!M47</f>
        <v>255713.59944612283</v>
      </c>
      <c r="G53" s="59">
        <f t="shared" si="0"/>
        <v>296068.04944612284</v>
      </c>
    </row>
    <row r="54" spans="1:7" x14ac:dyDescent="0.25">
      <c r="A54" s="51">
        <f>'A) Base RI'!A50</f>
        <v>5479</v>
      </c>
      <c r="B54" s="321" t="str">
        <f>'A) Base RI'!B50</f>
        <v>Cuarnens</v>
      </c>
      <c r="C54" s="10">
        <f>'A) Base RI'!AN50</f>
        <v>479</v>
      </c>
      <c r="D54" s="15">
        <f>'C) Prél. conj.'!H48</f>
        <v>62652.090000000004</v>
      </c>
      <c r="E54" s="10">
        <f>'D) Ecrêtage'!L48</f>
        <v>0</v>
      </c>
      <c r="F54" s="15">
        <f>$F$10*'D) Ecrêtage'!M48</f>
        <v>294723.43190909224</v>
      </c>
      <c r="G54" s="59">
        <f t="shared" si="0"/>
        <v>357375.52190909226</v>
      </c>
    </row>
    <row r="55" spans="1:7" x14ac:dyDescent="0.25">
      <c r="A55" s="51">
        <f>'A) Base RI'!A51</f>
        <v>5480</v>
      </c>
      <c r="B55" s="321" t="str">
        <f>'A) Base RI'!B51</f>
        <v>Daillens</v>
      </c>
      <c r="C55" s="10">
        <f>'A) Base RI'!AN51</f>
        <v>998</v>
      </c>
      <c r="D55" s="15">
        <f>'C) Prél. conj.'!H49</f>
        <v>76567.76999999999</v>
      </c>
      <c r="E55" s="10">
        <f>'D) Ecrêtage'!L49</f>
        <v>0</v>
      </c>
      <c r="F55" s="15">
        <f>$F$10*'D) Ecrêtage'!M49</f>
        <v>627773.49490540079</v>
      </c>
      <c r="G55" s="59">
        <f t="shared" si="0"/>
        <v>704341.26490540081</v>
      </c>
    </row>
    <row r="56" spans="1:7" x14ac:dyDescent="0.25">
      <c r="A56" s="51">
        <f>'A) Base RI'!A52</f>
        <v>5481</v>
      </c>
      <c r="B56" s="321" t="str">
        <f>'A) Base RI'!B52</f>
        <v>Dizy</v>
      </c>
      <c r="C56" s="10">
        <f>'A) Base RI'!AN52</f>
        <v>229</v>
      </c>
      <c r="D56" s="15">
        <f>'C) Prél. conj.'!H50</f>
        <v>8811.7250000000004</v>
      </c>
      <c r="E56" s="10">
        <f>'D) Ecrêtage'!L50</f>
        <v>0</v>
      </c>
      <c r="F56" s="15">
        <f>$F$10*'D) Ecrêtage'!M50</f>
        <v>127293.02472420217</v>
      </c>
      <c r="G56" s="59">
        <f t="shared" si="0"/>
        <v>136104.74972420218</v>
      </c>
    </row>
    <row r="57" spans="1:7" x14ac:dyDescent="0.25">
      <c r="A57" s="51">
        <f>'A) Base RI'!A53</f>
        <v>5482</v>
      </c>
      <c r="B57" s="321" t="str">
        <f>'A) Base RI'!B53</f>
        <v>Eclépens</v>
      </c>
      <c r="C57" s="10">
        <f>'A) Base RI'!AN53</f>
        <v>1091</v>
      </c>
      <c r="D57" s="15">
        <f>'C) Prél. conj.'!H51</f>
        <v>265543.25</v>
      </c>
      <c r="E57" s="10">
        <f>'D) Ecrêtage'!L51</f>
        <v>0</v>
      </c>
      <c r="F57" s="15">
        <f>$F$10*'D) Ecrêtage'!M51</f>
        <v>756294.31125715817</v>
      </c>
      <c r="G57" s="59">
        <f t="shared" si="0"/>
        <v>1021837.5612571582</v>
      </c>
    </row>
    <row r="58" spans="1:7" x14ac:dyDescent="0.25">
      <c r="A58" s="51">
        <f>'A) Base RI'!A54</f>
        <v>5483</v>
      </c>
      <c r="B58" s="321" t="str">
        <f>'A) Base RI'!B54</f>
        <v>Ferreyres</v>
      </c>
      <c r="C58" s="10">
        <f>'A) Base RI'!AN54</f>
        <v>322</v>
      </c>
      <c r="D58" s="15">
        <f>'C) Prél. conj.'!H52</f>
        <v>13100.484999999999</v>
      </c>
      <c r="E58" s="10">
        <f>'D) Ecrêtage'!L52</f>
        <v>0</v>
      </c>
      <c r="F58" s="15">
        <f>$F$10*'D) Ecrêtage'!M52</f>
        <v>184764.6726669588</v>
      </c>
      <c r="G58" s="59">
        <f t="shared" si="0"/>
        <v>197865.15766695878</v>
      </c>
    </row>
    <row r="59" spans="1:7" x14ac:dyDescent="0.25">
      <c r="A59" s="51">
        <f>'A) Base RI'!A55</f>
        <v>5484</v>
      </c>
      <c r="B59" s="321" t="str">
        <f>'A) Base RI'!B55</f>
        <v>Gollion</v>
      </c>
      <c r="C59" s="10">
        <f>'A) Base RI'!AN55</f>
        <v>918</v>
      </c>
      <c r="D59" s="15">
        <f>'C) Prél. conj.'!H53</f>
        <v>175393.46500000003</v>
      </c>
      <c r="E59" s="10">
        <f>'D) Ecrêtage'!L53</f>
        <v>0</v>
      </c>
      <c r="F59" s="15">
        <f>$F$10*'D) Ecrêtage'!M53</f>
        <v>522069.93715374824</v>
      </c>
      <c r="G59" s="59">
        <f t="shared" si="0"/>
        <v>697463.40215374832</v>
      </c>
    </row>
    <row r="60" spans="1:7" x14ac:dyDescent="0.25">
      <c r="A60" s="51">
        <f>'A) Base RI'!A56</f>
        <v>5485</v>
      </c>
      <c r="B60" s="321" t="str">
        <f>'A) Base RI'!B56</f>
        <v>Grancy</v>
      </c>
      <c r="C60" s="10">
        <f>'A) Base RI'!AN56</f>
        <v>403</v>
      </c>
      <c r="D60" s="15">
        <f>'C) Prél. conj.'!H54</f>
        <v>44408.32</v>
      </c>
      <c r="E60" s="10">
        <f>'D) Ecrêtage'!L54</f>
        <v>0</v>
      </c>
      <c r="F60" s="15">
        <f>$F$10*'D) Ecrêtage'!M54</f>
        <v>268239.73628744751</v>
      </c>
      <c r="G60" s="59">
        <f t="shared" si="0"/>
        <v>312648.05628744751</v>
      </c>
    </row>
    <row r="61" spans="1:7" x14ac:dyDescent="0.25">
      <c r="A61" s="51">
        <f>'A) Base RI'!A57</f>
        <v>5486</v>
      </c>
      <c r="B61" s="321" t="str">
        <f>'A) Base RI'!B57</f>
        <v>L'Isle</v>
      </c>
      <c r="C61" s="10">
        <f>'A) Base RI'!AN57</f>
        <v>1005</v>
      </c>
      <c r="D61" s="15">
        <f>'C) Prél. conj.'!H55</f>
        <v>107453.15000000001</v>
      </c>
      <c r="E61" s="10">
        <f>'D) Ecrêtage'!L55</f>
        <v>0</v>
      </c>
      <c r="F61" s="15">
        <f>$F$10*'D) Ecrêtage'!M55</f>
        <v>393204.95288932422</v>
      </c>
      <c r="G61" s="59">
        <f t="shared" si="0"/>
        <v>500658.10288932425</v>
      </c>
    </row>
    <row r="62" spans="1:7" x14ac:dyDescent="0.25">
      <c r="A62" s="51">
        <f>'A) Base RI'!A58</f>
        <v>5487</v>
      </c>
      <c r="B62" s="321" t="str">
        <f>'A) Base RI'!B58</f>
        <v>Lussery-Villars</v>
      </c>
      <c r="C62" s="10">
        <f>'A) Base RI'!AN58</f>
        <v>459</v>
      </c>
      <c r="D62" s="15">
        <f>'C) Prél. conj.'!H56</f>
        <v>45164.505000000005</v>
      </c>
      <c r="E62" s="10">
        <f>'D) Ecrêtage'!L56</f>
        <v>0</v>
      </c>
      <c r="F62" s="15">
        <f>$F$10*'D) Ecrêtage'!M56</f>
        <v>215775.0621114411</v>
      </c>
      <c r="G62" s="59">
        <f t="shared" si="0"/>
        <v>260939.56711144111</v>
      </c>
    </row>
    <row r="63" spans="1:7" x14ac:dyDescent="0.25">
      <c r="A63" s="51">
        <f>'A) Base RI'!A59</f>
        <v>5488</v>
      </c>
      <c r="B63" s="321" t="str">
        <f>'A) Base RI'!B59</f>
        <v>Mauraz</v>
      </c>
      <c r="C63" s="10">
        <f>'A) Base RI'!AN59</f>
        <v>60</v>
      </c>
      <c r="D63" s="15">
        <f>'C) Prél. conj.'!H57</f>
        <v>0</v>
      </c>
      <c r="E63" s="10">
        <f>'D) Ecrêtage'!L57</f>
        <v>0</v>
      </c>
      <c r="F63" s="15">
        <f>$F$10*'D) Ecrêtage'!M57</f>
        <v>24548.8426655433</v>
      </c>
      <c r="G63" s="59">
        <f t="shared" si="0"/>
        <v>24548.8426655433</v>
      </c>
    </row>
    <row r="64" spans="1:7" x14ac:dyDescent="0.25">
      <c r="A64" s="51">
        <f>'A) Base RI'!A60</f>
        <v>5489</v>
      </c>
      <c r="B64" s="321" t="str">
        <f>'A) Base RI'!B60</f>
        <v>Mex</v>
      </c>
      <c r="C64" s="10">
        <f>'A) Base RI'!AN60</f>
        <v>718</v>
      </c>
      <c r="D64" s="15">
        <f>'C) Prél. conj.'!H58</f>
        <v>156848.5</v>
      </c>
      <c r="E64" s="10">
        <f>'D) Ecrêtage'!L58</f>
        <v>430809.64751872706</v>
      </c>
      <c r="F64" s="15">
        <f>$F$10*'D) Ecrêtage'!M58</f>
        <v>792921.21382375679</v>
      </c>
      <c r="G64" s="59">
        <f t="shared" si="0"/>
        <v>1380579.3613424839</v>
      </c>
    </row>
    <row r="65" spans="1:7" x14ac:dyDescent="0.25">
      <c r="A65" s="51">
        <f>'A) Base RI'!A61</f>
        <v>5490</v>
      </c>
      <c r="B65" s="321" t="str">
        <f>'A) Base RI'!B61</f>
        <v>Moiry</v>
      </c>
      <c r="C65" s="10">
        <f>'A) Base RI'!AN61</f>
        <v>316</v>
      </c>
      <c r="D65" s="15">
        <f>'C) Prél. conj.'!H59</f>
        <v>6601.375</v>
      </c>
      <c r="E65" s="10">
        <f>'D) Ecrêtage'!L59</f>
        <v>0</v>
      </c>
      <c r="F65" s="15">
        <f>$F$10*'D) Ecrêtage'!M59</f>
        <v>122594.61871135344</v>
      </c>
      <c r="G65" s="59">
        <f t="shared" si="0"/>
        <v>129195.99371135344</v>
      </c>
    </row>
    <row r="66" spans="1:7" x14ac:dyDescent="0.25">
      <c r="A66" s="51">
        <f>'A) Base RI'!A62</f>
        <v>5491</v>
      </c>
      <c r="B66" s="321" t="str">
        <f>'A) Base RI'!B62</f>
        <v>Mont-la-Ville</v>
      </c>
      <c r="C66" s="10">
        <f>'A) Base RI'!AN62</f>
        <v>417</v>
      </c>
      <c r="D66" s="15">
        <f>'C) Prél. conj.'!H60</f>
        <v>23721.454999999998</v>
      </c>
      <c r="E66" s="10">
        <f>'D) Ecrêtage'!L60</f>
        <v>0</v>
      </c>
      <c r="F66" s="15">
        <f>$F$10*'D) Ecrêtage'!M60</f>
        <v>158236.95353453301</v>
      </c>
      <c r="G66" s="59">
        <f t="shared" si="0"/>
        <v>181958.40853453299</v>
      </c>
    </row>
    <row r="67" spans="1:7" x14ac:dyDescent="0.25">
      <c r="A67" s="51">
        <f>'A) Base RI'!A63</f>
        <v>5492</v>
      </c>
      <c r="B67" s="321" t="str">
        <f>'A) Base RI'!B63</f>
        <v>Montricher</v>
      </c>
      <c r="C67" s="10">
        <f>'A) Base RI'!AN63</f>
        <v>986</v>
      </c>
      <c r="D67" s="15">
        <f>'C) Prél. conj.'!H61</f>
        <v>81628.19</v>
      </c>
      <c r="E67" s="10">
        <f>'D) Ecrêtage'!L61</f>
        <v>6288290.5171209332</v>
      </c>
      <c r="F67" s="15">
        <f>$F$10*'D) Ecrêtage'!M61</f>
        <v>2399726.9868781138</v>
      </c>
      <c r="G67" s="59">
        <f t="shared" si="0"/>
        <v>8769645.6939990465</v>
      </c>
    </row>
    <row r="68" spans="1:7" x14ac:dyDescent="0.25">
      <c r="A68" s="51">
        <f>'A) Base RI'!A64</f>
        <v>5493</v>
      </c>
      <c r="B68" s="321" t="str">
        <f>'A) Base RI'!B64</f>
        <v>Orny</v>
      </c>
      <c r="C68" s="10">
        <f>'A) Base RI'!AN64</f>
        <v>356</v>
      </c>
      <c r="D68" s="15">
        <f>'C) Prél. conj.'!H62</f>
        <v>55440.104999999996</v>
      </c>
      <c r="E68" s="10">
        <f>'D) Ecrêtage'!L62</f>
        <v>0</v>
      </c>
      <c r="F68" s="15">
        <f>$F$10*'D) Ecrêtage'!M62</f>
        <v>148701.21235366754</v>
      </c>
      <c r="G68" s="59">
        <f t="shared" si="0"/>
        <v>204141.31735366752</v>
      </c>
    </row>
    <row r="69" spans="1:7" x14ac:dyDescent="0.25">
      <c r="A69" s="51">
        <f>'A) Base RI'!A65</f>
        <v>5494</v>
      </c>
      <c r="B69" s="321" t="str">
        <f>'A) Base RI'!B65</f>
        <v>Pampigny</v>
      </c>
      <c r="C69" s="10">
        <f>'A) Base RI'!AN65</f>
        <v>1124</v>
      </c>
      <c r="D69" s="15">
        <f>'C) Prél. conj.'!H63</f>
        <v>29654.49</v>
      </c>
      <c r="E69" s="10">
        <f>'D) Ecrêtage'!L63</f>
        <v>0</v>
      </c>
      <c r="F69" s="15">
        <f>$F$10*'D) Ecrêtage'!M63</f>
        <v>558576.98171167308</v>
      </c>
      <c r="G69" s="59">
        <f t="shared" si="0"/>
        <v>588231.47171167308</v>
      </c>
    </row>
    <row r="70" spans="1:7" x14ac:dyDescent="0.25">
      <c r="A70" s="51">
        <f>'A) Base RI'!A66</f>
        <v>5495</v>
      </c>
      <c r="B70" s="321" t="str">
        <f>'A) Base RI'!B66</f>
        <v>Penthalaz</v>
      </c>
      <c r="C70" s="10">
        <f>'A) Base RI'!AN66</f>
        <v>3282</v>
      </c>
      <c r="D70" s="15">
        <f>'C) Prél. conj.'!H64</f>
        <v>379427.91499999998</v>
      </c>
      <c r="E70" s="10">
        <f>'D) Ecrêtage'!L64</f>
        <v>0</v>
      </c>
      <c r="F70" s="15">
        <f>$F$10*'D) Ecrêtage'!M64</f>
        <v>1404352.9627724958</v>
      </c>
      <c r="G70" s="59">
        <f t="shared" si="0"/>
        <v>1783780.8777724958</v>
      </c>
    </row>
    <row r="71" spans="1:7" x14ac:dyDescent="0.25">
      <c r="A71" s="51">
        <f>'A) Base RI'!A67</f>
        <v>5496</v>
      </c>
      <c r="B71" s="321" t="str">
        <f>'A) Base RI'!B67</f>
        <v>Penthaz</v>
      </c>
      <c r="C71" s="10">
        <f>'A) Base RI'!AN67</f>
        <v>1726</v>
      </c>
      <c r="D71" s="15">
        <f>'C) Prél. conj.'!H65</f>
        <v>145259.55499999999</v>
      </c>
      <c r="E71" s="10">
        <f>'D) Ecrêtage'!L65</f>
        <v>0</v>
      </c>
      <c r="F71" s="15">
        <f>$F$10*'D) Ecrêtage'!M65</f>
        <v>831301.93611461297</v>
      </c>
      <c r="G71" s="59">
        <f t="shared" si="0"/>
        <v>976561.4911146129</v>
      </c>
    </row>
    <row r="72" spans="1:7" x14ac:dyDescent="0.25">
      <c r="A72" s="51">
        <f>'A) Base RI'!A68</f>
        <v>5497</v>
      </c>
      <c r="B72" s="321" t="str">
        <f>'A) Base RI'!B68</f>
        <v>Pompaples</v>
      </c>
      <c r="C72" s="10">
        <f>'A) Base RI'!AN68</f>
        <v>854</v>
      </c>
      <c r="D72" s="15">
        <f>'C) Prél. conj.'!H66</f>
        <v>251676.08000000002</v>
      </c>
      <c r="E72" s="10">
        <f>'D) Ecrêtage'!L66</f>
        <v>0</v>
      </c>
      <c r="F72" s="15">
        <f>$F$10*'D) Ecrêtage'!M66</f>
        <v>326672.36832383164</v>
      </c>
      <c r="G72" s="59">
        <f t="shared" si="0"/>
        <v>578348.44832383166</v>
      </c>
    </row>
    <row r="73" spans="1:7" x14ac:dyDescent="0.25">
      <c r="A73" s="51">
        <f>'A) Base RI'!A69</f>
        <v>5498</v>
      </c>
      <c r="B73" s="321" t="str">
        <f>'A) Base RI'!B69</f>
        <v>La Sarraz</v>
      </c>
      <c r="C73" s="10">
        <f>'A) Base RI'!AN69</f>
        <v>2609</v>
      </c>
      <c r="D73" s="15">
        <f>'C) Prél. conj.'!H67</f>
        <v>431501.66500000004</v>
      </c>
      <c r="E73" s="10">
        <f>'D) Ecrêtage'!L67</f>
        <v>0</v>
      </c>
      <c r="F73" s="15">
        <f>$F$10*'D) Ecrêtage'!M67</f>
        <v>1079090.3376750275</v>
      </c>
      <c r="G73" s="59">
        <f t="shared" si="0"/>
        <v>1510592.0026750276</v>
      </c>
    </row>
    <row r="74" spans="1:7" x14ac:dyDescent="0.25">
      <c r="A74" s="51">
        <f>'A) Base RI'!A70</f>
        <v>5499</v>
      </c>
      <c r="B74" s="321" t="str">
        <f>'A) Base RI'!B70</f>
        <v>Senarclens</v>
      </c>
      <c r="C74" s="10">
        <f>'A) Base RI'!AN70</f>
        <v>505</v>
      </c>
      <c r="D74" s="15">
        <f>'C) Prél. conj.'!H68</f>
        <v>177443.16499999998</v>
      </c>
      <c r="E74" s="10">
        <f>'D) Ecrêtage'!L68</f>
        <v>0</v>
      </c>
      <c r="F74" s="15">
        <f>$F$10*'D) Ecrêtage'!M68</f>
        <v>304021.25873190939</v>
      </c>
      <c r="G74" s="59">
        <f t="shared" si="0"/>
        <v>481464.42373190937</v>
      </c>
    </row>
    <row r="75" spans="1:7" x14ac:dyDescent="0.25">
      <c r="A75" s="51">
        <f>'A) Base RI'!A71</f>
        <v>5500</v>
      </c>
      <c r="B75" s="321" t="str">
        <f>'A) Base RI'!B71</f>
        <v>Sévery</v>
      </c>
      <c r="C75" s="10">
        <f>'A) Base RI'!AN71</f>
        <v>233</v>
      </c>
      <c r="D75" s="15">
        <f>'C) Prél. conj.'!H69</f>
        <v>16411.044999999998</v>
      </c>
      <c r="E75" s="10">
        <f>'D) Ecrêtage'!L69</f>
        <v>0</v>
      </c>
      <c r="F75" s="15">
        <f>$F$10*'D) Ecrêtage'!M69</f>
        <v>134430.12083453202</v>
      </c>
      <c r="G75" s="59">
        <f t="shared" si="0"/>
        <v>150841.165834532</v>
      </c>
    </row>
    <row r="76" spans="1:7" x14ac:dyDescent="0.25">
      <c r="A76" s="51">
        <f>'A) Base RI'!A72</f>
        <v>5501</v>
      </c>
      <c r="B76" s="321" t="str">
        <f>'A) Base RI'!B72</f>
        <v>Sullens</v>
      </c>
      <c r="C76" s="10">
        <f>'A) Base RI'!AN72</f>
        <v>1005</v>
      </c>
      <c r="D76" s="15">
        <f>'C) Prél. conj.'!H70</f>
        <v>90490.714999999997</v>
      </c>
      <c r="E76" s="10">
        <f>'D) Ecrêtage'!L70</f>
        <v>0</v>
      </c>
      <c r="F76" s="15">
        <f>$F$10*'D) Ecrêtage'!M70</f>
        <v>518186.50067754637</v>
      </c>
      <c r="G76" s="59">
        <f t="shared" ref="G76:G139" si="1">D76+F76+E76</f>
        <v>608677.21567754634</v>
      </c>
    </row>
    <row r="77" spans="1:7" x14ac:dyDescent="0.25">
      <c r="A77" s="51">
        <f>'A) Base RI'!A73</f>
        <v>5503</v>
      </c>
      <c r="B77" s="321" t="str">
        <f>'A) Base RI'!B73</f>
        <v>Vufflens-la-Ville</v>
      </c>
      <c r="C77" s="10">
        <f>'A) Base RI'!AN73</f>
        <v>1284</v>
      </c>
      <c r="D77" s="15">
        <f>'C) Prél. conj.'!H71</f>
        <v>142576.85500000001</v>
      </c>
      <c r="E77" s="10">
        <f>'D) Ecrêtage'!L71</f>
        <v>0</v>
      </c>
      <c r="F77" s="15">
        <f>$F$10*'D) Ecrêtage'!M71</f>
        <v>1043382.7967711341</v>
      </c>
      <c r="G77" s="59">
        <f t="shared" si="1"/>
        <v>1185959.6517711342</v>
      </c>
    </row>
    <row r="78" spans="1:7" x14ac:dyDescent="0.25">
      <c r="A78" s="51">
        <f>'A) Base RI'!A74</f>
        <v>5511</v>
      </c>
      <c r="B78" s="321" t="str">
        <f>'A) Base RI'!B74</f>
        <v>Assens</v>
      </c>
      <c r="C78" s="10">
        <f>'A) Base RI'!AN74</f>
        <v>1070</v>
      </c>
      <c r="D78" s="15">
        <f>'C) Prél. conj.'!H72</f>
        <v>44396.895000000004</v>
      </c>
      <c r="E78" s="10">
        <f>'D) Ecrêtage'!L72</f>
        <v>0</v>
      </c>
      <c r="F78" s="15">
        <f>$F$10*'D) Ecrêtage'!M72</f>
        <v>744260.93054248998</v>
      </c>
      <c r="G78" s="59">
        <f t="shared" si="1"/>
        <v>788657.82554249</v>
      </c>
    </row>
    <row r="79" spans="1:7" x14ac:dyDescent="0.25">
      <c r="A79" s="51">
        <f>'A) Base RI'!A75</f>
        <v>5512</v>
      </c>
      <c r="B79" s="321" t="str">
        <f>'A) Base RI'!B75</f>
        <v>Bercher</v>
      </c>
      <c r="C79" s="10">
        <f>'A) Base RI'!AN75</f>
        <v>1221</v>
      </c>
      <c r="D79" s="15">
        <f>'C) Prél. conj.'!H73</f>
        <v>119872.855</v>
      </c>
      <c r="E79" s="10">
        <f>'D) Ecrêtage'!L73</f>
        <v>0</v>
      </c>
      <c r="F79" s="15">
        <f>$F$10*'D) Ecrêtage'!M73</f>
        <v>575020.95868238376</v>
      </c>
      <c r="G79" s="59">
        <f t="shared" si="1"/>
        <v>694893.81368238374</v>
      </c>
    </row>
    <row r="80" spans="1:7" x14ac:dyDescent="0.25">
      <c r="A80" s="51">
        <f>'A) Base RI'!A76</f>
        <v>5513</v>
      </c>
      <c r="B80" s="321" t="str">
        <f>'A) Base RI'!B76</f>
        <v>Bioley-Orjulaz</v>
      </c>
      <c r="C80" s="10">
        <f>'A) Base RI'!AN76</f>
        <v>499</v>
      </c>
      <c r="D80" s="15">
        <f>'C) Prél. conj.'!H74</f>
        <v>213722.13999999998</v>
      </c>
      <c r="E80" s="10">
        <f>'D) Ecrêtage'!L74</f>
        <v>0</v>
      </c>
      <c r="F80" s="15">
        <f>$F$10*'D) Ecrêtage'!M74</f>
        <v>349269.06597539427</v>
      </c>
      <c r="G80" s="59">
        <f t="shared" si="1"/>
        <v>562991.20597539423</v>
      </c>
    </row>
    <row r="81" spans="1:7" x14ac:dyDescent="0.25">
      <c r="A81" s="51">
        <f>'A) Base RI'!A77</f>
        <v>5514</v>
      </c>
      <c r="B81" s="321" t="str">
        <f>'A) Base RI'!B77</f>
        <v>Bottens</v>
      </c>
      <c r="C81" s="10">
        <f>'A) Base RI'!AN77</f>
        <v>1263</v>
      </c>
      <c r="D81" s="15">
        <f>'C) Prél. conj.'!H75</f>
        <v>62290.954999999994</v>
      </c>
      <c r="E81" s="10">
        <f>'D) Ecrêtage'!L75</f>
        <v>0</v>
      </c>
      <c r="F81" s="15">
        <f>$F$10*'D) Ecrêtage'!M75</f>
        <v>616398.02832242905</v>
      </c>
      <c r="G81" s="59">
        <f t="shared" si="1"/>
        <v>678688.98332242901</v>
      </c>
    </row>
    <row r="82" spans="1:7" x14ac:dyDescent="0.25">
      <c r="A82" s="51">
        <f>'A) Base RI'!A78</f>
        <v>5515</v>
      </c>
      <c r="B82" s="321" t="str">
        <f>'A) Base RI'!B78</f>
        <v>Bretigny-sur-Morrens</v>
      </c>
      <c r="C82" s="10">
        <f>'A) Base RI'!AN78</f>
        <v>825</v>
      </c>
      <c r="D82" s="15">
        <f>'C) Prél. conj.'!H76</f>
        <v>55714.125</v>
      </c>
      <c r="E82" s="10">
        <f>'D) Ecrêtage'!L76</f>
        <v>0</v>
      </c>
      <c r="F82" s="15">
        <f>$F$10*'D) Ecrêtage'!M76</f>
        <v>416536.94985512219</v>
      </c>
      <c r="G82" s="59">
        <f t="shared" si="1"/>
        <v>472251.07485512219</v>
      </c>
    </row>
    <row r="83" spans="1:7" x14ac:dyDescent="0.25">
      <c r="A83" s="51">
        <f>'A) Base RI'!A79</f>
        <v>5516</v>
      </c>
      <c r="B83" s="321" t="str">
        <f>'A) Base RI'!B79</f>
        <v>Cugy</v>
      </c>
      <c r="C83" s="10">
        <f>'A) Base RI'!AN79</f>
        <v>2744</v>
      </c>
      <c r="D83" s="15">
        <f>'C) Prél. conj.'!H77</f>
        <v>306119.81000000006</v>
      </c>
      <c r="E83" s="10">
        <f>'D) Ecrêtage'!L77</f>
        <v>0</v>
      </c>
      <c r="F83" s="15">
        <f>$F$10*'D) Ecrêtage'!M77</f>
        <v>1672745.7816155334</v>
      </c>
      <c r="G83" s="59">
        <f t="shared" si="1"/>
        <v>1978865.5916155335</v>
      </c>
    </row>
    <row r="84" spans="1:7" x14ac:dyDescent="0.25">
      <c r="A84" s="51">
        <f>'A) Base RI'!A80</f>
        <v>5518</v>
      </c>
      <c r="B84" s="321" t="str">
        <f>'A) Base RI'!B80</f>
        <v>Echallens</v>
      </c>
      <c r="C84" s="10">
        <f>'A) Base RI'!AN80</f>
        <v>5728</v>
      </c>
      <c r="D84" s="15">
        <f>'C) Prél. conj.'!H78</f>
        <v>318802.18000000005</v>
      </c>
      <c r="E84" s="10">
        <f>'D) Ecrêtage'!L78</f>
        <v>0</v>
      </c>
      <c r="F84" s="15">
        <f>$F$10*'D) Ecrêtage'!M78</f>
        <v>2907516.09390125</v>
      </c>
      <c r="G84" s="59">
        <f t="shared" si="1"/>
        <v>3226318.2739012502</v>
      </c>
    </row>
    <row r="85" spans="1:7" x14ac:dyDescent="0.25">
      <c r="A85" s="51">
        <f>'A) Base RI'!A81</f>
        <v>5520</v>
      </c>
      <c r="B85" s="321" t="str">
        <f>'A) Base RI'!B81</f>
        <v>Essertines-sur-Yverdon</v>
      </c>
      <c r="C85" s="10">
        <f>'A) Base RI'!AN81</f>
        <v>981</v>
      </c>
      <c r="D85" s="15">
        <f>'C) Prél. conj.'!H79</f>
        <v>101536.79</v>
      </c>
      <c r="E85" s="10">
        <f>'D) Ecrêtage'!L79</f>
        <v>0</v>
      </c>
      <c r="F85" s="15">
        <f>$F$10*'D) Ecrêtage'!M79</f>
        <v>480850.75916373573</v>
      </c>
      <c r="G85" s="59">
        <f t="shared" si="1"/>
        <v>582387.5491637357</v>
      </c>
    </row>
    <row r="86" spans="1:7" x14ac:dyDescent="0.25">
      <c r="A86" s="51">
        <f>'A) Base RI'!A82</f>
        <v>5521</v>
      </c>
      <c r="B86" s="321" t="str">
        <f>'A) Base RI'!B82</f>
        <v>Etagnières</v>
      </c>
      <c r="C86" s="10">
        <f>'A) Base RI'!AN82</f>
        <v>1119</v>
      </c>
      <c r="D86" s="15">
        <f>'C) Prél. conj.'!H80</f>
        <v>88929.62000000001</v>
      </c>
      <c r="E86" s="10">
        <f>'D) Ecrêtage'!L80</f>
        <v>0</v>
      </c>
      <c r="F86" s="15">
        <f>$F$10*'D) Ecrêtage'!M80</f>
        <v>627367.63097034371</v>
      </c>
      <c r="G86" s="59">
        <f t="shared" si="1"/>
        <v>716297.25097034371</v>
      </c>
    </row>
    <row r="87" spans="1:7" x14ac:dyDescent="0.25">
      <c r="A87" s="51">
        <f>'A) Base RI'!A83</f>
        <v>5522</v>
      </c>
      <c r="B87" s="321" t="str">
        <f>'A) Base RI'!B83</f>
        <v>Fey</v>
      </c>
      <c r="C87" s="10">
        <f>'A) Base RI'!AN83</f>
        <v>703</v>
      </c>
      <c r="D87" s="15">
        <f>'C) Prél. conj.'!H81</f>
        <v>68943.31</v>
      </c>
      <c r="E87" s="10">
        <f>'D) Ecrêtage'!L81</f>
        <v>0</v>
      </c>
      <c r="F87" s="15">
        <f>$F$10*'D) Ecrêtage'!M81</f>
        <v>308127.34297971404</v>
      </c>
      <c r="G87" s="59">
        <f t="shared" si="1"/>
        <v>377070.65297971404</v>
      </c>
    </row>
    <row r="88" spans="1:7" x14ac:dyDescent="0.25">
      <c r="A88" s="51">
        <f>'A) Base RI'!A84</f>
        <v>5523</v>
      </c>
      <c r="B88" s="321" t="str">
        <f>'A) Base RI'!B84</f>
        <v>Froideville</v>
      </c>
      <c r="C88" s="10">
        <f>'A) Base RI'!AN84</f>
        <v>2561</v>
      </c>
      <c r="D88" s="15">
        <f>'C) Prél. conj.'!H82</f>
        <v>144422.67000000001</v>
      </c>
      <c r="E88" s="10">
        <f>'D) Ecrêtage'!L82</f>
        <v>0</v>
      </c>
      <c r="F88" s="15">
        <f>$F$10*'D) Ecrêtage'!M82</f>
        <v>1259092.6708985826</v>
      </c>
      <c r="G88" s="59">
        <f t="shared" si="1"/>
        <v>1403515.3408985825</v>
      </c>
    </row>
    <row r="89" spans="1:7" x14ac:dyDescent="0.25">
      <c r="A89" s="51">
        <f>'A) Base RI'!A85</f>
        <v>5527</v>
      </c>
      <c r="B89" s="321" t="str">
        <f>'A) Base RI'!B85</f>
        <v>Morrens</v>
      </c>
      <c r="C89" s="10">
        <f>'A) Base RI'!AN85</f>
        <v>1092</v>
      </c>
      <c r="D89" s="15">
        <f>'C) Prél. conj.'!H83</f>
        <v>81751.23000000001</v>
      </c>
      <c r="E89" s="10">
        <f>'D) Ecrêtage'!L83</f>
        <v>0</v>
      </c>
      <c r="F89" s="15">
        <f>$F$10*'D) Ecrêtage'!M83</f>
        <v>596804.00087790331</v>
      </c>
      <c r="G89" s="59">
        <f t="shared" si="1"/>
        <v>678555.23087790329</v>
      </c>
    </row>
    <row r="90" spans="1:7" x14ac:dyDescent="0.25">
      <c r="A90" s="51">
        <f>'A) Base RI'!A86</f>
        <v>5529</v>
      </c>
      <c r="B90" s="321" t="str">
        <f>'A) Base RI'!B86</f>
        <v>Oulens-sous-Echallens</v>
      </c>
      <c r="C90" s="10">
        <f>'A) Base RI'!AN86</f>
        <v>577</v>
      </c>
      <c r="D90" s="15">
        <f>'C) Prél. conj.'!H84</f>
        <v>52841.350000000006</v>
      </c>
      <c r="E90" s="10">
        <f>'D) Ecrêtage'!L84</f>
        <v>0</v>
      </c>
      <c r="F90" s="15">
        <f>$F$10*'D) Ecrêtage'!M84</f>
        <v>303321.8598730393</v>
      </c>
      <c r="G90" s="59">
        <f t="shared" si="1"/>
        <v>356163.20987303928</v>
      </c>
    </row>
    <row r="91" spans="1:7" x14ac:dyDescent="0.25">
      <c r="A91" s="51">
        <f>'A) Base RI'!A87</f>
        <v>5530</v>
      </c>
      <c r="B91" s="321" t="str">
        <f>'A) Base RI'!B87</f>
        <v>Pailly</v>
      </c>
      <c r="C91" s="10">
        <f>'A) Base RI'!AN87</f>
        <v>543</v>
      </c>
      <c r="D91" s="15">
        <f>'C) Prél. conj.'!H85</f>
        <v>51085.574999999997</v>
      </c>
      <c r="E91" s="10">
        <f>'D) Ecrêtage'!L85</f>
        <v>0</v>
      </c>
      <c r="F91" s="15">
        <f>$F$10*'D) Ecrêtage'!M85</f>
        <v>256107.8887114544</v>
      </c>
      <c r="G91" s="59">
        <f t="shared" si="1"/>
        <v>307193.46371145442</v>
      </c>
    </row>
    <row r="92" spans="1:7" x14ac:dyDescent="0.25">
      <c r="A92" s="51">
        <f>'A) Base RI'!A88</f>
        <v>5531</v>
      </c>
      <c r="B92" s="321" t="str">
        <f>'A) Base RI'!B88</f>
        <v>Penthéréaz</v>
      </c>
      <c r="C92" s="10">
        <f>'A) Base RI'!AN88</f>
        <v>418</v>
      </c>
      <c r="D92" s="15">
        <f>'C) Prél. conj.'!H86</f>
        <v>28803.79</v>
      </c>
      <c r="E92" s="10">
        <f>'D) Ecrêtage'!L86</f>
        <v>0</v>
      </c>
      <c r="F92" s="15">
        <f>$F$10*'D) Ecrêtage'!M86</f>
        <v>197220.65155883311</v>
      </c>
      <c r="G92" s="59">
        <f t="shared" si="1"/>
        <v>226024.44155883312</v>
      </c>
    </row>
    <row r="93" spans="1:7" x14ac:dyDescent="0.25">
      <c r="A93" s="51">
        <f>'A) Base RI'!A89</f>
        <v>5533</v>
      </c>
      <c r="B93" s="321" t="str">
        <f>'A) Base RI'!B89</f>
        <v>Poliez-Pittet</v>
      </c>
      <c r="C93" s="10">
        <f>'A) Base RI'!AN89</f>
        <v>849</v>
      </c>
      <c r="D93" s="15">
        <f>'C) Prél. conj.'!H87</f>
        <v>18748.120000000003</v>
      </c>
      <c r="E93" s="10">
        <f>'D) Ecrêtage'!L87</f>
        <v>0</v>
      </c>
      <c r="F93" s="15">
        <f>$F$10*'D) Ecrêtage'!M87</f>
        <v>421068.55250330898</v>
      </c>
      <c r="G93" s="59">
        <f t="shared" si="1"/>
        <v>439816.67250330898</v>
      </c>
    </row>
    <row r="94" spans="1:7" x14ac:dyDescent="0.25">
      <c r="A94" s="51">
        <f>'A) Base RI'!A90</f>
        <v>5534</v>
      </c>
      <c r="B94" s="321" t="str">
        <f>'A) Base RI'!B90</f>
        <v>Rueyres</v>
      </c>
      <c r="C94" s="10">
        <f>'A) Base RI'!AN90</f>
        <v>257</v>
      </c>
      <c r="D94" s="15">
        <f>'C) Prél. conj.'!H88</f>
        <v>11559.824999999999</v>
      </c>
      <c r="E94" s="10">
        <f>'D) Ecrêtage'!L88</f>
        <v>0</v>
      </c>
      <c r="F94" s="15">
        <f>$F$10*'D) Ecrêtage'!M88</f>
        <v>145978.35828898437</v>
      </c>
      <c r="G94" s="59">
        <f t="shared" si="1"/>
        <v>157538.18328898438</v>
      </c>
    </row>
    <row r="95" spans="1:7" x14ac:dyDescent="0.25">
      <c r="A95" s="51">
        <f>'A) Base RI'!A91</f>
        <v>5535</v>
      </c>
      <c r="B95" s="321" t="str">
        <f>'A) Base RI'!B91</f>
        <v>Saint-Barthélemy</v>
      </c>
      <c r="C95" s="10">
        <f>'A) Base RI'!AN91</f>
        <v>769</v>
      </c>
      <c r="D95" s="15">
        <f>'C) Prél. conj.'!H89</f>
        <v>26262.370000000003</v>
      </c>
      <c r="E95" s="10">
        <f>'D) Ecrêtage'!L89</f>
        <v>0</v>
      </c>
      <c r="F95" s="15">
        <f>$F$10*'D) Ecrêtage'!M89</f>
        <v>350065.49777032173</v>
      </c>
      <c r="G95" s="59">
        <f t="shared" si="1"/>
        <v>376327.86777032173</v>
      </c>
    </row>
    <row r="96" spans="1:7" x14ac:dyDescent="0.25">
      <c r="A96" s="51">
        <f>'A) Base RI'!A92</f>
        <v>5537</v>
      </c>
      <c r="B96" s="321" t="str">
        <f>'A) Base RI'!B92</f>
        <v>Villars-le-Terroir</v>
      </c>
      <c r="C96" s="10">
        <f>'A) Base RI'!AN92</f>
        <v>1150</v>
      </c>
      <c r="D96" s="15">
        <f>'C) Prél. conj.'!H90</f>
        <v>72601.065000000002</v>
      </c>
      <c r="E96" s="10">
        <f>'D) Ecrêtage'!L90</f>
        <v>0</v>
      </c>
      <c r="F96" s="15">
        <f>$F$10*'D) Ecrêtage'!M90</f>
        <v>507194.21096107946</v>
      </c>
      <c r="G96" s="59">
        <f t="shared" si="1"/>
        <v>579795.2759610794</v>
      </c>
    </row>
    <row r="97" spans="1:7" x14ac:dyDescent="0.25">
      <c r="A97" s="51">
        <f>'A) Base RI'!A93</f>
        <v>5539</v>
      </c>
      <c r="B97" s="321" t="str">
        <f>'A) Base RI'!B93</f>
        <v>Vuarrens</v>
      </c>
      <c r="C97" s="10">
        <f>'A) Base RI'!AN93</f>
        <v>1003</v>
      </c>
      <c r="D97" s="15">
        <f>'C) Prél. conj.'!H91</f>
        <v>47760.654999999999</v>
      </c>
      <c r="E97" s="10">
        <f>'D) Ecrêtage'!L91</f>
        <v>0</v>
      </c>
      <c r="F97" s="15">
        <f>$F$10*'D) Ecrêtage'!M91</f>
        <v>404838.60903095675</v>
      </c>
      <c r="G97" s="59">
        <f t="shared" si="1"/>
        <v>452599.26403095678</v>
      </c>
    </row>
    <row r="98" spans="1:7" x14ac:dyDescent="0.25">
      <c r="A98" s="51">
        <f>'A) Base RI'!A94</f>
        <v>5540</v>
      </c>
      <c r="B98" s="321" t="str">
        <f>'A) Base RI'!B94</f>
        <v>Montilliez</v>
      </c>
      <c r="C98" s="10">
        <f>'A) Base RI'!AN94</f>
        <v>1731</v>
      </c>
      <c r="D98" s="15">
        <f>'C) Prél. conj.'!H92</f>
        <v>105571.76500000001</v>
      </c>
      <c r="E98" s="10">
        <f>'D) Ecrêtage'!L92</f>
        <v>0</v>
      </c>
      <c r="F98" s="15">
        <f>$F$10*'D) Ecrêtage'!M92</f>
        <v>863883.11254498851</v>
      </c>
      <c r="G98" s="59">
        <f t="shared" si="1"/>
        <v>969454.87754498853</v>
      </c>
    </row>
    <row r="99" spans="1:7" x14ac:dyDescent="0.25">
      <c r="A99" s="51">
        <f>'A) Base RI'!A95</f>
        <v>5541</v>
      </c>
      <c r="B99" s="321" t="str">
        <f>'A) Base RI'!B95</f>
        <v>Goumoëns</v>
      </c>
      <c r="C99" s="10">
        <f>'A) Base RI'!AN95</f>
        <v>1110</v>
      </c>
      <c r="D99" s="15">
        <f>'C) Prél. conj.'!H93</f>
        <v>72099.475000000006</v>
      </c>
      <c r="E99" s="10">
        <f>'D) Ecrêtage'!L93</f>
        <v>0</v>
      </c>
      <c r="F99" s="15">
        <f>$F$10*'D) Ecrêtage'!M93</f>
        <v>585098.43101452629</v>
      </c>
      <c r="G99" s="59">
        <f t="shared" si="1"/>
        <v>657197.90601452626</v>
      </c>
    </row>
    <row r="100" spans="1:7" x14ac:dyDescent="0.25">
      <c r="A100" s="51">
        <f>'A) Base RI'!A96</f>
        <v>5551</v>
      </c>
      <c r="B100" s="321" t="str">
        <f>'A) Base RI'!B96</f>
        <v>Bonvillars</v>
      </c>
      <c r="C100" s="10">
        <f>'A) Base RI'!AN96</f>
        <v>495</v>
      </c>
      <c r="D100" s="15">
        <f>'C) Prél. conj.'!H94</f>
        <v>61100.754999999997</v>
      </c>
      <c r="E100" s="10">
        <f>'D) Ecrêtage'!L94</f>
        <v>0</v>
      </c>
      <c r="F100" s="15">
        <f>$F$10*'D) Ecrêtage'!M94</f>
        <v>284082.08962516399</v>
      </c>
      <c r="G100" s="59">
        <f t="shared" si="1"/>
        <v>345182.844625164</v>
      </c>
    </row>
    <row r="101" spans="1:7" x14ac:dyDescent="0.25">
      <c r="A101" s="51">
        <f>'A) Base RI'!A97</f>
        <v>5552</v>
      </c>
      <c r="B101" s="321" t="str">
        <f>'A) Base RI'!B97</f>
        <v>Bullet</v>
      </c>
      <c r="C101" s="10">
        <f>'A) Base RI'!AN97</f>
        <v>644</v>
      </c>
      <c r="D101" s="15">
        <f>'C) Prél. conj.'!H95</f>
        <v>59174.979999999989</v>
      </c>
      <c r="E101" s="10">
        <f>'D) Ecrêtage'!L95</f>
        <v>0</v>
      </c>
      <c r="F101" s="15">
        <f>$F$10*'D) Ecrêtage'!M95</f>
        <v>269690.75186990231</v>
      </c>
      <c r="G101" s="59">
        <f t="shared" si="1"/>
        <v>328865.73186990229</v>
      </c>
    </row>
    <row r="102" spans="1:7" x14ac:dyDescent="0.25">
      <c r="A102" s="51">
        <f>'A) Base RI'!A98</f>
        <v>5553</v>
      </c>
      <c r="B102" s="321" t="str">
        <f>'A) Base RI'!B98</f>
        <v>Champagne</v>
      </c>
      <c r="C102" s="10">
        <f>'A) Base RI'!AN98</f>
        <v>1027</v>
      </c>
      <c r="D102" s="15">
        <f>'C) Prél. conj.'!H96</f>
        <v>105785.22500000001</v>
      </c>
      <c r="E102" s="10">
        <f>'D) Ecrêtage'!L96</f>
        <v>0</v>
      </c>
      <c r="F102" s="15">
        <f>$F$10*'D) Ecrêtage'!M96</f>
        <v>518075.66933756997</v>
      </c>
      <c r="G102" s="59">
        <f t="shared" si="1"/>
        <v>623860.89433756995</v>
      </c>
    </row>
    <row r="103" spans="1:7" x14ac:dyDescent="0.25">
      <c r="A103" s="51">
        <f>'A) Base RI'!A99</f>
        <v>5554</v>
      </c>
      <c r="B103" s="321" t="str">
        <f>'A) Base RI'!B99</f>
        <v>Concise</v>
      </c>
      <c r="C103" s="10">
        <f>'A) Base RI'!AN99</f>
        <v>969</v>
      </c>
      <c r="D103" s="15">
        <f>'C) Prél. conj.'!H97</f>
        <v>59102.64</v>
      </c>
      <c r="E103" s="10">
        <f>'D) Ecrêtage'!L97</f>
        <v>0</v>
      </c>
      <c r="F103" s="15">
        <f>$F$10*'D) Ecrêtage'!M97</f>
        <v>476092.88005378429</v>
      </c>
      <c r="G103" s="59">
        <f t="shared" si="1"/>
        <v>535195.52005378425</v>
      </c>
    </row>
    <row r="104" spans="1:7" x14ac:dyDescent="0.25">
      <c r="A104" s="51">
        <f>'A) Base RI'!A100</f>
        <v>5555</v>
      </c>
      <c r="B104" s="321" t="str">
        <f>'A) Base RI'!B100</f>
        <v>Corcelles-près-Concise</v>
      </c>
      <c r="C104" s="10">
        <f>'A) Base RI'!AN100</f>
        <v>377</v>
      </c>
      <c r="D104" s="15">
        <f>'C) Prél. conj.'!H98</f>
        <v>61953.000000000007</v>
      </c>
      <c r="E104" s="10">
        <f>'D) Ecrêtage'!L98</f>
        <v>0</v>
      </c>
      <c r="F104" s="15">
        <f>$F$10*'D) Ecrêtage'!M98</f>
        <v>204919.25093054821</v>
      </c>
      <c r="G104" s="59">
        <f t="shared" si="1"/>
        <v>266872.25093054824</v>
      </c>
    </row>
    <row r="105" spans="1:7" x14ac:dyDescent="0.25">
      <c r="A105" s="51">
        <f>'A) Base RI'!A101</f>
        <v>5556</v>
      </c>
      <c r="B105" s="321" t="str">
        <f>'A) Base RI'!B101</f>
        <v>Fiez</v>
      </c>
      <c r="C105" s="10">
        <f>'A) Base RI'!AN101</f>
        <v>425</v>
      </c>
      <c r="D105" s="15">
        <f>'C) Prél. conj.'!H99</f>
        <v>237273.02499999999</v>
      </c>
      <c r="E105" s="10">
        <f>'D) Ecrêtage'!L99</f>
        <v>0</v>
      </c>
      <c r="F105" s="15">
        <f>$F$10*'D) Ecrêtage'!M99</f>
        <v>193882.03008866604</v>
      </c>
      <c r="G105" s="59">
        <f t="shared" si="1"/>
        <v>431155.05508866603</v>
      </c>
    </row>
    <row r="106" spans="1:7" x14ac:dyDescent="0.25">
      <c r="A106" s="51">
        <f>'A) Base RI'!A102</f>
        <v>5557</v>
      </c>
      <c r="B106" s="321" t="str">
        <f>'A) Base RI'!B102</f>
        <v>Fontaines-sur-Grandson</v>
      </c>
      <c r="C106" s="10">
        <f>'A) Base RI'!AN102</f>
        <v>210</v>
      </c>
      <c r="D106" s="15">
        <f>'C) Prél. conj.'!H100</f>
        <v>15313.699999999999</v>
      </c>
      <c r="E106" s="10">
        <f>'D) Ecrêtage'!L100</f>
        <v>0</v>
      </c>
      <c r="F106" s="15">
        <f>$F$10*'D) Ecrêtage'!M100</f>
        <v>67150.434986462002</v>
      </c>
      <c r="G106" s="59">
        <f t="shared" si="1"/>
        <v>82464.134986461999</v>
      </c>
    </row>
    <row r="107" spans="1:7" x14ac:dyDescent="0.25">
      <c r="A107" s="51">
        <f>'A) Base RI'!A103</f>
        <v>5559</v>
      </c>
      <c r="B107" s="321" t="str">
        <f>'A) Base RI'!B103</f>
        <v>Giez</v>
      </c>
      <c r="C107" s="10">
        <f>'A) Base RI'!AN103</f>
        <v>421</v>
      </c>
      <c r="D107" s="15">
        <f>'C) Prél. conj.'!H101</f>
        <v>34206.379999999997</v>
      </c>
      <c r="E107" s="10">
        <f>'D) Ecrêtage'!L101</f>
        <v>0</v>
      </c>
      <c r="F107" s="15">
        <f>$F$10*'D) Ecrêtage'!M101</f>
        <v>216080.21809736339</v>
      </c>
      <c r="G107" s="59">
        <f t="shared" si="1"/>
        <v>250286.5980973634</v>
      </c>
    </row>
    <row r="108" spans="1:7" x14ac:dyDescent="0.25">
      <c r="A108" s="51">
        <f>'A) Base RI'!A104</f>
        <v>5560</v>
      </c>
      <c r="B108" s="321" t="str">
        <f>'A) Base RI'!B104</f>
        <v>Grandevent</v>
      </c>
      <c r="C108" s="10">
        <f>'A) Base RI'!AN104</f>
        <v>229</v>
      </c>
      <c r="D108" s="15">
        <f>'C) Prél. conj.'!H102</f>
        <v>13683.525</v>
      </c>
      <c r="E108" s="10">
        <f>'D) Ecrêtage'!L102</f>
        <v>0</v>
      </c>
      <c r="F108" s="15">
        <f>$F$10*'D) Ecrêtage'!M102</f>
        <v>94118.173320365473</v>
      </c>
      <c r="G108" s="59">
        <f t="shared" si="1"/>
        <v>107801.69832036547</v>
      </c>
    </row>
    <row r="109" spans="1:7" x14ac:dyDescent="0.25">
      <c r="A109" s="51">
        <f>'A) Base RI'!A105</f>
        <v>5561</v>
      </c>
      <c r="B109" s="321" t="str">
        <f>'A) Base RI'!B105</f>
        <v>Grandson</v>
      </c>
      <c r="C109" s="10">
        <f>'A) Base RI'!AN105</f>
        <v>3284</v>
      </c>
      <c r="D109" s="15">
        <f>'C) Prél. conj.'!H103</f>
        <v>278434.28000000003</v>
      </c>
      <c r="E109" s="10">
        <f>'D) Ecrêtage'!L103</f>
        <v>0</v>
      </c>
      <c r="F109" s="15">
        <f>$F$10*'D) Ecrêtage'!M103</f>
        <v>1756039.6934213086</v>
      </c>
      <c r="G109" s="59">
        <f t="shared" si="1"/>
        <v>2034473.9734213087</v>
      </c>
    </row>
    <row r="110" spans="1:7" x14ac:dyDescent="0.25">
      <c r="A110" s="51">
        <f>'A) Base RI'!A106</f>
        <v>5562</v>
      </c>
      <c r="B110" s="321" t="str">
        <f>'A) Base RI'!B106</f>
        <v>Mauborget</v>
      </c>
      <c r="C110" s="10">
        <f>'A) Base RI'!AN106</f>
        <v>119</v>
      </c>
      <c r="D110" s="15">
        <f>'C) Prél. conj.'!H104</f>
        <v>6552.7250000000004</v>
      </c>
      <c r="E110" s="10">
        <f>'D) Ecrêtage'!L104</f>
        <v>0</v>
      </c>
      <c r="F110" s="15">
        <f>$F$10*'D) Ecrêtage'!M104</f>
        <v>88811.519029603674</v>
      </c>
      <c r="G110" s="59">
        <f t="shared" si="1"/>
        <v>95364.24402960368</v>
      </c>
    </row>
    <row r="111" spans="1:7" x14ac:dyDescent="0.25">
      <c r="A111" s="51">
        <f>'A) Base RI'!A107</f>
        <v>5563</v>
      </c>
      <c r="B111" s="321" t="str">
        <f>'A) Base RI'!B107</f>
        <v>Mutrux</v>
      </c>
      <c r="C111" s="10">
        <f>'A) Base RI'!AN107</f>
        <v>163</v>
      </c>
      <c r="D111" s="15">
        <f>'C) Prél. conj.'!H105</f>
        <v>6121.5</v>
      </c>
      <c r="E111" s="10">
        <f>'D) Ecrêtage'!L105</f>
        <v>0</v>
      </c>
      <c r="F111" s="15">
        <f>$F$10*'D) Ecrêtage'!M105</f>
        <v>46742.72400028861</v>
      </c>
      <c r="G111" s="59">
        <f t="shared" si="1"/>
        <v>52864.22400028861</v>
      </c>
    </row>
    <row r="112" spans="1:7" x14ac:dyDescent="0.25">
      <c r="A112" s="51">
        <f>'A) Base RI'!A108</f>
        <v>5564</v>
      </c>
      <c r="B112" s="321" t="str">
        <f>'A) Base RI'!B108</f>
        <v>Novalles</v>
      </c>
      <c r="C112" s="10">
        <f>'A) Base RI'!AN108</f>
        <v>101</v>
      </c>
      <c r="D112" s="15">
        <f>'C) Prél. conj.'!H106</f>
        <v>8426.1</v>
      </c>
      <c r="E112" s="10">
        <f>'D) Ecrêtage'!L106</f>
        <v>0</v>
      </c>
      <c r="F112" s="15">
        <f>$F$10*'D) Ecrêtage'!M106</f>
        <v>39441.701303394853</v>
      </c>
      <c r="G112" s="59">
        <f t="shared" si="1"/>
        <v>47867.801303394852</v>
      </c>
    </row>
    <row r="113" spans="1:7" x14ac:dyDescent="0.25">
      <c r="A113" s="51">
        <f>'A) Base RI'!A109</f>
        <v>5565</v>
      </c>
      <c r="B113" s="321" t="str">
        <f>'A) Base RI'!B109</f>
        <v>Onnens</v>
      </c>
      <c r="C113" s="10">
        <f>'A) Base RI'!AN109</f>
        <v>477</v>
      </c>
      <c r="D113" s="15">
        <f>'C) Prél. conj.'!H107</f>
        <v>49244.17</v>
      </c>
      <c r="E113" s="10">
        <f>'D) Ecrêtage'!L107</f>
        <v>0</v>
      </c>
      <c r="F113" s="15">
        <f>$F$10*'D) Ecrêtage'!M107</f>
        <v>285536.70190058684</v>
      </c>
      <c r="G113" s="59">
        <f t="shared" si="1"/>
        <v>334780.87190058682</v>
      </c>
    </row>
    <row r="114" spans="1:7" x14ac:dyDescent="0.25">
      <c r="A114" s="51">
        <f>'A) Base RI'!A110</f>
        <v>5566</v>
      </c>
      <c r="B114" s="321" t="str">
        <f>'A) Base RI'!B110</f>
        <v>Provence</v>
      </c>
      <c r="C114" s="10">
        <f>'A) Base RI'!AN110</f>
        <v>388</v>
      </c>
      <c r="D114" s="15">
        <f>'C) Prél. conj.'!H108</f>
        <v>19801.159999999996</v>
      </c>
      <c r="E114" s="10">
        <f>'D) Ecrêtage'!L108</f>
        <v>0</v>
      </c>
      <c r="F114" s="15">
        <f>$F$10*'D) Ecrêtage'!M108</f>
        <v>119289.35102466871</v>
      </c>
      <c r="G114" s="59">
        <f t="shared" si="1"/>
        <v>139090.5110246687</v>
      </c>
    </row>
    <row r="115" spans="1:7" x14ac:dyDescent="0.25">
      <c r="A115" s="51">
        <f>'A) Base RI'!A111</f>
        <v>5568</v>
      </c>
      <c r="B115" s="321" t="str">
        <f>'A) Base RI'!B111</f>
        <v>Sainte-Croix</v>
      </c>
      <c r="C115" s="10">
        <f>'A) Base RI'!AN111</f>
        <v>4919</v>
      </c>
      <c r="D115" s="15">
        <f>'C) Prél. conj.'!H109</f>
        <v>931471.03499999992</v>
      </c>
      <c r="E115" s="10">
        <f>'D) Ecrêtage'!L109</f>
        <v>0</v>
      </c>
      <c r="F115" s="15">
        <f>$F$10*'D) Ecrêtage'!M109</f>
        <v>1513365.2302007335</v>
      </c>
      <c r="G115" s="59">
        <f t="shared" si="1"/>
        <v>2444836.2652007332</v>
      </c>
    </row>
    <row r="116" spans="1:7" x14ac:dyDescent="0.25">
      <c r="A116" s="51">
        <f>'A) Base RI'!A112</f>
        <v>5571</v>
      </c>
      <c r="B116" s="321" t="str">
        <f>'A) Base RI'!B112</f>
        <v>Tévenon</v>
      </c>
      <c r="C116" s="10">
        <f>'A) Base RI'!AN112</f>
        <v>843</v>
      </c>
      <c r="D116" s="15">
        <f>'C) Prél. conj.'!H110</f>
        <v>60219.505000000005</v>
      </c>
      <c r="E116" s="10">
        <f>'D) Ecrêtage'!L110</f>
        <v>0</v>
      </c>
      <c r="F116" s="15">
        <f>$F$10*'D) Ecrêtage'!M110</f>
        <v>320659.32025507337</v>
      </c>
      <c r="G116" s="59">
        <f t="shared" si="1"/>
        <v>380878.82525507337</v>
      </c>
    </row>
    <row r="117" spans="1:7" x14ac:dyDescent="0.25">
      <c r="A117" s="51">
        <f>'A) Base RI'!A113</f>
        <v>5581</v>
      </c>
      <c r="B117" s="321" t="str">
        <f>'A) Base RI'!B113</f>
        <v>Belmont-sur-Lausanne</v>
      </c>
      <c r="C117" s="10">
        <f>'A) Base RI'!AN113</f>
        <v>3662</v>
      </c>
      <c r="D117" s="15">
        <f>'C) Prél. conj.'!H111</f>
        <v>504931.30000000005</v>
      </c>
      <c r="E117" s="10">
        <f>'D) Ecrêtage'!L111</f>
        <v>0</v>
      </c>
      <c r="F117" s="15">
        <f>$F$10*'D) Ecrêtage'!M111</f>
        <v>2894898.7660635938</v>
      </c>
      <c r="G117" s="59">
        <f t="shared" si="1"/>
        <v>3399830.0660635941</v>
      </c>
    </row>
    <row r="118" spans="1:7" x14ac:dyDescent="0.25">
      <c r="A118" s="51">
        <f>'A) Base RI'!A114</f>
        <v>5582</v>
      </c>
      <c r="B118" s="321" t="str">
        <f>'A) Base RI'!B114</f>
        <v>Cheseaux-sur-Lausanne</v>
      </c>
      <c r="C118" s="10">
        <f>'A) Base RI'!AN114</f>
        <v>4357</v>
      </c>
      <c r="D118" s="15">
        <f>'C) Prél. conj.'!H112</f>
        <v>220042.95499999999</v>
      </c>
      <c r="E118" s="10">
        <f>'D) Ecrêtage'!L112</f>
        <v>0</v>
      </c>
      <c r="F118" s="15">
        <f>$F$10*'D) Ecrêtage'!M112</f>
        <v>2719933.228133</v>
      </c>
      <c r="G118" s="59">
        <f t="shared" si="1"/>
        <v>2939976.183133</v>
      </c>
    </row>
    <row r="119" spans="1:7" x14ac:dyDescent="0.25">
      <c r="A119" s="51">
        <f>'A) Base RI'!A115</f>
        <v>5583</v>
      </c>
      <c r="B119" s="321" t="str">
        <f>'A) Base RI'!B115</f>
        <v>Crissier</v>
      </c>
      <c r="C119" s="10">
        <f>'A) Base RI'!AN115</f>
        <v>8008</v>
      </c>
      <c r="D119" s="15">
        <f>'C) Prél. conj.'!H113</f>
        <v>994570.40999999992</v>
      </c>
      <c r="E119" s="10">
        <f>'D) Ecrêtage'!L113</f>
        <v>0</v>
      </c>
      <c r="F119" s="15">
        <f>$F$10*'D) Ecrêtage'!M113</f>
        <v>4741770.5624764245</v>
      </c>
      <c r="G119" s="59">
        <f t="shared" si="1"/>
        <v>5736340.9724764246</v>
      </c>
    </row>
    <row r="120" spans="1:7" x14ac:dyDescent="0.25">
      <c r="A120" s="51">
        <f>'A) Base RI'!A116</f>
        <v>5584</v>
      </c>
      <c r="B120" s="321" t="str">
        <f>'A) Base RI'!B116</f>
        <v>Epalinges</v>
      </c>
      <c r="C120" s="10">
        <f>'A) Base RI'!AN116</f>
        <v>9335</v>
      </c>
      <c r="D120" s="15">
        <f>'C) Prél. conj.'!H114</f>
        <v>1457595.5749999997</v>
      </c>
      <c r="E120" s="10">
        <f>'D) Ecrêtage'!L114</f>
        <v>0</v>
      </c>
      <c r="F120" s="15">
        <f>$F$10*'D) Ecrêtage'!M114</f>
        <v>6372556.933232964</v>
      </c>
      <c r="G120" s="59">
        <f t="shared" si="1"/>
        <v>7830152.5082329642</v>
      </c>
    </row>
    <row r="121" spans="1:7" x14ac:dyDescent="0.25">
      <c r="A121" s="51">
        <f>'A) Base RI'!A117</f>
        <v>5585</v>
      </c>
      <c r="B121" s="321" t="str">
        <f>'A) Base RI'!B117</f>
        <v>Jouxtens-Mézery</v>
      </c>
      <c r="C121" s="10">
        <f>'A) Base RI'!AN117</f>
        <v>1469</v>
      </c>
      <c r="D121" s="15">
        <f>'C) Prél. conj.'!H115</f>
        <v>180548.69999999998</v>
      </c>
      <c r="E121" s="10">
        <f>'D) Ecrêtage'!L115</f>
        <v>2277405.1586852418</v>
      </c>
      <c r="F121" s="15">
        <f>$F$10*'D) Ecrêtage'!M115</f>
        <v>2158371.0871010874</v>
      </c>
      <c r="G121" s="59">
        <f t="shared" si="1"/>
        <v>4616324.945786329</v>
      </c>
    </row>
    <row r="122" spans="1:7" x14ac:dyDescent="0.25">
      <c r="A122" s="51">
        <f>'A) Base RI'!A118</f>
        <v>5586</v>
      </c>
      <c r="B122" s="321" t="str">
        <f>'A) Base RI'!B118</f>
        <v>Lausanne</v>
      </c>
      <c r="C122" s="10">
        <f>'A) Base RI'!AN118</f>
        <v>139624</v>
      </c>
      <c r="D122" s="15">
        <f>'C) Prél. conj.'!H116</f>
        <v>20204444.675000001</v>
      </c>
      <c r="E122" s="10">
        <f>'D) Ecrêtage'!L116</f>
        <v>0</v>
      </c>
      <c r="F122" s="15">
        <f>$F$10*'D) Ecrêtage'!M116</f>
        <v>93518973.407667592</v>
      </c>
      <c r="G122" s="59">
        <f t="shared" si="1"/>
        <v>113723418.08266759</v>
      </c>
    </row>
    <row r="123" spans="1:7" x14ac:dyDescent="0.25">
      <c r="A123" s="51">
        <f>'A) Base RI'!A119</f>
        <v>5587</v>
      </c>
      <c r="B123" s="321" t="str">
        <f>'A) Base RI'!B119</f>
        <v>Le Mont-sur-Lausanne</v>
      </c>
      <c r="C123" s="10">
        <f>'A) Base RI'!AN119</f>
        <v>8093</v>
      </c>
      <c r="D123" s="15">
        <f>'C) Prél. conj.'!H117</f>
        <v>1066570.3700000001</v>
      </c>
      <c r="E123" s="10">
        <f>'D) Ecrêtage'!L117</f>
        <v>0</v>
      </c>
      <c r="F123" s="15">
        <f>$F$10*'D) Ecrêtage'!M117</f>
        <v>6294346.7327372832</v>
      </c>
      <c r="G123" s="59">
        <f t="shared" si="1"/>
        <v>7360917.1027372833</v>
      </c>
    </row>
    <row r="124" spans="1:7" x14ac:dyDescent="0.25">
      <c r="A124" s="51">
        <f>'A) Base RI'!A120</f>
        <v>5588</v>
      </c>
      <c r="B124" s="321" t="str">
        <f>'A) Base RI'!B120</f>
        <v>Paudex</v>
      </c>
      <c r="C124" s="10">
        <f>'A) Base RI'!AN120</f>
        <v>1480</v>
      </c>
      <c r="D124" s="15">
        <f>'C) Prél. conj.'!H118</f>
        <v>12969.404999999999</v>
      </c>
      <c r="E124" s="10">
        <f>'D) Ecrêtage'!L118</f>
        <v>1706844.9967587083</v>
      </c>
      <c r="F124" s="15">
        <f>$F$10*'D) Ecrêtage'!M118</f>
        <v>1909563.1301392314</v>
      </c>
      <c r="G124" s="59">
        <f t="shared" si="1"/>
        <v>3629377.5318979397</v>
      </c>
    </row>
    <row r="125" spans="1:7" x14ac:dyDescent="0.25">
      <c r="A125" s="51">
        <f>'A) Base RI'!A121</f>
        <v>5589</v>
      </c>
      <c r="B125" s="321" t="str">
        <f>'A) Base RI'!B121</f>
        <v>Prilly</v>
      </c>
      <c r="C125" s="10">
        <f>'A) Base RI'!AN121</f>
        <v>12105</v>
      </c>
      <c r="D125" s="15">
        <f>'C) Prél. conj.'!H119</f>
        <v>1144735.0250000001</v>
      </c>
      <c r="E125" s="10">
        <f>'D) Ecrêtage'!L119</f>
        <v>0</v>
      </c>
      <c r="F125" s="15">
        <f>$F$10*'D) Ecrêtage'!M119</f>
        <v>6502868.8281068914</v>
      </c>
      <c r="G125" s="59">
        <f t="shared" si="1"/>
        <v>7647603.8531068917</v>
      </c>
    </row>
    <row r="126" spans="1:7" x14ac:dyDescent="0.25">
      <c r="A126" s="51">
        <f>'A) Base RI'!A122</f>
        <v>5590</v>
      </c>
      <c r="B126" s="321" t="str">
        <f>'A) Base RI'!B122</f>
        <v>Pully</v>
      </c>
      <c r="C126" s="10">
        <f>'A) Base RI'!AN122</f>
        <v>18194</v>
      </c>
      <c r="D126" s="15">
        <f>'C) Prél. conj.'!H120</f>
        <v>5217361.6050000004</v>
      </c>
      <c r="E126" s="10">
        <f>'D) Ecrêtage'!L120</f>
        <v>10420005.4394869</v>
      </c>
      <c r="F126" s="15">
        <f>$F$10*'D) Ecrêtage'!M120</f>
        <v>19906196.071878351</v>
      </c>
      <c r="G126" s="59">
        <f t="shared" si="1"/>
        <v>35543563.116365254</v>
      </c>
    </row>
    <row r="127" spans="1:7" x14ac:dyDescent="0.25">
      <c r="A127" s="51">
        <f>'A) Base RI'!A123</f>
        <v>5591</v>
      </c>
      <c r="B127" s="321" t="str">
        <f>'A) Base RI'!B123</f>
        <v>Renens</v>
      </c>
      <c r="C127" s="10">
        <f>'A) Base RI'!AN123</f>
        <v>21114</v>
      </c>
      <c r="D127" s="15">
        <f>'C) Prél. conj.'!H121</f>
        <v>1754071.6649999998</v>
      </c>
      <c r="E127" s="10">
        <f>'D) Ecrêtage'!L121</f>
        <v>0</v>
      </c>
      <c r="F127" s="15">
        <f>$F$10*'D) Ecrêtage'!M121</f>
        <v>8221942.3498693742</v>
      </c>
      <c r="G127" s="59">
        <f t="shared" si="1"/>
        <v>9976014.0148693733</v>
      </c>
    </row>
    <row r="128" spans="1:7" x14ac:dyDescent="0.25">
      <c r="A128" s="51">
        <f>'A) Base RI'!A124</f>
        <v>5592</v>
      </c>
      <c r="B128" s="321" t="str">
        <f>'A) Base RI'!B124</f>
        <v>Romanel-sur-Lausanne</v>
      </c>
      <c r="C128" s="10">
        <f>'A) Base RI'!AN124</f>
        <v>3300</v>
      </c>
      <c r="D128" s="15">
        <f>'C) Prél. conj.'!H122</f>
        <v>223504.63999999998</v>
      </c>
      <c r="E128" s="10">
        <f>'D) Ecrêtage'!L122</f>
        <v>0</v>
      </c>
      <c r="F128" s="15">
        <f>$F$10*'D) Ecrêtage'!M122</f>
        <v>1739204.1473045181</v>
      </c>
      <c r="G128" s="59">
        <f t="shared" si="1"/>
        <v>1962708.787304518</v>
      </c>
    </row>
    <row r="129" spans="1:7" x14ac:dyDescent="0.25">
      <c r="A129" s="51">
        <f>'A) Base RI'!A125</f>
        <v>5601</v>
      </c>
      <c r="B129" s="321" t="str">
        <f>'A) Base RI'!B125</f>
        <v>Chexbres</v>
      </c>
      <c r="C129" s="10">
        <f>'A) Base RI'!AN125</f>
        <v>2250</v>
      </c>
      <c r="D129" s="15">
        <f>'C) Prél. conj.'!H123</f>
        <v>595738.29500000004</v>
      </c>
      <c r="E129" s="10">
        <f>'D) Ecrêtage'!L123</f>
        <v>0</v>
      </c>
      <c r="F129" s="15">
        <f>$F$10*'D) Ecrêtage'!M123</f>
        <v>1764410.7146037011</v>
      </c>
      <c r="G129" s="59">
        <f t="shared" si="1"/>
        <v>2360149.0096037011</v>
      </c>
    </row>
    <row r="130" spans="1:7" x14ac:dyDescent="0.25">
      <c r="A130" s="51">
        <f>'A) Base RI'!A126</f>
        <v>5604</v>
      </c>
      <c r="B130" s="321" t="str">
        <f>'A) Base RI'!B126</f>
        <v>Forel (Lavaux)</v>
      </c>
      <c r="C130" s="10">
        <f>'A) Base RI'!AN126</f>
        <v>2084</v>
      </c>
      <c r="D130" s="15">
        <f>'C) Prél. conj.'!H124</f>
        <v>174157.98499999999</v>
      </c>
      <c r="E130" s="10">
        <f>'D) Ecrêtage'!L124</f>
        <v>0</v>
      </c>
      <c r="F130" s="15">
        <f>$F$10*'D) Ecrêtage'!M124</f>
        <v>1075558.8542284758</v>
      </c>
      <c r="G130" s="59">
        <f t="shared" si="1"/>
        <v>1249716.8392284759</v>
      </c>
    </row>
    <row r="131" spans="1:7" x14ac:dyDescent="0.25">
      <c r="A131" s="51">
        <f>'A) Base RI'!A127</f>
        <v>5606</v>
      </c>
      <c r="B131" s="321" t="str">
        <f>'A) Base RI'!B127</f>
        <v>Lutry</v>
      </c>
      <c r="C131" s="10">
        <f>'A) Base RI'!AN127</f>
        <v>10001</v>
      </c>
      <c r="D131" s="15">
        <f>'C) Prél. conj.'!H125</f>
        <v>3167676.1149999998</v>
      </c>
      <c r="E131" s="10">
        <f>'D) Ecrêtage'!L125</f>
        <v>6302940.384137325</v>
      </c>
      <c r="F131" s="15">
        <f>$F$10*'D) Ecrêtage'!M125</f>
        <v>11392236.691405958</v>
      </c>
      <c r="G131" s="59">
        <f t="shared" si="1"/>
        <v>20862853.190543283</v>
      </c>
    </row>
    <row r="132" spans="1:7" x14ac:dyDescent="0.25">
      <c r="A132" s="51">
        <f>'A) Base RI'!A128</f>
        <v>5607</v>
      </c>
      <c r="B132" s="321" t="str">
        <f>'A) Base RI'!B128</f>
        <v>Puidoux</v>
      </c>
      <c r="C132" s="10">
        <f>'A) Base RI'!AN128</f>
        <v>2904</v>
      </c>
      <c r="D132" s="15">
        <f>'C) Prél. conj.'!H126</f>
        <v>380054.67499999999</v>
      </c>
      <c r="E132" s="10">
        <f>'D) Ecrêtage'!L126</f>
        <v>0</v>
      </c>
      <c r="F132" s="15">
        <f>$F$10*'D) Ecrêtage'!M126</f>
        <v>1629521.6249608516</v>
      </c>
      <c r="G132" s="59">
        <f t="shared" si="1"/>
        <v>2009576.2999608517</v>
      </c>
    </row>
    <row r="133" spans="1:7" x14ac:dyDescent="0.25">
      <c r="A133" s="51">
        <f>'A) Base RI'!A129</f>
        <v>5609</v>
      </c>
      <c r="B133" s="321" t="str">
        <f>'A) Base RI'!B129</f>
        <v>Rivaz</v>
      </c>
      <c r="C133" s="10">
        <f>'A) Base RI'!AN129</f>
        <v>351</v>
      </c>
      <c r="D133" s="15">
        <f>'C) Prél. conj.'!H127</f>
        <v>36908.625</v>
      </c>
      <c r="E133" s="10">
        <f>'D) Ecrêtage'!L127</f>
        <v>0</v>
      </c>
      <c r="F133" s="15">
        <f>$F$10*'D) Ecrêtage'!M127</f>
        <v>233946.66830435727</v>
      </c>
      <c r="G133" s="59">
        <f t="shared" si="1"/>
        <v>270855.29330435727</v>
      </c>
    </row>
    <row r="134" spans="1:7" x14ac:dyDescent="0.25">
      <c r="A134" s="51">
        <f>'A) Base RI'!A130</f>
        <v>5610</v>
      </c>
      <c r="B134" s="321" t="str">
        <f>'A) Base RI'!B130</f>
        <v>St-Saphorin (Lavaux)</v>
      </c>
      <c r="C134" s="10">
        <f>'A) Base RI'!AN130</f>
        <v>389</v>
      </c>
      <c r="D134" s="15">
        <f>'C) Prél. conj.'!H128</f>
        <v>117413.2</v>
      </c>
      <c r="E134" s="10">
        <f>'D) Ecrêtage'!L128</f>
        <v>11325.635013954829</v>
      </c>
      <c r="F134" s="15">
        <f>$F$10*'D) Ecrêtage'!M128</f>
        <v>329807.85286678141</v>
      </c>
      <c r="G134" s="59">
        <f t="shared" si="1"/>
        <v>458546.68788073625</v>
      </c>
    </row>
    <row r="135" spans="1:7" x14ac:dyDescent="0.25">
      <c r="A135" s="51">
        <f>'A) Base RI'!A131</f>
        <v>5611</v>
      </c>
      <c r="B135" s="321" t="str">
        <f>'A) Base RI'!B131</f>
        <v>Savigny</v>
      </c>
      <c r="C135" s="10">
        <f>'A) Base RI'!AN131</f>
        <v>3352</v>
      </c>
      <c r="D135" s="15">
        <f>'C) Prél. conj.'!H129</f>
        <v>613888.86499999999</v>
      </c>
      <c r="E135" s="10">
        <f>'D) Ecrêtage'!L129</f>
        <v>0</v>
      </c>
      <c r="F135" s="15">
        <f>$F$10*'D) Ecrêtage'!M129</f>
        <v>2019703.0278880659</v>
      </c>
      <c r="G135" s="59">
        <f t="shared" si="1"/>
        <v>2633591.8928880659</v>
      </c>
    </row>
    <row r="136" spans="1:7" x14ac:dyDescent="0.25">
      <c r="A136" s="51">
        <f>'A) Base RI'!A132</f>
        <v>5613</v>
      </c>
      <c r="B136" s="321" t="str">
        <f>'A) Base RI'!B132</f>
        <v>Bourg-en-Lavaux</v>
      </c>
      <c r="C136" s="10">
        <f>'A) Base RI'!AN132</f>
        <v>5288</v>
      </c>
      <c r="D136" s="15">
        <f>'C) Prél. conj.'!H130</f>
        <v>806048.52500000002</v>
      </c>
      <c r="E136" s="10">
        <f>'D) Ecrêtage'!L130</f>
        <v>812108.62534278294</v>
      </c>
      <c r="F136" s="15">
        <f>$F$10*'D) Ecrêtage'!M130</f>
        <v>4835280.9909636816</v>
      </c>
      <c r="G136" s="59">
        <f t="shared" si="1"/>
        <v>6453438.1413064646</v>
      </c>
    </row>
    <row r="137" spans="1:7" x14ac:dyDescent="0.25">
      <c r="A137" s="51">
        <f>'A) Base RI'!A133</f>
        <v>5621</v>
      </c>
      <c r="B137" s="321" t="str">
        <f>'A) Base RI'!B133</f>
        <v>Aclens</v>
      </c>
      <c r="C137" s="10">
        <f>'A) Base RI'!AN133</f>
        <v>545</v>
      </c>
      <c r="D137" s="15">
        <f>'C) Prél. conj.'!H131</f>
        <v>342009.97499999998</v>
      </c>
      <c r="E137" s="10">
        <f>'D) Ecrêtage'!L131</f>
        <v>63475.721653635293</v>
      </c>
      <c r="F137" s="15">
        <f>$F$10*'D) Ecrêtage'!M131</f>
        <v>487213.06858754036</v>
      </c>
      <c r="G137" s="59">
        <f t="shared" si="1"/>
        <v>892698.76524117554</v>
      </c>
    </row>
    <row r="138" spans="1:7" x14ac:dyDescent="0.25">
      <c r="A138" s="51">
        <f>'A) Base RI'!A134</f>
        <v>5622</v>
      </c>
      <c r="B138" s="321" t="str">
        <f>'A) Base RI'!B134</f>
        <v>Bremblens</v>
      </c>
      <c r="C138" s="10">
        <f>'A) Base RI'!AN134</f>
        <v>547</v>
      </c>
      <c r="D138" s="15">
        <f>'C) Prél. conj.'!H132</f>
        <v>36294.514999999999</v>
      </c>
      <c r="E138" s="10">
        <f>'D) Ecrêtage'!L132</f>
        <v>20543.906626704444</v>
      </c>
      <c r="F138" s="15">
        <f>$F$10*'D) Ecrêtage'!M132</f>
        <v>466116.38692882453</v>
      </c>
      <c r="G138" s="59">
        <f t="shared" si="1"/>
        <v>522954.80855552899</v>
      </c>
    </row>
    <row r="139" spans="1:7" x14ac:dyDescent="0.25">
      <c r="A139" s="51">
        <f>'A) Base RI'!A135</f>
        <v>5623</v>
      </c>
      <c r="B139" s="321" t="str">
        <f>'A) Base RI'!B135</f>
        <v>Buchillon</v>
      </c>
      <c r="C139" s="10">
        <f>'A) Base RI'!AN135</f>
        <v>638</v>
      </c>
      <c r="D139" s="15">
        <f>'C) Prél. conj.'!H133</f>
        <v>71484.33</v>
      </c>
      <c r="E139" s="10">
        <f>'D) Ecrêtage'!L133</f>
        <v>978871.99540829426</v>
      </c>
      <c r="F139" s="15">
        <f>$F$10*'D) Ecrêtage'!M133</f>
        <v>934109.95594011678</v>
      </c>
      <c r="G139" s="59">
        <f t="shared" si="1"/>
        <v>1984466.281348411</v>
      </c>
    </row>
    <row r="140" spans="1:7" x14ac:dyDescent="0.25">
      <c r="A140" s="51">
        <f>'A) Base RI'!A136</f>
        <v>5624</v>
      </c>
      <c r="B140" s="321" t="str">
        <f>'A) Base RI'!B136</f>
        <v>Bussigny</v>
      </c>
      <c r="C140" s="10">
        <f>'A) Base RI'!AN136</f>
        <v>8677</v>
      </c>
      <c r="D140" s="15">
        <f>'C) Prél. conj.'!H134</f>
        <v>1324598.4300000002</v>
      </c>
      <c r="E140" s="10">
        <f>'D) Ecrêtage'!L134</f>
        <v>0</v>
      </c>
      <c r="F140" s="15">
        <f>$F$10*'D) Ecrêtage'!M134</f>
        <v>5055555.1930630347</v>
      </c>
      <c r="G140" s="59">
        <f t="shared" ref="G140:G203" si="2">D140+F140+E140</f>
        <v>6380153.6230630353</v>
      </c>
    </row>
    <row r="141" spans="1:7" x14ac:dyDescent="0.25">
      <c r="A141" s="51">
        <f>'A) Base RI'!A137</f>
        <v>5625</v>
      </c>
      <c r="B141" s="321" t="str">
        <f>'A) Base RI'!B137</f>
        <v>Bussy-Chardonney</v>
      </c>
      <c r="C141" s="10">
        <f>'A) Base RI'!AN137</f>
        <v>371</v>
      </c>
      <c r="D141" s="15">
        <f>'C) Prél. conj.'!H135</f>
        <v>40498.875</v>
      </c>
      <c r="E141" s="10">
        <f>'D) Ecrêtage'!L135</f>
        <v>0</v>
      </c>
      <c r="F141" s="15">
        <f>$F$10*'D) Ecrêtage'!M135</f>
        <v>207094.48183228864</v>
      </c>
      <c r="G141" s="59">
        <f t="shared" si="2"/>
        <v>247593.35683228864</v>
      </c>
    </row>
    <row r="142" spans="1:7" x14ac:dyDescent="0.25">
      <c r="A142" s="51">
        <f>'A) Base RI'!A138</f>
        <v>5627</v>
      </c>
      <c r="B142" s="321" t="str">
        <f>'A) Base RI'!B138</f>
        <v>Chavannes-près-Renens</v>
      </c>
      <c r="C142" s="10">
        <f>'A) Base RI'!AN138</f>
        <v>7653</v>
      </c>
      <c r="D142" s="15">
        <f>'C) Prél. conj.'!H136</f>
        <v>1384455.01</v>
      </c>
      <c r="E142" s="10">
        <f>'D) Ecrêtage'!L136</f>
        <v>0</v>
      </c>
      <c r="F142" s="15">
        <f>$F$10*'D) Ecrêtage'!M136</f>
        <v>2630565.0868499549</v>
      </c>
      <c r="G142" s="59">
        <f t="shared" si="2"/>
        <v>4015020.0968499547</v>
      </c>
    </row>
    <row r="143" spans="1:7" x14ac:dyDescent="0.25">
      <c r="A143" s="51">
        <f>'A) Base RI'!A139</f>
        <v>5628</v>
      </c>
      <c r="B143" s="321" t="str">
        <f>'A) Base RI'!B139</f>
        <v>Chigny</v>
      </c>
      <c r="C143" s="10">
        <f>'A) Base RI'!AN139</f>
        <v>338</v>
      </c>
      <c r="D143" s="15">
        <f>'C) Prél. conj.'!H137</f>
        <v>56715.590000000004</v>
      </c>
      <c r="E143" s="10">
        <f>'D) Ecrêtage'!L137</f>
        <v>16106.2576539477</v>
      </c>
      <c r="F143" s="15">
        <f>$F$10*'D) Ecrêtage'!M137</f>
        <v>290175.32764217508</v>
      </c>
      <c r="G143" s="59">
        <f t="shared" si="2"/>
        <v>362997.17529612279</v>
      </c>
    </row>
    <row r="144" spans="1:7" x14ac:dyDescent="0.25">
      <c r="A144" s="51">
        <f>'A) Base RI'!A140</f>
        <v>5629</v>
      </c>
      <c r="B144" s="321" t="str">
        <f>'A) Base RI'!B140</f>
        <v>Clarmont</v>
      </c>
      <c r="C144" s="10">
        <f>'A) Base RI'!AN140</f>
        <v>189</v>
      </c>
      <c r="D144" s="15">
        <f>'C) Prél. conj.'!H138</f>
        <v>12067.3</v>
      </c>
      <c r="E144" s="10">
        <f>'D) Ecrêtage'!L138</f>
        <v>0</v>
      </c>
      <c r="F144" s="15">
        <f>$F$10*'D) Ecrêtage'!M138</f>
        <v>112791.74454719601</v>
      </c>
      <c r="G144" s="59">
        <f t="shared" si="2"/>
        <v>124859.04454719601</v>
      </c>
    </row>
    <row r="145" spans="1:7" x14ac:dyDescent="0.25">
      <c r="A145" s="51">
        <f>'A) Base RI'!A141</f>
        <v>5631</v>
      </c>
      <c r="B145" s="321" t="str">
        <f>'A) Base RI'!B141</f>
        <v>Denens</v>
      </c>
      <c r="C145" s="10">
        <f>'A) Base RI'!AN141</f>
        <v>774</v>
      </c>
      <c r="D145" s="15">
        <f>'C) Prél. conj.'!H139</f>
        <v>105922.22500000001</v>
      </c>
      <c r="E145" s="10">
        <f>'D) Ecrêtage'!L139</f>
        <v>61581.372569177496</v>
      </c>
      <c r="F145" s="15">
        <f>$F$10*'D) Ecrêtage'!M139</f>
        <v>673585.19890297973</v>
      </c>
      <c r="G145" s="59">
        <f t="shared" si="2"/>
        <v>841088.79647215724</v>
      </c>
    </row>
    <row r="146" spans="1:7" x14ac:dyDescent="0.25">
      <c r="A146" s="51">
        <f>'A) Base RI'!A142</f>
        <v>5632</v>
      </c>
      <c r="B146" s="321" t="str">
        <f>'A) Base RI'!B142</f>
        <v>Denges</v>
      </c>
      <c r="C146" s="10">
        <f>'A) Base RI'!AN142</f>
        <v>1614</v>
      </c>
      <c r="D146" s="15">
        <f>'C) Prél. conj.'!H140</f>
        <v>145401.43</v>
      </c>
      <c r="E146" s="10">
        <f>'D) Ecrêtage'!L140</f>
        <v>0</v>
      </c>
      <c r="F146" s="15">
        <f>$F$10*'D) Ecrêtage'!M140</f>
        <v>1019454.0486912683</v>
      </c>
      <c r="G146" s="59">
        <f t="shared" si="2"/>
        <v>1164855.4786912682</v>
      </c>
    </row>
    <row r="147" spans="1:7" x14ac:dyDescent="0.25">
      <c r="A147" s="51">
        <f>'A) Base RI'!A143</f>
        <v>5633</v>
      </c>
      <c r="B147" s="321" t="str">
        <f>'A) Base RI'!B143</f>
        <v>Echandens</v>
      </c>
      <c r="C147" s="10">
        <f>'A) Base RI'!AN143</f>
        <v>2757</v>
      </c>
      <c r="D147" s="15">
        <f>'C) Prél. conj.'!H141</f>
        <v>350940.51500000001</v>
      </c>
      <c r="E147" s="10">
        <f>'D) Ecrêtage'!L141</f>
        <v>0</v>
      </c>
      <c r="F147" s="15">
        <f>$F$10*'D) Ecrêtage'!M141</f>
        <v>1980347.3590268793</v>
      </c>
      <c r="G147" s="59">
        <f t="shared" si="2"/>
        <v>2331287.8740268792</v>
      </c>
    </row>
    <row r="148" spans="1:7" x14ac:dyDescent="0.25">
      <c r="A148" s="51">
        <f>'A) Base RI'!A144</f>
        <v>5634</v>
      </c>
      <c r="B148" s="321" t="str">
        <f>'A) Base RI'!B144</f>
        <v>Echichens</v>
      </c>
      <c r="C148" s="10">
        <f>'A) Base RI'!AN144</f>
        <v>2712</v>
      </c>
      <c r="D148" s="15">
        <f>'C) Prél. conj.'!H142</f>
        <v>526424.66</v>
      </c>
      <c r="E148" s="10">
        <f>'D) Ecrêtage'!L142</f>
        <v>0</v>
      </c>
      <c r="F148" s="15">
        <f>$F$10*'D) Ecrêtage'!M142</f>
        <v>1909444.9542313803</v>
      </c>
      <c r="G148" s="59">
        <f t="shared" si="2"/>
        <v>2435869.6142313802</v>
      </c>
    </row>
    <row r="149" spans="1:7" x14ac:dyDescent="0.25">
      <c r="A149" s="51">
        <f>'A) Base RI'!A145</f>
        <v>5635</v>
      </c>
      <c r="B149" s="321" t="str">
        <f>'A) Base RI'!B145</f>
        <v>Ecublens</v>
      </c>
      <c r="C149" s="10">
        <f>'A) Base RI'!AN145</f>
        <v>12560</v>
      </c>
      <c r="D149" s="15">
        <f>'C) Prél. conj.'!H143</f>
        <v>1385855.395</v>
      </c>
      <c r="E149" s="10">
        <f>'D) Ecrêtage'!L143</f>
        <v>0</v>
      </c>
      <c r="F149" s="15">
        <f>$F$10*'D) Ecrêtage'!M143</f>
        <v>6816191.1483613513</v>
      </c>
      <c r="G149" s="59">
        <f t="shared" si="2"/>
        <v>8202046.5433613509</v>
      </c>
    </row>
    <row r="150" spans="1:7" x14ac:dyDescent="0.25">
      <c r="A150" s="51">
        <f>'A) Base RI'!A146</f>
        <v>5636</v>
      </c>
      <c r="B150" s="321" t="str">
        <f>'A) Base RI'!B146</f>
        <v>Etoy</v>
      </c>
      <c r="C150" s="10">
        <f>'A) Base RI'!AN146</f>
        <v>2908</v>
      </c>
      <c r="D150" s="15">
        <f>'C) Prél. conj.'!H144</f>
        <v>717033.77499999991</v>
      </c>
      <c r="E150" s="10">
        <f>'D) Ecrêtage'!L144</f>
        <v>0</v>
      </c>
      <c r="F150" s="15">
        <f>$F$10*'D) Ecrêtage'!M144</f>
        <v>2361935.5607674052</v>
      </c>
      <c r="G150" s="59">
        <f t="shared" si="2"/>
        <v>3078969.3357674051</v>
      </c>
    </row>
    <row r="151" spans="1:7" x14ac:dyDescent="0.25">
      <c r="A151" s="51">
        <f>'A) Base RI'!A147</f>
        <v>5637</v>
      </c>
      <c r="B151" s="321" t="str">
        <f>'A) Base RI'!B147</f>
        <v>Lavigny</v>
      </c>
      <c r="C151" s="10">
        <f>'A) Base RI'!AN147</f>
        <v>1007</v>
      </c>
      <c r="D151" s="15">
        <f>'C) Prél. conj.'!H145</f>
        <v>117911.27499999999</v>
      </c>
      <c r="E151" s="10">
        <f>'D) Ecrêtage'!L145</f>
        <v>0</v>
      </c>
      <c r="F151" s="15">
        <f>$F$10*'D) Ecrêtage'!M145</f>
        <v>544443.07164493529</v>
      </c>
      <c r="G151" s="59">
        <f t="shared" si="2"/>
        <v>662354.34664493531</v>
      </c>
    </row>
    <row r="152" spans="1:7" x14ac:dyDescent="0.25">
      <c r="A152" s="51">
        <f>'A) Base RI'!A148</f>
        <v>5638</v>
      </c>
      <c r="B152" s="321" t="str">
        <f>'A) Base RI'!B148</f>
        <v>Lonay</v>
      </c>
      <c r="C152" s="10">
        <f>'A) Base RI'!AN148</f>
        <v>2492</v>
      </c>
      <c r="D152" s="15">
        <f>'C) Prél. conj.'!H146</f>
        <v>3014894.8400000003</v>
      </c>
      <c r="E152" s="10">
        <f>'D) Ecrêtage'!L146</f>
        <v>307967.95992977964</v>
      </c>
      <c r="F152" s="15">
        <f>$F$10*'D) Ecrêtage'!M146</f>
        <v>2257103.0919919778</v>
      </c>
      <c r="G152" s="59">
        <f t="shared" si="2"/>
        <v>5579965.8919217568</v>
      </c>
    </row>
    <row r="153" spans="1:7" x14ac:dyDescent="0.25">
      <c r="A153" s="51">
        <f>'A) Base RI'!A149</f>
        <v>5639</v>
      </c>
      <c r="B153" s="321" t="str">
        <f>'A) Base RI'!B149</f>
        <v>Lully</v>
      </c>
      <c r="C153" s="10">
        <f>'A) Base RI'!AN149</f>
        <v>795</v>
      </c>
      <c r="D153" s="15">
        <f>'C) Prél. conj.'!H147</f>
        <v>93502.709999999992</v>
      </c>
      <c r="E153" s="10">
        <f>'D) Ecrêtage'!L147</f>
        <v>166857.15039317581</v>
      </c>
      <c r="F153" s="15">
        <f>$F$10*'D) Ecrêtage'!M147</f>
        <v>750383.53639054927</v>
      </c>
      <c r="G153" s="59">
        <f t="shared" si="2"/>
        <v>1010743.396783725</v>
      </c>
    </row>
    <row r="154" spans="1:7" x14ac:dyDescent="0.25">
      <c r="A154" s="51">
        <f>'A) Base RI'!A150</f>
        <v>5640</v>
      </c>
      <c r="B154" s="321" t="str">
        <f>'A) Base RI'!B150</f>
        <v>Lussy-sur-Morges</v>
      </c>
      <c r="C154" s="10">
        <f>'A) Base RI'!AN150</f>
        <v>667</v>
      </c>
      <c r="D154" s="15">
        <f>'C) Prél. conj.'!H148</f>
        <v>728830.68500000006</v>
      </c>
      <c r="E154" s="10">
        <f>'D) Ecrêtage'!L148</f>
        <v>502076.49351169897</v>
      </c>
      <c r="F154" s="15">
        <f>$F$10*'D) Ecrêtage'!M148</f>
        <v>760543.41082330607</v>
      </c>
      <c r="G154" s="59">
        <f t="shared" si="2"/>
        <v>1991450.589335005</v>
      </c>
    </row>
    <row r="155" spans="1:7" x14ac:dyDescent="0.25">
      <c r="A155" s="51">
        <f>'A) Base RI'!A151</f>
        <v>5642</v>
      </c>
      <c r="B155" s="321" t="str">
        <f>'A) Base RI'!B151</f>
        <v>Morges</v>
      </c>
      <c r="C155" s="10">
        <f>'A) Base RI'!AN151</f>
        <v>15839</v>
      </c>
      <c r="D155" s="15">
        <f>'C) Prél. conj.'!H149</f>
        <v>3317982.5750000002</v>
      </c>
      <c r="E155" s="10">
        <f>'D) Ecrêtage'!L149</f>
        <v>0</v>
      </c>
      <c r="F155" s="15">
        <f>$F$10*'D) Ecrêtage'!M149</f>
        <v>11681620.912605036</v>
      </c>
      <c r="G155" s="59">
        <f t="shared" si="2"/>
        <v>14999603.487605035</v>
      </c>
    </row>
    <row r="156" spans="1:7" x14ac:dyDescent="0.25">
      <c r="A156" s="51">
        <f>'A) Base RI'!A152</f>
        <v>5643</v>
      </c>
      <c r="B156" s="321" t="str">
        <f>'A) Base RI'!B152</f>
        <v>Préverenges</v>
      </c>
      <c r="C156" s="10">
        <f>'A) Base RI'!AN152</f>
        <v>5291</v>
      </c>
      <c r="D156" s="15">
        <f>'C) Prél. conj.'!H150</f>
        <v>349748.18999999994</v>
      </c>
      <c r="E156" s="10">
        <f>'D) Ecrêtage'!L150</f>
        <v>0</v>
      </c>
      <c r="F156" s="15">
        <f>$F$10*'D) Ecrêtage'!M150</f>
        <v>3975054.4590630783</v>
      </c>
      <c r="G156" s="59">
        <f t="shared" si="2"/>
        <v>4324802.6490630787</v>
      </c>
    </row>
    <row r="157" spans="1:7" x14ac:dyDescent="0.25">
      <c r="A157" s="51">
        <f>'A) Base RI'!A153</f>
        <v>5644</v>
      </c>
      <c r="B157" s="321" t="str">
        <f>'A) Base RI'!B153</f>
        <v>Reverolle</v>
      </c>
      <c r="C157" s="10">
        <f>'A) Base RI'!AN153</f>
        <v>382</v>
      </c>
      <c r="D157" s="15">
        <f>'C) Prél. conj.'!H151</f>
        <v>25572.145000000004</v>
      </c>
      <c r="E157" s="10">
        <f>'D) Ecrêtage'!L151</f>
        <v>0</v>
      </c>
      <c r="F157" s="15">
        <f>$F$10*'D) Ecrêtage'!M151</f>
        <v>227291.09455468834</v>
      </c>
      <c r="G157" s="59">
        <f t="shared" si="2"/>
        <v>252863.23955468833</v>
      </c>
    </row>
    <row r="158" spans="1:7" x14ac:dyDescent="0.25">
      <c r="A158" s="51">
        <f>'A) Base RI'!A154</f>
        <v>5645</v>
      </c>
      <c r="B158" s="321" t="str">
        <f>'A) Base RI'!B154</f>
        <v>Romanel-sur-Morges</v>
      </c>
      <c r="C158" s="10">
        <f>'A) Base RI'!AN154</f>
        <v>470</v>
      </c>
      <c r="D158" s="15">
        <f>'C) Prél. conj.'!H152</f>
        <v>31263.059999999998</v>
      </c>
      <c r="E158" s="10">
        <f>'D) Ecrêtage'!L152</f>
        <v>16747.961872623782</v>
      </c>
      <c r="F158" s="15">
        <f>$F$10*'D) Ecrêtage'!M152</f>
        <v>401512.3076926191</v>
      </c>
      <c r="G158" s="59">
        <f t="shared" si="2"/>
        <v>449523.32956524286</v>
      </c>
    </row>
    <row r="159" spans="1:7" x14ac:dyDescent="0.25">
      <c r="A159" s="51">
        <f>'A) Base RI'!A155</f>
        <v>5646</v>
      </c>
      <c r="B159" s="321" t="str">
        <f>'A) Base RI'!B155</f>
        <v>Saint-Prex</v>
      </c>
      <c r="C159" s="10">
        <f>'A) Base RI'!AN155</f>
        <v>5695</v>
      </c>
      <c r="D159" s="15">
        <f>'C) Prél. conj.'!H153</f>
        <v>1073361.345</v>
      </c>
      <c r="E159" s="10">
        <f>'D) Ecrêtage'!L153</f>
        <v>1383006.8843029265</v>
      </c>
      <c r="F159" s="15">
        <f>$F$10*'D) Ecrêtage'!M153</f>
        <v>5552729.3171061557</v>
      </c>
      <c r="G159" s="59">
        <f t="shared" si="2"/>
        <v>8009097.5464090817</v>
      </c>
    </row>
    <row r="160" spans="1:7" x14ac:dyDescent="0.25">
      <c r="A160" s="51">
        <f>'A) Base RI'!A156</f>
        <v>5648</v>
      </c>
      <c r="B160" s="321" t="str">
        <f>'A) Base RI'!B156</f>
        <v>Saint-Sulpice</v>
      </c>
      <c r="C160" s="10">
        <f>'A) Base RI'!AN156</f>
        <v>4524</v>
      </c>
      <c r="D160" s="15">
        <f>'C) Prél. conj.'!H154</f>
        <v>1212954.665</v>
      </c>
      <c r="E160" s="10">
        <f>'D) Ecrêtage'!L154</f>
        <v>2500530.4675791683</v>
      </c>
      <c r="F160" s="15">
        <f>$F$10*'D) Ecrêtage'!M154</f>
        <v>5018143.3705276502</v>
      </c>
      <c r="G160" s="59">
        <f t="shared" si="2"/>
        <v>8731628.5031068176</v>
      </c>
    </row>
    <row r="161" spans="1:7" x14ac:dyDescent="0.25">
      <c r="A161" s="51">
        <f>'A) Base RI'!A157</f>
        <v>5649</v>
      </c>
      <c r="B161" s="321" t="str">
        <f>'A) Base RI'!B157</f>
        <v>Tolochenaz</v>
      </c>
      <c r="C161" s="10">
        <f>'A) Base RI'!AN157</f>
        <v>1883</v>
      </c>
      <c r="D161" s="15">
        <f>'C) Prél. conj.'!H155</f>
        <v>378468.63</v>
      </c>
      <c r="E161" s="10">
        <f>'D) Ecrêtage'!L155</f>
        <v>4243612.4086335525</v>
      </c>
      <c r="F161" s="15">
        <f>$F$10*'D) Ecrêtage'!M155</f>
        <v>2940702.8551560547</v>
      </c>
      <c r="G161" s="59">
        <f t="shared" si="2"/>
        <v>7562783.8937896071</v>
      </c>
    </row>
    <row r="162" spans="1:7" x14ac:dyDescent="0.25">
      <c r="A162" s="51">
        <f>'A) Base RI'!A158</f>
        <v>5650</v>
      </c>
      <c r="B162" s="321" t="str">
        <f>'A) Base RI'!B158</f>
        <v>Vaux-sur-Morges</v>
      </c>
      <c r="C162" s="10">
        <f>'A) Base RI'!AN158</f>
        <v>199</v>
      </c>
      <c r="D162" s="15">
        <f>'C) Prél. conj.'!H156</f>
        <v>11078.434999999999</v>
      </c>
      <c r="E162" s="10">
        <f>'D) Ecrêtage'!L156</f>
        <v>5717150.7298895121</v>
      </c>
      <c r="F162" s="15">
        <f>$F$10*'D) Ecrêtage'!M156</f>
        <v>1552937.5682498526</v>
      </c>
      <c r="G162" s="59">
        <f t="shared" si="2"/>
        <v>7281166.733139365</v>
      </c>
    </row>
    <row r="163" spans="1:7" x14ac:dyDescent="0.25">
      <c r="A163" s="51">
        <f>'A) Base RI'!A159</f>
        <v>5651</v>
      </c>
      <c r="B163" s="321" t="str">
        <f>'A) Base RI'!B159</f>
        <v>Villars-Sainte-Croix</v>
      </c>
      <c r="C163" s="10">
        <f>'A) Base RI'!AN159</f>
        <v>935</v>
      </c>
      <c r="D163" s="15">
        <f>'C) Prél. conj.'!H157</f>
        <v>187318.32499999998</v>
      </c>
      <c r="E163" s="10">
        <f>'D) Ecrêtage'!L157</f>
        <v>26117.543750067951</v>
      </c>
      <c r="F163" s="15">
        <f>$F$10*'D) Ecrêtage'!M157</f>
        <v>793887.71764291613</v>
      </c>
      <c r="G163" s="59">
        <f t="shared" si="2"/>
        <v>1007323.586392984</v>
      </c>
    </row>
    <row r="164" spans="1:7" x14ac:dyDescent="0.25">
      <c r="A164" s="51">
        <f>'A) Base RI'!A160</f>
        <v>5652</v>
      </c>
      <c r="B164" s="321" t="str">
        <f>'A) Base RI'!B160</f>
        <v>Villars-sous-Yens</v>
      </c>
      <c r="C164" s="10">
        <f>'A) Base RI'!AN160</f>
        <v>614</v>
      </c>
      <c r="D164" s="15">
        <f>'C) Prél. conj.'!H158</f>
        <v>28862.654999999999</v>
      </c>
      <c r="E164" s="10">
        <f>'D) Ecrêtage'!L158</f>
        <v>0</v>
      </c>
      <c r="F164" s="15">
        <f>$F$10*'D) Ecrêtage'!M158</f>
        <v>388777.51575002237</v>
      </c>
      <c r="G164" s="59">
        <f t="shared" si="2"/>
        <v>417640.1707500224</v>
      </c>
    </row>
    <row r="165" spans="1:7" x14ac:dyDescent="0.25">
      <c r="A165" s="51">
        <f>'A) Base RI'!A161</f>
        <v>5653</v>
      </c>
      <c r="B165" s="321" t="str">
        <f>'A) Base RI'!B161</f>
        <v>Vufflens-le-Château</v>
      </c>
      <c r="C165" s="10">
        <f>'A) Base RI'!AN161</f>
        <v>884</v>
      </c>
      <c r="D165" s="15">
        <f>'C) Prél. conj.'!H159</f>
        <v>38172.865000000005</v>
      </c>
      <c r="E165" s="10">
        <f>'D) Ecrêtage'!L159</f>
        <v>178886.22929836463</v>
      </c>
      <c r="F165" s="15">
        <f>$F$10*'D) Ecrêtage'!M159</f>
        <v>841126.46863179002</v>
      </c>
      <c r="G165" s="59">
        <f t="shared" si="2"/>
        <v>1058185.5629301546</v>
      </c>
    </row>
    <row r="166" spans="1:7" x14ac:dyDescent="0.25">
      <c r="A166" s="51">
        <f>'A) Base RI'!A162</f>
        <v>5654</v>
      </c>
      <c r="B166" s="321" t="str">
        <f>'A) Base RI'!B162</f>
        <v>Vullierens</v>
      </c>
      <c r="C166" s="10">
        <f>'A) Base RI'!AN162</f>
        <v>499</v>
      </c>
      <c r="D166" s="15">
        <f>'C) Prél. conj.'!H160</f>
        <v>18591.13</v>
      </c>
      <c r="E166" s="10">
        <f>'D) Ecrêtage'!L160</f>
        <v>0</v>
      </c>
      <c r="F166" s="15">
        <f>$F$10*'D) Ecrêtage'!M160</f>
        <v>280659.84978558193</v>
      </c>
      <c r="G166" s="59">
        <f t="shared" si="2"/>
        <v>299250.97978558193</v>
      </c>
    </row>
    <row r="167" spans="1:7" x14ac:dyDescent="0.25">
      <c r="A167" s="51">
        <f>'A) Base RI'!A163</f>
        <v>5655</v>
      </c>
      <c r="B167" s="321" t="str">
        <f>'A) Base RI'!B163</f>
        <v>Yens</v>
      </c>
      <c r="C167" s="10">
        <f>'A) Base RI'!AN163</f>
        <v>1395</v>
      </c>
      <c r="D167" s="15">
        <f>'C) Prél. conj.'!H161</f>
        <v>406615.83999999997</v>
      </c>
      <c r="E167" s="10">
        <f>'D) Ecrêtage'!L161</f>
        <v>0</v>
      </c>
      <c r="F167" s="15">
        <f>$F$10*'D) Ecrêtage'!M161</f>
        <v>1085935.1873482198</v>
      </c>
      <c r="G167" s="59">
        <f t="shared" si="2"/>
        <v>1492551.0273482199</v>
      </c>
    </row>
    <row r="168" spans="1:7" x14ac:dyDescent="0.25">
      <c r="A168" s="51">
        <f>'A) Base RI'!A164</f>
        <v>5661</v>
      </c>
      <c r="B168" s="321" t="str">
        <f>'A) Base RI'!B164</f>
        <v>Boulens</v>
      </c>
      <c r="C168" s="10">
        <f>'A) Base RI'!AN164</f>
        <v>377</v>
      </c>
      <c r="D168" s="15">
        <f>'C) Prél. conj.'!H162</f>
        <v>11886.779999999999</v>
      </c>
      <c r="E168" s="10">
        <f>'D) Ecrêtage'!L162</f>
        <v>0</v>
      </c>
      <c r="F168" s="15">
        <f>$F$10*'D) Ecrêtage'!M162</f>
        <v>136026.7988401257</v>
      </c>
      <c r="G168" s="59">
        <f t="shared" si="2"/>
        <v>147913.5788401257</v>
      </c>
    </row>
    <row r="169" spans="1:7" x14ac:dyDescent="0.25">
      <c r="A169" s="51">
        <f>'A) Base RI'!A165</f>
        <v>5663</v>
      </c>
      <c r="B169" s="321" t="str">
        <f>'A) Base RI'!B165</f>
        <v>Bussy-sur-Moudon</v>
      </c>
      <c r="C169" s="10">
        <f>'A) Base RI'!AN165</f>
        <v>209</v>
      </c>
      <c r="D169" s="15">
        <f>'C) Prél. conj.'!H163</f>
        <v>14246.7</v>
      </c>
      <c r="E169" s="10">
        <f>'D) Ecrêtage'!L163</f>
        <v>0</v>
      </c>
      <c r="F169" s="15">
        <f>$F$10*'D) Ecrêtage'!M163</f>
        <v>85280.719254055846</v>
      </c>
      <c r="G169" s="59">
        <f t="shared" si="2"/>
        <v>99527.419254055843</v>
      </c>
    </row>
    <row r="170" spans="1:7" x14ac:dyDescent="0.25">
      <c r="A170" s="51">
        <f>'A) Base RI'!A166</f>
        <v>5665</v>
      </c>
      <c r="B170" s="321" t="str">
        <f>'A) Base RI'!B166</f>
        <v>Chavannes-sur-Moudon</v>
      </c>
      <c r="C170" s="10">
        <f>'A) Base RI'!AN166</f>
        <v>220</v>
      </c>
      <c r="D170" s="15">
        <f>'C) Prél. conj.'!H164</f>
        <v>1545.675</v>
      </c>
      <c r="E170" s="10">
        <f>'D) Ecrêtage'!L164</f>
        <v>0</v>
      </c>
      <c r="F170" s="15">
        <f>$F$10*'D) Ecrêtage'!M164</f>
        <v>75704.886531677606</v>
      </c>
      <c r="G170" s="59">
        <f t="shared" si="2"/>
        <v>77250.561531677609</v>
      </c>
    </row>
    <row r="171" spans="1:7" x14ac:dyDescent="0.25">
      <c r="A171" s="51">
        <f>'A) Base RI'!A167</f>
        <v>5669</v>
      </c>
      <c r="B171" s="321" t="str">
        <f>'A) Base RI'!B167</f>
        <v>Curtilles</v>
      </c>
      <c r="C171" s="10">
        <f>'A) Base RI'!AN167</f>
        <v>318</v>
      </c>
      <c r="D171" s="15">
        <f>'C) Prél. conj.'!H165</f>
        <v>32836.1</v>
      </c>
      <c r="E171" s="10">
        <f>'D) Ecrêtage'!L165</f>
        <v>0</v>
      </c>
      <c r="F171" s="15">
        <f>$F$10*'D) Ecrêtage'!M165</f>
        <v>135174.9214122546</v>
      </c>
      <c r="G171" s="59">
        <f t="shared" si="2"/>
        <v>168011.0214122546</v>
      </c>
    </row>
    <row r="172" spans="1:7" x14ac:dyDescent="0.25">
      <c r="A172" s="51">
        <f>'A) Base RI'!A168</f>
        <v>5671</v>
      </c>
      <c r="B172" s="321" t="str">
        <f>'A) Base RI'!B168</f>
        <v>Dompierre</v>
      </c>
      <c r="C172" s="10">
        <f>'A) Base RI'!AN168</f>
        <v>259</v>
      </c>
      <c r="D172" s="15">
        <f>'C) Prél. conj.'!H166</f>
        <v>27.5</v>
      </c>
      <c r="E172" s="10">
        <f>'D) Ecrêtage'!L166</f>
        <v>0</v>
      </c>
      <c r="F172" s="15">
        <f>$F$10*'D) Ecrêtage'!M166</f>
        <v>95725.620120526219</v>
      </c>
      <c r="G172" s="59">
        <f t="shared" si="2"/>
        <v>95753.120120526219</v>
      </c>
    </row>
    <row r="173" spans="1:7" x14ac:dyDescent="0.25">
      <c r="A173" s="51">
        <f>'A) Base RI'!A169</f>
        <v>5673</v>
      </c>
      <c r="B173" s="321" t="str">
        <f>'A) Base RI'!B169</f>
        <v>Hermenches</v>
      </c>
      <c r="C173" s="10">
        <f>'A) Base RI'!AN169</f>
        <v>379</v>
      </c>
      <c r="D173" s="15">
        <f>'C) Prél. conj.'!H167</f>
        <v>5346.1950000000006</v>
      </c>
      <c r="E173" s="10">
        <f>'D) Ecrêtage'!L167</f>
        <v>0</v>
      </c>
      <c r="F173" s="15">
        <f>$F$10*'D) Ecrêtage'!M167</f>
        <v>133487.7988497008</v>
      </c>
      <c r="G173" s="59">
        <f t="shared" si="2"/>
        <v>138833.99384970081</v>
      </c>
    </row>
    <row r="174" spans="1:7" x14ac:dyDescent="0.25">
      <c r="A174" s="51">
        <f>'A) Base RI'!A170</f>
        <v>5674</v>
      </c>
      <c r="B174" s="321" t="str">
        <f>'A) Base RI'!B170</f>
        <v>Lovatens</v>
      </c>
      <c r="C174" s="10">
        <f>'A) Base RI'!AN170</f>
        <v>141</v>
      </c>
      <c r="D174" s="15">
        <f>'C) Prél. conj.'!H168</f>
        <v>2492.875</v>
      </c>
      <c r="E174" s="10">
        <f>'D) Ecrêtage'!L168</f>
        <v>0</v>
      </c>
      <c r="F174" s="15">
        <f>$F$10*'D) Ecrêtage'!M168</f>
        <v>54439.425148621609</v>
      </c>
      <c r="G174" s="59">
        <f t="shared" si="2"/>
        <v>56932.300148621609</v>
      </c>
    </row>
    <row r="175" spans="1:7" x14ac:dyDescent="0.25">
      <c r="A175" s="51">
        <f>'A) Base RI'!A171</f>
        <v>5675</v>
      </c>
      <c r="B175" s="321" t="str">
        <f>'A) Base RI'!B171</f>
        <v>Lucens</v>
      </c>
      <c r="C175" s="10">
        <f>'A) Base RI'!AN171</f>
        <v>4157</v>
      </c>
      <c r="D175" s="15">
        <f>'C) Prél. conj.'!H169</f>
        <v>322713.82</v>
      </c>
      <c r="E175" s="10">
        <f>'D) Ecrêtage'!L169</f>
        <v>0</v>
      </c>
      <c r="F175" s="15">
        <f>$F$10*'D) Ecrêtage'!M169</f>
        <v>1296410.538584833</v>
      </c>
      <c r="G175" s="59">
        <f t="shared" si="2"/>
        <v>1619124.3585848331</v>
      </c>
    </row>
    <row r="176" spans="1:7" x14ac:dyDescent="0.25">
      <c r="A176" s="51">
        <f>'A) Base RI'!A172</f>
        <v>5678</v>
      </c>
      <c r="B176" s="321" t="str">
        <f>'A) Base RI'!B172</f>
        <v>Moudon</v>
      </c>
      <c r="C176" s="10">
        <f>'A) Base RI'!AN172</f>
        <v>6185</v>
      </c>
      <c r="D176" s="15">
        <f>'C) Prél. conj.'!H170</f>
        <v>711117.57</v>
      </c>
      <c r="E176" s="10">
        <f>'D) Ecrêtage'!L170</f>
        <v>0</v>
      </c>
      <c r="F176" s="15">
        <f>$F$10*'D) Ecrêtage'!M170</f>
        <v>1800122.8222734872</v>
      </c>
      <c r="G176" s="59">
        <f t="shared" si="2"/>
        <v>2511240.3922734871</v>
      </c>
    </row>
    <row r="177" spans="1:7" x14ac:dyDescent="0.25">
      <c r="A177" s="51">
        <f>'A) Base RI'!A173</f>
        <v>5680</v>
      </c>
      <c r="B177" s="321" t="str">
        <f>'A) Base RI'!B173</f>
        <v>Ogens</v>
      </c>
      <c r="C177" s="10">
        <f>'A) Base RI'!AN173</f>
        <v>304</v>
      </c>
      <c r="D177" s="15">
        <f>'C) Prél. conj.'!H171</f>
        <v>18037.875</v>
      </c>
      <c r="E177" s="10">
        <f>'D) Ecrêtage'!L171</f>
        <v>0</v>
      </c>
      <c r="F177" s="15">
        <f>$F$10*'D) Ecrêtage'!M171</f>
        <v>111724.08364224093</v>
      </c>
      <c r="G177" s="59">
        <f t="shared" si="2"/>
        <v>129761.95864224093</v>
      </c>
    </row>
    <row r="178" spans="1:7" x14ac:dyDescent="0.25">
      <c r="A178" s="51">
        <f>'A) Base RI'!A174</f>
        <v>5683</v>
      </c>
      <c r="B178" s="321" t="str">
        <f>'A) Base RI'!B174</f>
        <v>Prévonloup</v>
      </c>
      <c r="C178" s="10">
        <f>'A) Base RI'!AN174</f>
        <v>160</v>
      </c>
      <c r="D178" s="15">
        <f>'C) Prél. conj.'!H172</f>
        <v>12453</v>
      </c>
      <c r="E178" s="10">
        <f>'D) Ecrêtage'!L172</f>
        <v>0</v>
      </c>
      <c r="F178" s="15">
        <f>$F$10*'D) Ecrêtage'!M172</f>
        <v>58499.749452332784</v>
      </c>
      <c r="G178" s="59">
        <f t="shared" si="2"/>
        <v>70952.749452332791</v>
      </c>
    </row>
    <row r="179" spans="1:7" x14ac:dyDescent="0.25">
      <c r="A179" s="51">
        <f>'A) Base RI'!A175</f>
        <v>5684</v>
      </c>
      <c r="B179" s="321" t="str">
        <f>'A) Base RI'!B175</f>
        <v>Rossenges</v>
      </c>
      <c r="C179" s="10">
        <f>'A) Base RI'!AN175</f>
        <v>63</v>
      </c>
      <c r="D179" s="15">
        <f>'C) Prél. conj.'!H173</f>
        <v>0</v>
      </c>
      <c r="E179" s="10">
        <f>'D) Ecrêtage'!L173</f>
        <v>0</v>
      </c>
      <c r="F179" s="15">
        <f>$F$10*'D) Ecrêtage'!M173</f>
        <v>44083.789649719358</v>
      </c>
      <c r="G179" s="59">
        <f t="shared" si="2"/>
        <v>44083.789649719358</v>
      </c>
    </row>
    <row r="180" spans="1:7" x14ac:dyDescent="0.25">
      <c r="A180" s="51">
        <f>'A) Base RI'!A176</f>
        <v>5688</v>
      </c>
      <c r="B180" s="321" t="str">
        <f>'A) Base RI'!B176</f>
        <v>Syens</v>
      </c>
      <c r="C180" s="10">
        <f>'A) Base RI'!AN176</f>
        <v>150</v>
      </c>
      <c r="D180" s="15">
        <f>'C) Prél. conj.'!H174</f>
        <v>15441.4</v>
      </c>
      <c r="E180" s="10">
        <f>'D) Ecrêtage'!L174</f>
        <v>0</v>
      </c>
      <c r="F180" s="15">
        <f>$F$10*'D) Ecrêtage'!M174</f>
        <v>94423.451879844812</v>
      </c>
      <c r="G180" s="59">
        <f t="shared" si="2"/>
        <v>109864.85187984481</v>
      </c>
    </row>
    <row r="181" spans="1:7" x14ac:dyDescent="0.25">
      <c r="A181" s="51">
        <f>'A) Base RI'!A177</f>
        <v>5690</v>
      </c>
      <c r="B181" s="321" t="str">
        <f>'A) Base RI'!B177</f>
        <v>Villars-le-Comte</v>
      </c>
      <c r="C181" s="10">
        <f>'A) Base RI'!AN177</f>
        <v>142</v>
      </c>
      <c r="D181" s="15">
        <f>'C) Prél. conj.'!H175</f>
        <v>11835.8</v>
      </c>
      <c r="E181" s="10">
        <f>'D) Ecrêtage'!L175</f>
        <v>0</v>
      </c>
      <c r="F181" s="15">
        <f>$F$10*'D) Ecrêtage'!M175</f>
        <v>53793.054106790834</v>
      </c>
      <c r="G181" s="59">
        <f t="shared" si="2"/>
        <v>65628.854106790837</v>
      </c>
    </row>
    <row r="182" spans="1:7" x14ac:dyDescent="0.25">
      <c r="A182" s="51">
        <f>'A) Base RI'!A178</f>
        <v>5692</v>
      </c>
      <c r="B182" s="321" t="str">
        <f>'A) Base RI'!B178</f>
        <v>Vucherens</v>
      </c>
      <c r="C182" s="10">
        <f>'A) Base RI'!AN178</f>
        <v>583</v>
      </c>
      <c r="D182" s="15">
        <f>'C) Prél. conj.'!H176</f>
        <v>43754.799999999996</v>
      </c>
      <c r="E182" s="10">
        <f>'D) Ecrêtage'!L176</f>
        <v>0</v>
      </c>
      <c r="F182" s="15">
        <f>$F$10*'D) Ecrêtage'!M176</f>
        <v>260337.74656227286</v>
      </c>
      <c r="G182" s="59">
        <f t="shared" si="2"/>
        <v>304092.54656227288</v>
      </c>
    </row>
    <row r="183" spans="1:7" x14ac:dyDescent="0.25">
      <c r="A183" s="51">
        <f>'A) Base RI'!A179</f>
        <v>5693</v>
      </c>
      <c r="B183" s="321" t="str">
        <f>'A) Base RI'!B179</f>
        <v>Montanaire</v>
      </c>
      <c r="C183" s="10">
        <f>'A) Base RI'!AN179</f>
        <v>2606</v>
      </c>
      <c r="D183" s="15">
        <f>'C) Prél. conj.'!H177</f>
        <v>228464.745</v>
      </c>
      <c r="E183" s="10">
        <f>'D) Ecrêtage'!L177</f>
        <v>0</v>
      </c>
      <c r="F183" s="15">
        <f>$F$10*'D) Ecrêtage'!M177</f>
        <v>1066435.6312852029</v>
      </c>
      <c r="G183" s="59">
        <f t="shared" si="2"/>
        <v>1294900.3762852028</v>
      </c>
    </row>
    <row r="184" spans="1:7" x14ac:dyDescent="0.25">
      <c r="A184" s="51">
        <f>'A) Base RI'!A180</f>
        <v>5701</v>
      </c>
      <c r="B184" s="321" t="str">
        <f>'A) Base RI'!B180</f>
        <v>Arnex-sur-Nyon</v>
      </c>
      <c r="C184" s="10">
        <f>'A) Base RI'!AN180</f>
        <v>224</v>
      </c>
      <c r="D184" s="15">
        <f>'C) Prél. conj.'!H178</f>
        <v>16182.325000000001</v>
      </c>
      <c r="E184" s="10">
        <f>'D) Ecrêtage'!L178</f>
        <v>53322.459370924829</v>
      </c>
      <c r="F184" s="15">
        <f>$F$10*'D) Ecrêtage'!M178</f>
        <v>211142.26258769524</v>
      </c>
      <c r="G184" s="59">
        <f t="shared" si="2"/>
        <v>280647.04695862008</v>
      </c>
    </row>
    <row r="185" spans="1:7" x14ac:dyDescent="0.25">
      <c r="A185" s="51">
        <f>'A) Base RI'!A181</f>
        <v>5702</v>
      </c>
      <c r="B185" s="321" t="str">
        <f>'A) Base RI'!B181</f>
        <v>Arzier-Le Muids</v>
      </c>
      <c r="C185" s="10">
        <f>'A) Base RI'!AN181</f>
        <v>2653</v>
      </c>
      <c r="D185" s="15">
        <f>'C) Prél. conj.'!H179</f>
        <v>585853.65500000003</v>
      </c>
      <c r="E185" s="10">
        <f>'D) Ecrêtage'!L179</f>
        <v>204964.40213658568</v>
      </c>
      <c r="F185" s="15">
        <f>$F$10*'D) Ecrêtage'!M179</f>
        <v>2314792.5950874947</v>
      </c>
      <c r="G185" s="59">
        <f t="shared" si="2"/>
        <v>3105610.6522240806</v>
      </c>
    </row>
    <row r="186" spans="1:7" x14ac:dyDescent="0.25">
      <c r="A186" s="51">
        <f>'A) Base RI'!A182</f>
        <v>5703</v>
      </c>
      <c r="B186" s="321" t="str">
        <f>'A) Base RI'!B182</f>
        <v>Bassins</v>
      </c>
      <c r="C186" s="10">
        <f>'A) Base RI'!AN182</f>
        <v>1356</v>
      </c>
      <c r="D186" s="15">
        <f>'C) Prél. conj.'!H180</f>
        <v>213168.69999999998</v>
      </c>
      <c r="E186" s="10">
        <f>'D) Ecrêtage'!L180</f>
        <v>0</v>
      </c>
      <c r="F186" s="15">
        <f>$F$10*'D) Ecrêtage'!M180</f>
        <v>850275.58529250033</v>
      </c>
      <c r="G186" s="59">
        <f t="shared" si="2"/>
        <v>1063444.2852925004</v>
      </c>
    </row>
    <row r="187" spans="1:7" x14ac:dyDescent="0.25">
      <c r="A187" s="51">
        <f>'A) Base RI'!A183</f>
        <v>5704</v>
      </c>
      <c r="B187" s="321" t="str">
        <f>'A) Base RI'!B183</f>
        <v>Begnins</v>
      </c>
      <c r="C187" s="10">
        <f>'A) Base RI'!AN183</f>
        <v>1910</v>
      </c>
      <c r="D187" s="15">
        <f>'C) Prél. conj.'!H181</f>
        <v>455700.83999999997</v>
      </c>
      <c r="E187" s="10">
        <f>'D) Ecrêtage'!L181</f>
        <v>535418.90759242629</v>
      </c>
      <c r="F187" s="15">
        <f>$F$10*'D) Ecrêtage'!M181</f>
        <v>1848162.103953342</v>
      </c>
      <c r="G187" s="59">
        <f t="shared" si="2"/>
        <v>2839281.8515457679</v>
      </c>
    </row>
    <row r="188" spans="1:7" x14ac:dyDescent="0.25">
      <c r="A188" s="51">
        <f>'A) Base RI'!A184</f>
        <v>5705</v>
      </c>
      <c r="B188" s="321" t="str">
        <f>'A) Base RI'!B184</f>
        <v>Bogis-Bossey</v>
      </c>
      <c r="C188" s="10">
        <f>'A) Base RI'!AN184</f>
        <v>893</v>
      </c>
      <c r="D188" s="15">
        <f>'C) Prél. conj.'!H182</f>
        <v>101374.41499999999</v>
      </c>
      <c r="E188" s="10">
        <f>'D) Ecrêtage'!L182</f>
        <v>137900.28543498149</v>
      </c>
      <c r="F188" s="15">
        <f>$F$10*'D) Ecrêtage'!M182</f>
        <v>807658.41208288178</v>
      </c>
      <c r="G188" s="59">
        <f t="shared" si="2"/>
        <v>1046933.1125178633</v>
      </c>
    </row>
    <row r="189" spans="1:7" x14ac:dyDescent="0.25">
      <c r="A189" s="51">
        <f>'A) Base RI'!A185</f>
        <v>5706</v>
      </c>
      <c r="B189" s="321" t="str">
        <f>'A) Base RI'!B185</f>
        <v>Borex</v>
      </c>
      <c r="C189" s="10">
        <f>'A) Base RI'!AN185</f>
        <v>1126</v>
      </c>
      <c r="D189" s="15">
        <f>'C) Prél. conj.'!H183</f>
        <v>180191.17499999999</v>
      </c>
      <c r="E189" s="10">
        <f>'D) Ecrêtage'!L183</f>
        <v>194185.39722313496</v>
      </c>
      <c r="F189" s="15">
        <f>$F$10*'D) Ecrêtage'!M183</f>
        <v>1045995.4206120583</v>
      </c>
      <c r="G189" s="59">
        <f t="shared" si="2"/>
        <v>1420371.9928351932</v>
      </c>
    </row>
    <row r="190" spans="1:7" x14ac:dyDescent="0.25">
      <c r="A190" s="51">
        <f>'A) Base RI'!A186</f>
        <v>5707</v>
      </c>
      <c r="B190" s="321" t="str">
        <f>'A) Base RI'!B186</f>
        <v>Chavannes-de-Bogis</v>
      </c>
      <c r="C190" s="10">
        <f>'A) Base RI'!AN186</f>
        <v>1290</v>
      </c>
      <c r="D190" s="15">
        <f>'C) Prél. conj.'!H184</f>
        <v>303621.88</v>
      </c>
      <c r="E190" s="10">
        <f>'D) Ecrêtage'!L184</f>
        <v>285149.72559955932</v>
      </c>
      <c r="F190" s="15">
        <f>$F$10*'D) Ecrêtage'!M184</f>
        <v>1230208.3601499812</v>
      </c>
      <c r="G190" s="59">
        <f t="shared" si="2"/>
        <v>1818979.9657495406</v>
      </c>
    </row>
    <row r="191" spans="1:7" x14ac:dyDescent="0.25">
      <c r="A191" s="51">
        <f>'A) Base RI'!A187</f>
        <v>5708</v>
      </c>
      <c r="B191" s="321" t="str">
        <f>'A) Base RI'!B187</f>
        <v>Chavannes-des-Bois</v>
      </c>
      <c r="C191" s="10">
        <f>'A) Base RI'!AN187</f>
        <v>942</v>
      </c>
      <c r="D191" s="15">
        <f>'C) Prél. conj.'!H185</f>
        <v>47965.964999999989</v>
      </c>
      <c r="E191" s="10">
        <f>'D) Ecrêtage'!L185</f>
        <v>106104.12189921267</v>
      </c>
      <c r="F191" s="15">
        <f>$F$10*'D) Ecrêtage'!M185</f>
        <v>843038.68213180068</v>
      </c>
      <c r="G191" s="59">
        <f t="shared" si="2"/>
        <v>997108.76903101336</v>
      </c>
    </row>
    <row r="192" spans="1:7" x14ac:dyDescent="0.25">
      <c r="A192" s="51">
        <f>'A) Base RI'!A188</f>
        <v>5709</v>
      </c>
      <c r="B192" s="321" t="str">
        <f>'A) Base RI'!B188</f>
        <v>Chéserex</v>
      </c>
      <c r="C192" s="10">
        <f>'A) Base RI'!AN188</f>
        <v>1219</v>
      </c>
      <c r="D192" s="15">
        <f>'C) Prél. conj.'!H186</f>
        <v>841065.745</v>
      </c>
      <c r="E192" s="10">
        <f>'D) Ecrêtage'!L186</f>
        <v>89128.486096451685</v>
      </c>
      <c r="F192" s="15">
        <f>$F$10*'D) Ecrêtage'!M186</f>
        <v>1066544.3512063799</v>
      </c>
      <c r="G192" s="59">
        <f t="shared" si="2"/>
        <v>1996738.5823028318</v>
      </c>
    </row>
    <row r="193" spans="1:7" x14ac:dyDescent="0.25">
      <c r="A193" s="51">
        <f>'A) Base RI'!A189</f>
        <v>5710</v>
      </c>
      <c r="B193" s="321" t="str">
        <f>'A) Base RI'!B189</f>
        <v>Coinsins</v>
      </c>
      <c r="C193" s="10">
        <f>'A) Base RI'!AN189</f>
        <v>484</v>
      </c>
      <c r="D193" s="15">
        <f>'C) Prél. conj.'!H187</f>
        <v>87069.755000000005</v>
      </c>
      <c r="E193" s="10">
        <f>'D) Ecrêtage'!L187</f>
        <v>1525049.3502369598</v>
      </c>
      <c r="F193" s="15">
        <f>$F$10*'D) Ecrêtage'!M187</f>
        <v>939878.04275710124</v>
      </c>
      <c r="G193" s="59">
        <f t="shared" si="2"/>
        <v>2551997.147994061</v>
      </c>
    </row>
    <row r="194" spans="1:7" x14ac:dyDescent="0.25">
      <c r="A194" s="51">
        <f>'A) Base RI'!A190</f>
        <v>5711</v>
      </c>
      <c r="B194" s="321" t="str">
        <f>'A) Base RI'!B190</f>
        <v>Commugny</v>
      </c>
      <c r="C194" s="10">
        <f>'A) Base RI'!AN190</f>
        <v>2858</v>
      </c>
      <c r="D194" s="15">
        <f>'C) Prél. conj.'!H188</f>
        <v>541756.24999999988</v>
      </c>
      <c r="E194" s="10">
        <f>'D) Ecrêtage'!L188</f>
        <v>2249510.3108224585</v>
      </c>
      <c r="F194" s="15">
        <f>$F$10*'D) Ecrêtage'!M188</f>
        <v>3416000.7552866363</v>
      </c>
      <c r="G194" s="59">
        <f t="shared" si="2"/>
        <v>6207267.3161090948</v>
      </c>
    </row>
    <row r="195" spans="1:7" x14ac:dyDescent="0.25">
      <c r="A195" s="51">
        <f>'A) Base RI'!A191</f>
        <v>5712</v>
      </c>
      <c r="B195" s="321" t="str">
        <f>'A) Base RI'!B191</f>
        <v>Coppet</v>
      </c>
      <c r="C195" s="10">
        <f>'A) Base RI'!AN191</f>
        <v>3123</v>
      </c>
      <c r="D195" s="15">
        <f>'C) Prél. conj.'!H189</f>
        <v>1126564.615</v>
      </c>
      <c r="E195" s="10">
        <f>'D) Ecrêtage'!L189</f>
        <v>3677562.310074979</v>
      </c>
      <c r="F195" s="15">
        <f>$F$10*'D) Ecrêtage'!M189</f>
        <v>4214020.0633297833</v>
      </c>
      <c r="G195" s="59">
        <f t="shared" si="2"/>
        <v>9018146.988404762</v>
      </c>
    </row>
    <row r="196" spans="1:7" x14ac:dyDescent="0.25">
      <c r="A196" s="51">
        <f>'A) Base RI'!A192</f>
        <v>5713</v>
      </c>
      <c r="B196" s="321" t="str">
        <f>'A) Base RI'!B192</f>
        <v>Crans-près-Céligny</v>
      </c>
      <c r="C196" s="10">
        <f>'A) Base RI'!AN192</f>
        <v>2177</v>
      </c>
      <c r="D196" s="15">
        <f>'C) Prél. conj.'!H190</f>
        <v>497129.7</v>
      </c>
      <c r="E196" s="10">
        <f>'D) Ecrêtage'!L190</f>
        <v>2924989.6723132548</v>
      </c>
      <c r="F196" s="15">
        <f>$F$10*'D) Ecrêtage'!M190</f>
        <v>3053820.4897677712</v>
      </c>
      <c r="G196" s="59">
        <f t="shared" si="2"/>
        <v>6475939.8620810267</v>
      </c>
    </row>
    <row r="197" spans="1:7" x14ac:dyDescent="0.25">
      <c r="A197" s="51">
        <f>'A) Base RI'!A193</f>
        <v>5714</v>
      </c>
      <c r="B197" s="321" t="str">
        <f>'A) Base RI'!B193</f>
        <v>Crassier</v>
      </c>
      <c r="C197" s="10">
        <f>'A) Base RI'!AN193</f>
        <v>1161</v>
      </c>
      <c r="D197" s="15">
        <f>'C) Prél. conj.'!H191</f>
        <v>244465.14499999999</v>
      </c>
      <c r="E197" s="10">
        <f>'D) Ecrêtage'!L191</f>
        <v>422168.61221162323</v>
      </c>
      <c r="F197" s="15">
        <f>$F$10*'D) Ecrêtage'!M191</f>
        <v>1171775.643328337</v>
      </c>
      <c r="G197" s="59">
        <f t="shared" si="2"/>
        <v>1838409.4005399602</v>
      </c>
    </row>
    <row r="198" spans="1:7" x14ac:dyDescent="0.25">
      <c r="A198" s="51">
        <f>'A) Base RI'!A194</f>
        <v>5715</v>
      </c>
      <c r="B198" s="321" t="str">
        <f>'A) Base RI'!B194</f>
        <v>Duillier</v>
      </c>
      <c r="C198" s="10">
        <f>'A) Base RI'!AN194</f>
        <v>1078</v>
      </c>
      <c r="D198" s="15">
        <f>'C) Prél. conj.'!H192</f>
        <v>73632.489999999991</v>
      </c>
      <c r="E198" s="10">
        <f>'D) Ecrêtage'!L192</f>
        <v>0</v>
      </c>
      <c r="F198" s="15">
        <f>$F$10*'D) Ecrêtage'!M192</f>
        <v>891670.8698560996</v>
      </c>
      <c r="G198" s="59">
        <f t="shared" si="2"/>
        <v>965303.35985609959</v>
      </c>
    </row>
    <row r="199" spans="1:7" x14ac:dyDescent="0.25">
      <c r="A199" s="51">
        <f>'A) Base RI'!A195</f>
        <v>5716</v>
      </c>
      <c r="B199" s="321" t="str">
        <f>'A) Base RI'!B195</f>
        <v>Eysins</v>
      </c>
      <c r="C199" s="10">
        <f>'A) Base RI'!AN195</f>
        <v>1603</v>
      </c>
      <c r="D199" s="15">
        <f>'C) Prél. conj.'!H193</f>
        <v>481637.45</v>
      </c>
      <c r="E199" s="10">
        <f>'D) Ecrêtage'!L193</f>
        <v>1183462.0864071299</v>
      </c>
      <c r="F199" s="15">
        <f>$F$10*'D) Ecrêtage'!M193</f>
        <v>1853408.2902767092</v>
      </c>
      <c r="G199" s="59">
        <f t="shared" si="2"/>
        <v>3518507.8266838389</v>
      </c>
    </row>
    <row r="200" spans="1:7" x14ac:dyDescent="0.25">
      <c r="A200" s="51">
        <f>'A) Base RI'!A196</f>
        <v>5717</v>
      </c>
      <c r="B200" s="321" t="str">
        <f>'A) Base RI'!B196</f>
        <v>Founex</v>
      </c>
      <c r="C200" s="10">
        <f>'A) Base RI'!AN196</f>
        <v>3788</v>
      </c>
      <c r="D200" s="15">
        <f>'C) Prél. conj.'!H194</f>
        <v>1129692.99</v>
      </c>
      <c r="E200" s="10">
        <f>'D) Ecrêtage'!L194</f>
        <v>3154890.1079829363</v>
      </c>
      <c r="F200" s="15">
        <f>$F$10*'D) Ecrêtage'!M194</f>
        <v>4597177.8530817172</v>
      </c>
      <c r="G200" s="59">
        <f t="shared" si="2"/>
        <v>8881760.9510646537</v>
      </c>
    </row>
    <row r="201" spans="1:7" x14ac:dyDescent="0.25">
      <c r="A201" s="51">
        <f>'A) Base RI'!A197</f>
        <v>5718</v>
      </c>
      <c r="B201" s="321" t="str">
        <f>'A) Base RI'!B197</f>
        <v>Genolier</v>
      </c>
      <c r="C201" s="10">
        <f>'A) Base RI'!AN197</f>
        <v>1945</v>
      </c>
      <c r="D201" s="15">
        <f>'C) Prél. conj.'!H195</f>
        <v>510511.37</v>
      </c>
      <c r="E201" s="10">
        <f>'D) Ecrêtage'!L195</f>
        <v>1689820.7665559088</v>
      </c>
      <c r="F201" s="15">
        <f>$F$10*'D) Ecrêtage'!M195</f>
        <v>2411482.472211767</v>
      </c>
      <c r="G201" s="59">
        <f t="shared" si="2"/>
        <v>4611814.6087676762</v>
      </c>
    </row>
    <row r="202" spans="1:7" x14ac:dyDescent="0.25">
      <c r="A202" s="51">
        <f>'A) Base RI'!A198</f>
        <v>5719</v>
      </c>
      <c r="B202" s="321" t="str">
        <f>'A) Base RI'!B198</f>
        <v>Gingins</v>
      </c>
      <c r="C202" s="10">
        <f>'A) Base RI'!AN198</f>
        <v>1212</v>
      </c>
      <c r="D202" s="15">
        <f>'C) Prél. conj.'!H196</f>
        <v>385438.02500000002</v>
      </c>
      <c r="E202" s="10">
        <f>'D) Ecrêtage'!L196</f>
        <v>1696455.6307840748</v>
      </c>
      <c r="F202" s="15">
        <f>$F$10*'D) Ecrêtage'!M196</f>
        <v>1683735.358799946</v>
      </c>
      <c r="G202" s="59">
        <f t="shared" si="2"/>
        <v>3765629.0145840207</v>
      </c>
    </row>
    <row r="203" spans="1:7" x14ac:dyDescent="0.25">
      <c r="A203" s="51">
        <f>'A) Base RI'!A199</f>
        <v>5720</v>
      </c>
      <c r="B203" s="321" t="str">
        <f>'A) Base RI'!B199</f>
        <v>Givrins</v>
      </c>
      <c r="C203" s="10">
        <f>'A) Base RI'!AN199</f>
        <v>995</v>
      </c>
      <c r="D203" s="15">
        <f>'C) Prél. conj.'!H197</f>
        <v>78120.98</v>
      </c>
      <c r="E203" s="10">
        <f>'D) Ecrêtage'!L197</f>
        <v>398501.45007867471</v>
      </c>
      <c r="F203" s="15">
        <f>$F$10*'D) Ecrêtage'!M197</f>
        <v>1024361.2733735782</v>
      </c>
      <c r="G203" s="59">
        <f t="shared" si="2"/>
        <v>1500983.7034522528</v>
      </c>
    </row>
    <row r="204" spans="1:7" x14ac:dyDescent="0.25">
      <c r="A204" s="51">
        <f>'A) Base RI'!A200</f>
        <v>5721</v>
      </c>
      <c r="B204" s="321" t="str">
        <f>'A) Base RI'!B200</f>
        <v>Gland</v>
      </c>
      <c r="C204" s="10">
        <f>'A) Base RI'!AN200</f>
        <v>13081</v>
      </c>
      <c r="D204" s="15">
        <f>'C) Prél. conj.'!H198</f>
        <v>3906883.7749999999</v>
      </c>
      <c r="E204" s="10">
        <f>'D) Ecrêtage'!L198</f>
        <v>0</v>
      </c>
      <c r="F204" s="15">
        <f>$F$10*'D) Ecrêtage'!M198</f>
        <v>9038342.8470926657</v>
      </c>
      <c r="G204" s="59">
        <f t="shared" ref="G204:G267" si="3">D204+F204+E204</f>
        <v>12945226.622092666</v>
      </c>
    </row>
    <row r="205" spans="1:7" x14ac:dyDescent="0.25">
      <c r="A205" s="51">
        <f>'A) Base RI'!A201</f>
        <v>5722</v>
      </c>
      <c r="B205" s="321" t="str">
        <f>'A) Base RI'!B201</f>
        <v>Grens</v>
      </c>
      <c r="C205" s="10">
        <f>'A) Base RI'!AN201</f>
        <v>382</v>
      </c>
      <c r="D205" s="15">
        <f>'C) Prél. conj.'!H199</f>
        <v>25282.959999999999</v>
      </c>
      <c r="E205" s="10">
        <f>'D) Ecrêtage'!L199</f>
        <v>91266.367159195361</v>
      </c>
      <c r="F205" s="15">
        <f>$F$10*'D) Ecrêtage'!M199</f>
        <v>365599.59749541961</v>
      </c>
      <c r="G205" s="59">
        <f t="shared" si="3"/>
        <v>482148.924654615</v>
      </c>
    </row>
    <row r="206" spans="1:7" x14ac:dyDescent="0.25">
      <c r="A206" s="51">
        <f>'A) Base RI'!A202</f>
        <v>5723</v>
      </c>
      <c r="B206" s="321" t="str">
        <f>'A) Base RI'!B202</f>
        <v>Mies</v>
      </c>
      <c r="C206" s="10">
        <f>'A) Base RI'!AN202</f>
        <v>2037</v>
      </c>
      <c r="D206" s="15">
        <f>'C) Prél. conj.'!H200</f>
        <v>999869.16499999992</v>
      </c>
      <c r="E206" s="10">
        <f>'D) Ecrêtage'!L200</f>
        <v>9385495.3927530944</v>
      </c>
      <c r="F206" s="15">
        <f>$F$10*'D) Ecrêtage'!M200</f>
        <v>4808968.4373853682</v>
      </c>
      <c r="G206" s="59">
        <f t="shared" si="3"/>
        <v>15194332.995138463</v>
      </c>
    </row>
    <row r="207" spans="1:7" x14ac:dyDescent="0.25">
      <c r="A207" s="51">
        <f>'A) Base RI'!A203</f>
        <v>5724</v>
      </c>
      <c r="B207" s="321" t="str">
        <f>'A) Base RI'!B203</f>
        <v>Nyon</v>
      </c>
      <c r="C207" s="10">
        <f>'A) Base RI'!AN203</f>
        <v>20551</v>
      </c>
      <c r="D207" s="15">
        <f>'C) Prél. conj.'!H201</f>
        <v>5799299.2699999996</v>
      </c>
      <c r="E207" s="10">
        <f>'D) Ecrêtage'!L201</f>
        <v>3823573.8851375347</v>
      </c>
      <c r="F207" s="15">
        <f>$F$10*'D) Ecrêtage'!M201</f>
        <v>19141149.825880073</v>
      </c>
      <c r="G207" s="59">
        <f t="shared" si="3"/>
        <v>28764022.981017608</v>
      </c>
    </row>
    <row r="208" spans="1:7" x14ac:dyDescent="0.25">
      <c r="A208" s="51">
        <f>'A) Base RI'!A204</f>
        <v>5725</v>
      </c>
      <c r="B208" s="321" t="str">
        <f>'A) Base RI'!B204</f>
        <v>Prangins</v>
      </c>
      <c r="C208" s="10">
        <f>'A) Base RI'!AN204</f>
        <v>4069</v>
      </c>
      <c r="D208" s="15">
        <f>'C) Prél. conj.'!H202</f>
        <v>829161.28500000003</v>
      </c>
      <c r="E208" s="10">
        <f>'D) Ecrêtage'!L202</f>
        <v>1544474.6803080747</v>
      </c>
      <c r="F208" s="15">
        <f>$F$10*'D) Ecrêtage'!M202</f>
        <v>4208848.5839675916</v>
      </c>
      <c r="G208" s="59">
        <f t="shared" si="3"/>
        <v>6582484.5492756665</v>
      </c>
    </row>
    <row r="209" spans="1:7" x14ac:dyDescent="0.25">
      <c r="A209" s="51">
        <f>'A) Base RI'!A205</f>
        <v>5726</v>
      </c>
      <c r="B209" s="321" t="str">
        <f>'A) Base RI'!B205</f>
        <v>La Rippe</v>
      </c>
      <c r="C209" s="10">
        <f>'A) Base RI'!AN205</f>
        <v>1164</v>
      </c>
      <c r="D209" s="15">
        <f>'C) Prél. conj.'!H203</f>
        <v>172655.79499999998</v>
      </c>
      <c r="E209" s="10">
        <f>'D) Ecrêtage'!L203</f>
        <v>0</v>
      </c>
      <c r="F209" s="15">
        <f>$F$10*'D) Ecrêtage'!M203</f>
        <v>853881.64118908427</v>
      </c>
      <c r="G209" s="59">
        <f t="shared" si="3"/>
        <v>1026537.4361890843</v>
      </c>
    </row>
    <row r="210" spans="1:7" x14ac:dyDescent="0.25">
      <c r="A210" s="51">
        <f>'A) Base RI'!A206</f>
        <v>5727</v>
      </c>
      <c r="B210" s="321" t="str">
        <f>'A) Base RI'!B206</f>
        <v>Saint-Cergue</v>
      </c>
      <c r="C210" s="10">
        <f>'A) Base RI'!AN206</f>
        <v>2559</v>
      </c>
      <c r="D210" s="15">
        <f>'C) Prél. conj.'!H204</f>
        <v>340701.30999999994</v>
      </c>
      <c r="E210" s="10">
        <f>'D) Ecrêtage'!L204</f>
        <v>0</v>
      </c>
      <c r="F210" s="15">
        <f>$F$10*'D) Ecrêtage'!M204</f>
        <v>1508846.7294501092</v>
      </c>
      <c r="G210" s="59">
        <f t="shared" si="3"/>
        <v>1849548.039450109</v>
      </c>
    </row>
    <row r="211" spans="1:7" x14ac:dyDescent="0.25">
      <c r="A211" s="51">
        <f>'A) Base RI'!A207</f>
        <v>5728</v>
      </c>
      <c r="B211" s="321" t="str">
        <f>'A) Base RI'!B207</f>
        <v>Signy-Avenex</v>
      </c>
      <c r="C211" s="10">
        <f>'A) Base RI'!AN207</f>
        <v>567</v>
      </c>
      <c r="D211" s="15">
        <f>'C) Prél. conj.'!H205</f>
        <v>145128.44500000001</v>
      </c>
      <c r="E211" s="10">
        <f>'D) Ecrêtage'!L205</f>
        <v>159788.5758691986</v>
      </c>
      <c r="F211" s="15">
        <f>$F$10*'D) Ecrêtage'!M205</f>
        <v>560869.13115336502</v>
      </c>
      <c r="G211" s="59">
        <f t="shared" si="3"/>
        <v>865786.15202256362</v>
      </c>
    </row>
    <row r="212" spans="1:7" x14ac:dyDescent="0.25">
      <c r="A212" s="51">
        <f>'A) Base RI'!A208</f>
        <v>5729</v>
      </c>
      <c r="B212" s="321" t="str">
        <f>'A) Base RI'!B208</f>
        <v>Tannay</v>
      </c>
      <c r="C212" s="10">
        <f>'A) Base RI'!AN208</f>
        <v>1585</v>
      </c>
      <c r="D212" s="15">
        <f>'C) Prél. conj.'!H206</f>
        <v>563243.63</v>
      </c>
      <c r="E212" s="10">
        <f>'D) Ecrêtage'!L206</f>
        <v>2504484.8448420977</v>
      </c>
      <c r="F212" s="15">
        <f>$F$10*'D) Ecrêtage'!M206</f>
        <v>2238326.1403320241</v>
      </c>
      <c r="G212" s="59">
        <f t="shared" si="3"/>
        <v>5306054.6151741222</v>
      </c>
    </row>
    <row r="213" spans="1:7" x14ac:dyDescent="0.25">
      <c r="A213" s="51">
        <f>'A) Base RI'!A209</f>
        <v>5730</v>
      </c>
      <c r="B213" s="321" t="str">
        <f>'A) Base RI'!B209</f>
        <v>Trélex</v>
      </c>
      <c r="C213" s="10">
        <f>'A) Base RI'!AN209</f>
        <v>1405</v>
      </c>
      <c r="D213" s="15">
        <f>'C) Prél. conj.'!H207</f>
        <v>268123.64499999996</v>
      </c>
      <c r="E213" s="10">
        <f>'D) Ecrêtage'!L207</f>
        <v>601250.62082032789</v>
      </c>
      <c r="F213" s="15">
        <f>$F$10*'D) Ecrêtage'!M207</f>
        <v>1476744.7215421307</v>
      </c>
      <c r="G213" s="59">
        <f t="shared" si="3"/>
        <v>2346118.9873624584</v>
      </c>
    </row>
    <row r="214" spans="1:7" x14ac:dyDescent="0.25">
      <c r="A214" s="51">
        <f>'A) Base RI'!A210</f>
        <v>5731</v>
      </c>
      <c r="B214" s="321" t="str">
        <f>'A) Base RI'!B210</f>
        <v>Le Vaud</v>
      </c>
      <c r="C214" s="10">
        <f>'A) Base RI'!AN210</f>
        <v>1283</v>
      </c>
      <c r="D214" s="15">
        <f>'C) Prél. conj.'!H208</f>
        <v>182642.22500000001</v>
      </c>
      <c r="E214" s="10">
        <f>'D) Ecrêtage'!L208</f>
        <v>0</v>
      </c>
      <c r="F214" s="15">
        <f>$F$10*'D) Ecrêtage'!M208</f>
        <v>764171.46487342322</v>
      </c>
      <c r="G214" s="59">
        <f t="shared" si="3"/>
        <v>946813.68987342319</v>
      </c>
    </row>
    <row r="215" spans="1:7" x14ac:dyDescent="0.25">
      <c r="A215" s="51">
        <f>'A) Base RI'!A211</f>
        <v>5732</v>
      </c>
      <c r="B215" s="321" t="str">
        <f>'A) Base RI'!B211</f>
        <v>Vich</v>
      </c>
      <c r="C215" s="10">
        <f>'A) Base RI'!AN211</f>
        <v>1026</v>
      </c>
      <c r="D215" s="15">
        <f>'C) Prél. conj.'!H209</f>
        <v>301060.46500000003</v>
      </c>
      <c r="E215" s="10">
        <f>'D) Ecrêtage'!L209</f>
        <v>156587.57684828294</v>
      </c>
      <c r="F215" s="15">
        <f>$F$10*'D) Ecrêtage'!M209</f>
        <v>929205.1382368803</v>
      </c>
      <c r="G215" s="59">
        <f t="shared" si="3"/>
        <v>1386853.1800851633</v>
      </c>
    </row>
    <row r="216" spans="1:7" x14ac:dyDescent="0.25">
      <c r="A216" s="51">
        <f>'A) Base RI'!A212</f>
        <v>5741</v>
      </c>
      <c r="B216" s="321" t="str">
        <f>'A) Base RI'!B212</f>
        <v>L'Abergement</v>
      </c>
      <c r="C216" s="10">
        <f>'A) Base RI'!AN212</f>
        <v>237</v>
      </c>
      <c r="D216" s="15">
        <f>'C) Prél. conj.'!H210</f>
        <v>31838.149999999998</v>
      </c>
      <c r="E216" s="10">
        <f>'D) Ecrêtage'!L210</f>
        <v>0</v>
      </c>
      <c r="F216" s="15">
        <f>$F$10*'D) Ecrêtage'!M210</f>
        <v>99863.421120361105</v>
      </c>
      <c r="G216" s="59">
        <f t="shared" si="3"/>
        <v>131701.5711203611</v>
      </c>
    </row>
    <row r="217" spans="1:7" x14ac:dyDescent="0.25">
      <c r="A217" s="51">
        <f>'A) Base RI'!A213</f>
        <v>5742</v>
      </c>
      <c r="B217" s="321" t="str">
        <f>'A) Base RI'!B213</f>
        <v>Agiez</v>
      </c>
      <c r="C217" s="10">
        <f>'A) Base RI'!AN213</f>
        <v>314</v>
      </c>
      <c r="D217" s="15">
        <f>'C) Prél. conj.'!H211</f>
        <v>36779.445</v>
      </c>
      <c r="E217" s="10">
        <f>'D) Ecrêtage'!L211</f>
        <v>0</v>
      </c>
      <c r="F217" s="15">
        <f>$F$10*'D) Ecrêtage'!M211</f>
        <v>141808.25417752672</v>
      </c>
      <c r="G217" s="59">
        <f t="shared" si="3"/>
        <v>178587.69917752672</v>
      </c>
    </row>
    <row r="218" spans="1:7" x14ac:dyDescent="0.25">
      <c r="A218" s="51">
        <f>'A) Base RI'!A214</f>
        <v>5743</v>
      </c>
      <c r="B218" s="321" t="str">
        <f>'A) Base RI'!B214</f>
        <v>Arnex-sur-Orbe</v>
      </c>
      <c r="C218" s="10">
        <f>'A) Base RI'!AN214</f>
        <v>642</v>
      </c>
      <c r="D218" s="15">
        <f>'C) Prél. conj.'!H212</f>
        <v>84353.115000000005</v>
      </c>
      <c r="E218" s="10">
        <f>'D) Ecrêtage'!L212</f>
        <v>0</v>
      </c>
      <c r="F218" s="15">
        <f>$F$10*'D) Ecrêtage'!M212</f>
        <v>265301.69715632848</v>
      </c>
      <c r="G218" s="59">
        <f t="shared" si="3"/>
        <v>349654.81215632847</v>
      </c>
    </row>
    <row r="219" spans="1:7" x14ac:dyDescent="0.25">
      <c r="A219" s="51">
        <f>'A) Base RI'!A215</f>
        <v>5744</v>
      </c>
      <c r="B219" s="321" t="str">
        <f>'A) Base RI'!B215</f>
        <v>Ballaigues</v>
      </c>
      <c r="C219" s="10">
        <f>'A) Base RI'!AN215</f>
        <v>1095</v>
      </c>
      <c r="D219" s="15">
        <f>'C) Prél. conj.'!H213</f>
        <v>459271.65</v>
      </c>
      <c r="E219" s="10">
        <f>'D) Ecrêtage'!L213</f>
        <v>0</v>
      </c>
      <c r="F219" s="15">
        <f>$F$10*'D) Ecrêtage'!M213</f>
        <v>912512.73114546342</v>
      </c>
      <c r="G219" s="59">
        <f t="shared" si="3"/>
        <v>1371784.3811454633</v>
      </c>
    </row>
    <row r="220" spans="1:7" x14ac:dyDescent="0.25">
      <c r="A220" s="51">
        <f>'A) Base RI'!A216</f>
        <v>5745</v>
      </c>
      <c r="B220" s="321" t="str">
        <f>'A) Base RI'!B216</f>
        <v>Baulmes</v>
      </c>
      <c r="C220" s="10">
        <f>'A) Base RI'!AN216</f>
        <v>1053</v>
      </c>
      <c r="D220" s="15">
        <f>'C) Prél. conj.'!H214</f>
        <v>93647.095000000001</v>
      </c>
      <c r="E220" s="10">
        <f>'D) Ecrêtage'!L214</f>
        <v>0</v>
      </c>
      <c r="F220" s="15">
        <f>$F$10*'D) Ecrêtage'!M214</f>
        <v>386186.47332664276</v>
      </c>
      <c r="G220" s="59">
        <f t="shared" si="3"/>
        <v>479833.56832664274</v>
      </c>
    </row>
    <row r="221" spans="1:7" x14ac:dyDescent="0.25">
      <c r="A221" s="51">
        <f>'A) Base RI'!A217</f>
        <v>5746</v>
      </c>
      <c r="B221" s="321" t="str">
        <f>'A) Base RI'!B217</f>
        <v>Bavois</v>
      </c>
      <c r="C221" s="10">
        <f>'A) Base RI'!AN217</f>
        <v>928</v>
      </c>
      <c r="D221" s="15">
        <f>'C) Prél. conj.'!H215</f>
        <v>82160.72</v>
      </c>
      <c r="E221" s="10">
        <f>'D) Ecrêtage'!L215</f>
        <v>0</v>
      </c>
      <c r="F221" s="15">
        <f>$F$10*'D) Ecrêtage'!M215</f>
        <v>391575.61254514829</v>
      </c>
      <c r="G221" s="59">
        <f t="shared" si="3"/>
        <v>473736.33254514833</v>
      </c>
    </row>
    <row r="222" spans="1:7" x14ac:dyDescent="0.25">
      <c r="A222" s="51">
        <f>'A) Base RI'!A218</f>
        <v>5747</v>
      </c>
      <c r="B222" s="321" t="str">
        <f>'A) Base RI'!B218</f>
        <v>Bofflens</v>
      </c>
      <c r="C222" s="10">
        <f>'A) Base RI'!AN218</f>
        <v>191</v>
      </c>
      <c r="D222" s="15">
        <f>'C) Prél. conj.'!H216</f>
        <v>505.6</v>
      </c>
      <c r="E222" s="10">
        <f>'D) Ecrêtage'!L216</f>
        <v>0</v>
      </c>
      <c r="F222" s="15">
        <f>$F$10*'D) Ecrêtage'!M216</f>
        <v>81192.360968204201</v>
      </c>
      <c r="G222" s="59">
        <f t="shared" si="3"/>
        <v>81697.960968204206</v>
      </c>
    </row>
    <row r="223" spans="1:7" x14ac:dyDescent="0.25">
      <c r="A223" s="51">
        <f>'A) Base RI'!A219</f>
        <v>5748</v>
      </c>
      <c r="B223" s="321" t="str">
        <f>'A) Base RI'!B219</f>
        <v>Bretonnières</v>
      </c>
      <c r="C223" s="10">
        <f>'A) Base RI'!AN219</f>
        <v>262</v>
      </c>
      <c r="D223" s="15">
        <f>'C) Prél. conj.'!H217</f>
        <v>108917.405</v>
      </c>
      <c r="E223" s="10">
        <f>'D) Ecrêtage'!L217</f>
        <v>0</v>
      </c>
      <c r="F223" s="15">
        <f>$F$10*'D) Ecrêtage'!M217</f>
        <v>115423.45524347559</v>
      </c>
      <c r="G223" s="59">
        <f t="shared" si="3"/>
        <v>224340.86024347559</v>
      </c>
    </row>
    <row r="224" spans="1:7" x14ac:dyDescent="0.25">
      <c r="A224" s="51">
        <f>'A) Base RI'!A220</f>
        <v>5749</v>
      </c>
      <c r="B224" s="321" t="str">
        <f>'A) Base RI'!B220</f>
        <v>Chavornay</v>
      </c>
      <c r="C224" s="10">
        <f>'A) Base RI'!AN220</f>
        <v>4908</v>
      </c>
      <c r="D224" s="15">
        <f>'C) Prél. conj.'!H218</f>
        <v>434587.97</v>
      </c>
      <c r="E224" s="10">
        <f>'D) Ecrêtage'!L218</f>
        <v>0</v>
      </c>
      <c r="F224" s="15">
        <f>$F$10*'D) Ecrêtage'!M218</f>
        <v>2051998.9098103985</v>
      </c>
      <c r="G224" s="59">
        <f t="shared" si="3"/>
        <v>2486586.8798103984</v>
      </c>
    </row>
    <row r="225" spans="1:7" x14ac:dyDescent="0.25">
      <c r="A225" s="51">
        <f>'A) Base RI'!A221</f>
        <v>5750</v>
      </c>
      <c r="B225" s="321" t="str">
        <f>'A) Base RI'!B221</f>
        <v>Les Clées</v>
      </c>
      <c r="C225" s="10">
        <f>'A) Base RI'!AN221</f>
        <v>181</v>
      </c>
      <c r="D225" s="15">
        <f>'C) Prél. conj.'!H219</f>
        <v>10370.775</v>
      </c>
      <c r="E225" s="10">
        <f>'D) Ecrêtage'!L219</f>
        <v>0</v>
      </c>
      <c r="F225" s="15">
        <f>$F$10*'D) Ecrêtage'!M219</f>
        <v>75864.187199050444</v>
      </c>
      <c r="G225" s="59">
        <f t="shared" si="3"/>
        <v>86234.962199050438</v>
      </c>
    </row>
    <row r="226" spans="1:7" x14ac:dyDescent="0.25">
      <c r="A226" s="51">
        <f>'A) Base RI'!A222</f>
        <v>5752</v>
      </c>
      <c r="B226" s="321" t="str">
        <f>'A) Base RI'!B222</f>
        <v>Croy</v>
      </c>
      <c r="C226" s="10">
        <f>'A) Base RI'!AN222</f>
        <v>379</v>
      </c>
      <c r="D226" s="15">
        <f>'C) Prél. conj.'!H220</f>
        <v>22606.535</v>
      </c>
      <c r="E226" s="10">
        <f>'D) Ecrêtage'!L220</f>
        <v>0</v>
      </c>
      <c r="F226" s="15">
        <f>$F$10*'D) Ecrêtage'!M220</f>
        <v>167997.05427053402</v>
      </c>
      <c r="G226" s="59">
        <f t="shared" si="3"/>
        <v>190603.58927053402</v>
      </c>
    </row>
    <row r="227" spans="1:7" x14ac:dyDescent="0.25">
      <c r="A227" s="51">
        <f>'A) Base RI'!A223</f>
        <v>5754</v>
      </c>
      <c r="B227" s="321" t="str">
        <f>'A) Base RI'!B223</f>
        <v>Juriens</v>
      </c>
      <c r="C227" s="10">
        <f>'A) Base RI'!AN223</f>
        <v>309</v>
      </c>
      <c r="D227" s="15">
        <f>'C) Prél. conj.'!H221</f>
        <v>4553.8450000000003</v>
      </c>
      <c r="E227" s="10">
        <f>'D) Ecrêtage'!L221</f>
        <v>0</v>
      </c>
      <c r="F227" s="15">
        <f>$F$10*'D) Ecrêtage'!M221</f>
        <v>122175.94233424401</v>
      </c>
      <c r="G227" s="59">
        <f t="shared" si="3"/>
        <v>126729.78733424401</v>
      </c>
    </row>
    <row r="228" spans="1:7" x14ac:dyDescent="0.25">
      <c r="A228" s="51">
        <f>'A) Base RI'!A224</f>
        <v>5755</v>
      </c>
      <c r="B228" s="321" t="str">
        <f>'A) Base RI'!B224</f>
        <v>Lignerolle</v>
      </c>
      <c r="C228" s="10">
        <f>'A) Base RI'!AN224</f>
        <v>417</v>
      </c>
      <c r="D228" s="15">
        <f>'C) Prél. conj.'!H222</f>
        <v>23383.940000000002</v>
      </c>
      <c r="E228" s="10">
        <f>'D) Ecrêtage'!L222</f>
        <v>0</v>
      </c>
      <c r="F228" s="15">
        <f>$F$10*'D) Ecrêtage'!M222</f>
        <v>141330.23439963048</v>
      </c>
      <c r="G228" s="59">
        <f t="shared" si="3"/>
        <v>164714.17439963049</v>
      </c>
    </row>
    <row r="229" spans="1:7" x14ac:dyDescent="0.25">
      <c r="A229" s="51">
        <f>'A) Base RI'!A225</f>
        <v>5756</v>
      </c>
      <c r="B229" s="321" t="str">
        <f>'A) Base RI'!B225</f>
        <v>Montcherand</v>
      </c>
      <c r="C229" s="10">
        <f>'A) Base RI'!AN225</f>
        <v>482</v>
      </c>
      <c r="D229" s="15">
        <f>'C) Prél. conj.'!H223</f>
        <v>23986.71</v>
      </c>
      <c r="E229" s="10">
        <f>'D) Ecrêtage'!L223</f>
        <v>0</v>
      </c>
      <c r="F229" s="15">
        <f>$F$10*'D) Ecrêtage'!M223</f>
        <v>281106.98649804626</v>
      </c>
      <c r="G229" s="59">
        <f t="shared" si="3"/>
        <v>305093.69649804628</v>
      </c>
    </row>
    <row r="230" spans="1:7" x14ac:dyDescent="0.25">
      <c r="A230" s="51">
        <f>'A) Base RI'!A226</f>
        <v>5757</v>
      </c>
      <c r="B230" s="321" t="str">
        <f>'A) Base RI'!B226</f>
        <v>Orbe</v>
      </c>
      <c r="C230" s="10">
        <f>'A) Base RI'!AN226</f>
        <v>6985</v>
      </c>
      <c r="D230" s="15">
        <f>'C) Prél. conj.'!H224</f>
        <v>1228819.8799999999</v>
      </c>
      <c r="E230" s="10">
        <f>'D) Ecrêtage'!L224</f>
        <v>0</v>
      </c>
      <c r="F230" s="15">
        <f>$F$10*'D) Ecrêtage'!M224</f>
        <v>3092416.0680329348</v>
      </c>
      <c r="G230" s="59">
        <f t="shared" si="3"/>
        <v>4321235.9480329342</v>
      </c>
    </row>
    <row r="231" spans="1:7" x14ac:dyDescent="0.25">
      <c r="A231" s="51">
        <f>'A) Base RI'!A227</f>
        <v>5758</v>
      </c>
      <c r="B231" s="321" t="str">
        <f>'A) Base RI'!B227</f>
        <v>La Praz</v>
      </c>
      <c r="C231" s="10">
        <f>'A) Base RI'!AN227</f>
        <v>160</v>
      </c>
      <c r="D231" s="15">
        <f>'C) Prél. conj.'!H225</f>
        <v>26383.899999999998</v>
      </c>
      <c r="E231" s="10">
        <f>'D) Ecrêtage'!L225</f>
        <v>0</v>
      </c>
      <c r="F231" s="15">
        <f>$F$10*'D) Ecrêtage'!M225</f>
        <v>48501.459072156351</v>
      </c>
      <c r="G231" s="59">
        <f t="shared" si="3"/>
        <v>74885.359072156352</v>
      </c>
    </row>
    <row r="232" spans="1:7" x14ac:dyDescent="0.25">
      <c r="A232" s="51">
        <f>'A) Base RI'!A228</f>
        <v>5759</v>
      </c>
      <c r="B232" s="321" t="str">
        <f>'A) Base RI'!B228</f>
        <v>Premier</v>
      </c>
      <c r="C232" s="10">
        <f>'A) Base RI'!AN228</f>
        <v>210</v>
      </c>
      <c r="D232" s="15">
        <f>'C) Prél. conj.'!H226</f>
        <v>19510.445</v>
      </c>
      <c r="E232" s="10">
        <f>'D) Ecrêtage'!L226</f>
        <v>0</v>
      </c>
      <c r="F232" s="15">
        <f>$F$10*'D) Ecrêtage'!M226</f>
        <v>71062.401933108922</v>
      </c>
      <c r="G232" s="59">
        <f t="shared" si="3"/>
        <v>90572.846933108929</v>
      </c>
    </row>
    <row r="233" spans="1:7" x14ac:dyDescent="0.25">
      <c r="A233" s="51">
        <f>'A) Base RI'!A229</f>
        <v>5760</v>
      </c>
      <c r="B233" s="321" t="str">
        <f>'A) Base RI'!B229</f>
        <v>Rances</v>
      </c>
      <c r="C233" s="10">
        <f>'A) Base RI'!AN229</f>
        <v>485</v>
      </c>
      <c r="D233" s="15">
        <f>'C) Prél. conj.'!H227</f>
        <v>23248.14</v>
      </c>
      <c r="E233" s="10">
        <f>'D) Ecrêtage'!L227</f>
        <v>0</v>
      </c>
      <c r="F233" s="15">
        <f>$F$10*'D) Ecrêtage'!M227</f>
        <v>157192.192878681</v>
      </c>
      <c r="G233" s="59">
        <f t="shared" si="3"/>
        <v>180440.33287868102</v>
      </c>
    </row>
    <row r="234" spans="1:7" x14ac:dyDescent="0.25">
      <c r="A234" s="51">
        <f>'A) Base RI'!A230</f>
        <v>5761</v>
      </c>
      <c r="B234" s="321" t="str">
        <f>'A) Base RI'!B230</f>
        <v>Romainmôtier-Envy</v>
      </c>
      <c r="C234" s="10">
        <f>'A) Base RI'!AN230</f>
        <v>551</v>
      </c>
      <c r="D234" s="15">
        <f>'C) Prél. conj.'!H228</f>
        <v>58185.875</v>
      </c>
      <c r="E234" s="10">
        <f>'D) Ecrêtage'!L228</f>
        <v>0</v>
      </c>
      <c r="F234" s="15">
        <f>$F$10*'D) Ecrêtage'!M228</f>
        <v>193575.3991865399</v>
      </c>
      <c r="G234" s="59">
        <f t="shared" si="3"/>
        <v>251761.2741865399</v>
      </c>
    </row>
    <row r="235" spans="1:7" x14ac:dyDescent="0.25">
      <c r="A235" s="51">
        <f>'A) Base RI'!A231</f>
        <v>5762</v>
      </c>
      <c r="B235" s="321" t="str">
        <f>'A) Base RI'!B231</f>
        <v>Sergey</v>
      </c>
      <c r="C235" s="10">
        <f>'A) Base RI'!AN231</f>
        <v>137</v>
      </c>
      <c r="D235" s="15">
        <f>'C) Prél. conj.'!H229</f>
        <v>3199.56</v>
      </c>
      <c r="E235" s="10">
        <f>'D) Ecrêtage'!L229</f>
        <v>0</v>
      </c>
      <c r="F235" s="15">
        <f>$F$10*'D) Ecrêtage'!M229</f>
        <v>60659.140165224017</v>
      </c>
      <c r="G235" s="59">
        <f t="shared" si="3"/>
        <v>63858.700165224014</v>
      </c>
    </row>
    <row r="236" spans="1:7" x14ac:dyDescent="0.25">
      <c r="A236" s="51">
        <f>'A) Base RI'!A232</f>
        <v>5763</v>
      </c>
      <c r="B236" s="321" t="str">
        <f>'A) Base RI'!B232</f>
        <v>Valeyres-sous-Rances</v>
      </c>
      <c r="C236" s="10">
        <f>'A) Base RI'!AN232</f>
        <v>631</v>
      </c>
      <c r="D236" s="15">
        <f>'C) Prél. conj.'!H230</f>
        <v>38386.629999999997</v>
      </c>
      <c r="E236" s="10">
        <f>'D) Ecrêtage'!L230</f>
        <v>0</v>
      </c>
      <c r="F236" s="15">
        <f>$F$10*'D) Ecrêtage'!M230</f>
        <v>301077.30086287303</v>
      </c>
      <c r="G236" s="59">
        <f t="shared" si="3"/>
        <v>339463.93086287304</v>
      </c>
    </row>
    <row r="237" spans="1:7" x14ac:dyDescent="0.25">
      <c r="A237" s="51">
        <f>'A) Base RI'!A233</f>
        <v>5764</v>
      </c>
      <c r="B237" s="321" t="str">
        <f>'A) Base RI'!B233</f>
        <v>Vallorbe</v>
      </c>
      <c r="C237" s="10">
        <f>'A) Base RI'!AN233</f>
        <v>3851</v>
      </c>
      <c r="D237" s="15">
        <f>'C) Prél. conj.'!H231</f>
        <v>781182.42999999993</v>
      </c>
      <c r="E237" s="10">
        <f>'D) Ecrêtage'!L231</f>
        <v>0</v>
      </c>
      <c r="F237" s="15">
        <f>$F$10*'D) Ecrêtage'!M231</f>
        <v>1251757.7333834572</v>
      </c>
      <c r="G237" s="59">
        <f t="shared" si="3"/>
        <v>2032940.1633834571</v>
      </c>
    </row>
    <row r="238" spans="1:7" x14ac:dyDescent="0.25">
      <c r="A238" s="51">
        <f>'A) Base RI'!A234</f>
        <v>5765</v>
      </c>
      <c r="B238" s="321" t="str">
        <f>'A) Base RI'!B234</f>
        <v>Vaulion</v>
      </c>
      <c r="C238" s="10">
        <f>'A) Base RI'!AN234</f>
        <v>482</v>
      </c>
      <c r="D238" s="15">
        <f>'C) Prél. conj.'!H232</f>
        <v>24027.93</v>
      </c>
      <c r="E238" s="10">
        <f>'D) Ecrêtage'!L232</f>
        <v>0</v>
      </c>
      <c r="F238" s="15">
        <f>$F$10*'D) Ecrêtage'!M232</f>
        <v>143960.28464778449</v>
      </c>
      <c r="G238" s="59">
        <f t="shared" si="3"/>
        <v>167988.21464778448</v>
      </c>
    </row>
    <row r="239" spans="1:7" x14ac:dyDescent="0.25">
      <c r="A239" s="51">
        <f>'A) Base RI'!A235</f>
        <v>5766</v>
      </c>
      <c r="B239" s="321" t="str">
        <f>'A) Base RI'!B235</f>
        <v>Vuiteboeuf</v>
      </c>
      <c r="C239" s="10">
        <f>'A) Base RI'!AN235</f>
        <v>574</v>
      </c>
      <c r="D239" s="15">
        <f>'C) Prél. conj.'!H233</f>
        <v>45706.700000000004</v>
      </c>
      <c r="E239" s="10">
        <f>'D) Ecrêtage'!L233</f>
        <v>0</v>
      </c>
      <c r="F239" s="15">
        <f>$F$10*'D) Ecrêtage'!M233</f>
        <v>195941.02267559938</v>
      </c>
      <c r="G239" s="59">
        <f t="shared" si="3"/>
        <v>241647.72267559939</v>
      </c>
    </row>
    <row r="240" spans="1:7" x14ac:dyDescent="0.25">
      <c r="A240" s="51">
        <f>'A) Base RI'!A236</f>
        <v>5785</v>
      </c>
      <c r="B240" s="321" t="str">
        <f>'A) Base RI'!B236</f>
        <v>Corcelles-le-Jorat</v>
      </c>
      <c r="C240" s="10">
        <f>'A) Base RI'!AN236</f>
        <v>460</v>
      </c>
      <c r="D240" s="15">
        <f>'C) Prél. conj.'!H234</f>
        <v>35686.224999999999</v>
      </c>
      <c r="E240" s="10">
        <f>'D) Ecrêtage'!L234</f>
        <v>0</v>
      </c>
      <c r="F240" s="15">
        <f>$F$10*'D) Ecrêtage'!M234</f>
        <v>229180.05370905274</v>
      </c>
      <c r="G240" s="59">
        <f t="shared" si="3"/>
        <v>264866.27870905271</v>
      </c>
    </row>
    <row r="241" spans="1:7" x14ac:dyDescent="0.25">
      <c r="A241" s="51">
        <f>'A) Base RI'!A237</f>
        <v>5788</v>
      </c>
      <c r="B241" s="321" t="str">
        <f>'A) Base RI'!B237</f>
        <v>Essertes</v>
      </c>
      <c r="C241" s="10">
        <f>'A) Base RI'!AN237</f>
        <v>346</v>
      </c>
      <c r="D241" s="15">
        <f>'C) Prél. conj.'!H235</f>
        <v>61819.3</v>
      </c>
      <c r="E241" s="10">
        <f>'D) Ecrêtage'!L235</f>
        <v>0</v>
      </c>
      <c r="F241" s="15">
        <f>$F$10*'D) Ecrêtage'!M235</f>
        <v>173592.22447845468</v>
      </c>
      <c r="G241" s="59">
        <f t="shared" si="3"/>
        <v>235411.52447845467</v>
      </c>
    </row>
    <row r="242" spans="1:7" x14ac:dyDescent="0.25">
      <c r="A242" s="51">
        <f>'A) Base RI'!A238</f>
        <v>5790</v>
      </c>
      <c r="B242" s="321" t="str">
        <f>'A) Base RI'!B238</f>
        <v>Maracon</v>
      </c>
      <c r="C242" s="10">
        <f>'A) Base RI'!AN238</f>
        <v>477</v>
      </c>
      <c r="D242" s="15">
        <f>'C) Prél. conj.'!H236</f>
        <v>55696.03</v>
      </c>
      <c r="E242" s="10">
        <f>'D) Ecrêtage'!L236</f>
        <v>0</v>
      </c>
      <c r="F242" s="15">
        <f>$F$10*'D) Ecrêtage'!M236</f>
        <v>181815.6560228951</v>
      </c>
      <c r="G242" s="59">
        <f t="shared" si="3"/>
        <v>237511.6860228951</v>
      </c>
    </row>
    <row r="243" spans="1:7" x14ac:dyDescent="0.25">
      <c r="A243" s="51">
        <f>'A) Base RI'!A239</f>
        <v>5792</v>
      </c>
      <c r="B243" s="321" t="str">
        <f>'A) Base RI'!B239</f>
        <v>Montpreveyres</v>
      </c>
      <c r="C243" s="10">
        <f>'A) Base RI'!AN239</f>
        <v>648</v>
      </c>
      <c r="D243" s="15">
        <f>'C) Prél. conj.'!H237</f>
        <v>61133.125</v>
      </c>
      <c r="E243" s="10">
        <f>'D) Ecrêtage'!L237</f>
        <v>0</v>
      </c>
      <c r="F243" s="15">
        <f>$F$10*'D) Ecrêtage'!M237</f>
        <v>263115.90704841894</v>
      </c>
      <c r="G243" s="59">
        <f t="shared" si="3"/>
        <v>324249.03204841894</v>
      </c>
    </row>
    <row r="244" spans="1:7" x14ac:dyDescent="0.25">
      <c r="A244" s="51">
        <f>'A) Base RI'!A240</f>
        <v>5798</v>
      </c>
      <c r="B244" s="321" t="str">
        <f>'A) Base RI'!B240</f>
        <v>Ropraz</v>
      </c>
      <c r="C244" s="10">
        <f>'A) Base RI'!AN240</f>
        <v>450</v>
      </c>
      <c r="D244" s="15">
        <f>'C) Prél. conj.'!H238</f>
        <v>53096.625</v>
      </c>
      <c r="E244" s="10">
        <f>'D) Ecrêtage'!L238</f>
        <v>0</v>
      </c>
      <c r="F244" s="15">
        <f>$F$10*'D) Ecrêtage'!M238</f>
        <v>211648.2785242738</v>
      </c>
      <c r="G244" s="59">
        <f t="shared" si="3"/>
        <v>264744.90352427377</v>
      </c>
    </row>
    <row r="245" spans="1:7" x14ac:dyDescent="0.25">
      <c r="A245" s="51">
        <f>'A) Base RI'!A241</f>
        <v>5799</v>
      </c>
      <c r="B245" s="321" t="str">
        <f>'A) Base RI'!B241</f>
        <v>Servion</v>
      </c>
      <c r="C245" s="10">
        <f>'A) Base RI'!AN241</f>
        <v>1904</v>
      </c>
      <c r="D245" s="15">
        <f>'C) Prél. conj.'!H239</f>
        <v>123615.67</v>
      </c>
      <c r="E245" s="10">
        <f>'D) Ecrêtage'!L239</f>
        <v>0</v>
      </c>
      <c r="F245" s="15">
        <f>$F$10*'D) Ecrêtage'!M239</f>
        <v>987124.2546754455</v>
      </c>
      <c r="G245" s="59">
        <f t="shared" si="3"/>
        <v>1110739.9246754455</v>
      </c>
    </row>
    <row r="246" spans="1:7" x14ac:dyDescent="0.25">
      <c r="A246" s="51">
        <f>'A) Base RI'!A242</f>
        <v>5803</v>
      </c>
      <c r="B246" s="321" t="str">
        <f>'A) Base RI'!B242</f>
        <v>Vulliens</v>
      </c>
      <c r="C246" s="10">
        <f>'A) Base RI'!AN242</f>
        <v>515</v>
      </c>
      <c r="D246" s="15">
        <f>'C) Prél. conj.'!H240</f>
        <v>44312.850000000006</v>
      </c>
      <c r="E246" s="10">
        <f>'D) Ecrêtage'!L240</f>
        <v>0</v>
      </c>
      <c r="F246" s="15">
        <f>$F$10*'D) Ecrêtage'!M240</f>
        <v>234902.58554320634</v>
      </c>
      <c r="G246" s="59">
        <f t="shared" si="3"/>
        <v>279215.43554320635</v>
      </c>
    </row>
    <row r="247" spans="1:7" x14ac:dyDescent="0.25">
      <c r="A247" s="51">
        <f>'A) Base RI'!A243</f>
        <v>5804</v>
      </c>
      <c r="B247" s="321" t="str">
        <f>'A) Base RI'!B243</f>
        <v>Jorat-Menthue</v>
      </c>
      <c r="C247" s="10">
        <f>'A) Base RI'!AN243</f>
        <v>1532</v>
      </c>
      <c r="D247" s="15">
        <f>'C) Prél. conj.'!H241</f>
        <v>121843.73500000002</v>
      </c>
      <c r="E247" s="10">
        <f>'D) Ecrêtage'!L241</f>
        <v>0</v>
      </c>
      <c r="F247" s="15">
        <f>$F$10*'D) Ecrêtage'!M241</f>
        <v>706027.10074876796</v>
      </c>
      <c r="G247" s="59">
        <f t="shared" si="3"/>
        <v>827870.83574876795</v>
      </c>
    </row>
    <row r="248" spans="1:7" x14ac:dyDescent="0.25">
      <c r="A248" s="51">
        <f>'A) Base RI'!A244</f>
        <v>5805</v>
      </c>
      <c r="B248" s="321" t="str">
        <f>'A) Base RI'!B244</f>
        <v>Oron</v>
      </c>
      <c r="C248" s="10">
        <f>'A) Base RI'!AN244</f>
        <v>5463</v>
      </c>
      <c r="D248" s="15">
        <f>'C) Prél. conj.'!H242</f>
        <v>447660.70499999996</v>
      </c>
      <c r="E248" s="10">
        <f>'D) Ecrêtage'!L242</f>
        <v>0</v>
      </c>
      <c r="F248" s="15">
        <f>$F$10*'D) Ecrêtage'!M242</f>
        <v>2228386.7698714444</v>
      </c>
      <c r="G248" s="59">
        <f t="shared" si="3"/>
        <v>2676047.4748714445</v>
      </c>
    </row>
    <row r="249" spans="1:7" x14ac:dyDescent="0.25">
      <c r="A249" s="51">
        <f>'A) Base RI'!A245</f>
        <v>5806</v>
      </c>
      <c r="B249" s="321" t="str">
        <f>'A) Base RI'!B245</f>
        <v>Jorat-Mézières</v>
      </c>
      <c r="C249" s="10">
        <f>'A) Base RI'!AN245</f>
        <v>2850</v>
      </c>
      <c r="D249" s="15">
        <f>'C) Prél. conj.'!H243</f>
        <v>248551.59500000003</v>
      </c>
      <c r="E249" s="10">
        <f>'D) Ecrêtage'!L243</f>
        <v>0</v>
      </c>
      <c r="F249" s="15">
        <f>$F$10*'D) Ecrêtage'!M243</f>
        <v>1295003.1077185629</v>
      </c>
      <c r="G249" s="59">
        <f t="shared" si="3"/>
        <v>1543554.7027185629</v>
      </c>
    </row>
    <row r="250" spans="1:7" x14ac:dyDescent="0.25">
      <c r="A250" s="51">
        <f>'A) Base RI'!A246</f>
        <v>5812</v>
      </c>
      <c r="B250" s="321" t="str">
        <f>'A) Base RI'!B246</f>
        <v>Champtauroz</v>
      </c>
      <c r="C250" s="10">
        <f>'A) Base RI'!AN246</f>
        <v>128</v>
      </c>
      <c r="D250" s="15">
        <f>'C) Prél. conj.'!H244</f>
        <v>13679.9</v>
      </c>
      <c r="E250" s="10">
        <f>'D) Ecrêtage'!L244</f>
        <v>0</v>
      </c>
      <c r="F250" s="15">
        <f>$F$10*'D) Ecrêtage'!M244</f>
        <v>36244.427134521451</v>
      </c>
      <c r="G250" s="59">
        <f t="shared" si="3"/>
        <v>49924.327134521453</v>
      </c>
    </row>
    <row r="251" spans="1:7" x14ac:dyDescent="0.25">
      <c r="A251" s="51">
        <f>'A) Base RI'!A247</f>
        <v>5813</v>
      </c>
      <c r="B251" s="321" t="str">
        <f>'A) Base RI'!B247</f>
        <v>Chevroux</v>
      </c>
      <c r="C251" s="10">
        <f>'A) Base RI'!AN247</f>
        <v>470</v>
      </c>
      <c r="D251" s="15">
        <f>'C) Prél. conj.'!H245</f>
        <v>77917.549999999988</v>
      </c>
      <c r="E251" s="10">
        <f>'D) Ecrêtage'!L245</f>
        <v>0</v>
      </c>
      <c r="F251" s="15">
        <f>$F$10*'D) Ecrêtage'!M245</f>
        <v>199753.34785740802</v>
      </c>
      <c r="G251" s="59">
        <f t="shared" si="3"/>
        <v>277670.89785740804</v>
      </c>
    </row>
    <row r="252" spans="1:7" x14ac:dyDescent="0.25">
      <c r="A252" s="51">
        <f>'A) Base RI'!A248</f>
        <v>5816</v>
      </c>
      <c r="B252" s="321" t="str">
        <f>'A) Base RI'!B248</f>
        <v>Corcelles-près-Payerne</v>
      </c>
      <c r="C252" s="10">
        <f>'A) Base RI'!AN248</f>
        <v>2448</v>
      </c>
      <c r="D252" s="15">
        <f>'C) Prél. conj.'!H246</f>
        <v>158647.51500000001</v>
      </c>
      <c r="E252" s="10">
        <f>'D) Ecrêtage'!L246</f>
        <v>0</v>
      </c>
      <c r="F252" s="15">
        <f>$F$10*'D) Ecrêtage'!M246</f>
        <v>870200.76198473363</v>
      </c>
      <c r="G252" s="59">
        <f t="shared" si="3"/>
        <v>1028848.2769847336</v>
      </c>
    </row>
    <row r="253" spans="1:7" x14ac:dyDescent="0.25">
      <c r="A253" s="51">
        <f>'A) Base RI'!A249</f>
        <v>5817</v>
      </c>
      <c r="B253" s="321" t="str">
        <f>'A) Base RI'!B249</f>
        <v>Grandcour</v>
      </c>
      <c r="C253" s="10">
        <f>'A) Base RI'!AN249</f>
        <v>890</v>
      </c>
      <c r="D253" s="15">
        <f>'C) Prél. conj.'!H247</f>
        <v>63246.75</v>
      </c>
      <c r="E253" s="10">
        <f>'D) Ecrêtage'!L247</f>
        <v>0</v>
      </c>
      <c r="F253" s="15">
        <f>$F$10*'D) Ecrêtage'!M247</f>
        <v>334062.63300139492</v>
      </c>
      <c r="G253" s="59">
        <f t="shared" si="3"/>
        <v>397309.38300139492</v>
      </c>
    </row>
    <row r="254" spans="1:7" x14ac:dyDescent="0.25">
      <c r="A254" s="51">
        <f>'A) Base RI'!A250</f>
        <v>5819</v>
      </c>
      <c r="B254" s="321" t="str">
        <f>'A) Base RI'!B250</f>
        <v>Henniez</v>
      </c>
      <c r="C254" s="10">
        <f>'A) Base RI'!AN250</f>
        <v>359</v>
      </c>
      <c r="D254" s="15">
        <f>'C) Prél. conj.'!H248</f>
        <v>35209.82</v>
      </c>
      <c r="E254" s="10">
        <f>'D) Ecrêtage'!L248</f>
        <v>0</v>
      </c>
      <c r="F254" s="15">
        <f>$F$10*'D) Ecrêtage'!M248</f>
        <v>223336.41857148797</v>
      </c>
      <c r="G254" s="59">
        <f t="shared" si="3"/>
        <v>258546.23857148798</v>
      </c>
    </row>
    <row r="255" spans="1:7" x14ac:dyDescent="0.25">
      <c r="A255" s="51">
        <f>'A) Base RI'!A251</f>
        <v>5821</v>
      </c>
      <c r="B255" s="321" t="str">
        <f>'A) Base RI'!B251</f>
        <v>Missy</v>
      </c>
      <c r="C255" s="10">
        <f>'A) Base RI'!AN251</f>
        <v>352</v>
      </c>
      <c r="D255" s="15">
        <f>'C) Prél. conj.'!H249</f>
        <v>6676.375</v>
      </c>
      <c r="E255" s="10">
        <f>'D) Ecrêtage'!L249</f>
        <v>0</v>
      </c>
      <c r="F255" s="15">
        <f>$F$10*'D) Ecrêtage'!M249</f>
        <v>114701.80726160484</v>
      </c>
      <c r="G255" s="59">
        <f t="shared" si="3"/>
        <v>121378.18226160484</v>
      </c>
    </row>
    <row r="256" spans="1:7" x14ac:dyDescent="0.25">
      <c r="A256" s="51">
        <f>'A) Base RI'!A252</f>
        <v>5822</v>
      </c>
      <c r="B256" s="321" t="str">
        <f>'A) Base RI'!B252</f>
        <v>Payerne</v>
      </c>
      <c r="C256" s="10">
        <f>'A) Base RI'!AN252</f>
        <v>9716</v>
      </c>
      <c r="D256" s="15">
        <f>'C) Prél. conj.'!H250</f>
        <v>712042.8899999999</v>
      </c>
      <c r="E256" s="10">
        <f>'D) Ecrêtage'!L250</f>
        <v>0</v>
      </c>
      <c r="F256" s="15">
        <f>$F$10*'D) Ecrêtage'!M250</f>
        <v>3699700.3447234184</v>
      </c>
      <c r="G256" s="59">
        <f t="shared" si="3"/>
        <v>4411743.234723418</v>
      </c>
    </row>
    <row r="257" spans="1:7" x14ac:dyDescent="0.25">
      <c r="A257" s="51">
        <f>'A) Base RI'!A253</f>
        <v>5827</v>
      </c>
      <c r="B257" s="321" t="str">
        <f>'A) Base RI'!B253</f>
        <v>Trey</v>
      </c>
      <c r="C257" s="10">
        <f>'A) Base RI'!AN253</f>
        <v>268</v>
      </c>
      <c r="D257" s="15">
        <f>'C) Prél. conj.'!H251</f>
        <v>15277.829999999998</v>
      </c>
      <c r="E257" s="10">
        <f>'D) Ecrêtage'!L251</f>
        <v>0</v>
      </c>
      <c r="F257" s="15">
        <f>$F$10*'D) Ecrêtage'!M251</f>
        <v>101386.36303053818</v>
      </c>
      <c r="G257" s="59">
        <f t="shared" si="3"/>
        <v>116664.19303053818</v>
      </c>
    </row>
    <row r="258" spans="1:7" x14ac:dyDescent="0.25">
      <c r="A258" s="51">
        <f>'A) Base RI'!A254</f>
        <v>5828</v>
      </c>
      <c r="B258" s="321" t="str">
        <f>'A) Base RI'!B254</f>
        <v>Treytorrens (Payerne)</v>
      </c>
      <c r="C258" s="10">
        <f>'A) Base RI'!AN254</f>
        <v>122</v>
      </c>
      <c r="D258" s="15">
        <f>'C) Prél. conj.'!H252</f>
        <v>18014.575000000001</v>
      </c>
      <c r="E258" s="10">
        <f>'D) Ecrêtage'!L252</f>
        <v>0</v>
      </c>
      <c r="F258" s="15">
        <f>$F$10*'D) Ecrêtage'!M252</f>
        <v>34245.209046705684</v>
      </c>
      <c r="G258" s="59">
        <f t="shared" si="3"/>
        <v>52259.784046705681</v>
      </c>
    </row>
    <row r="259" spans="1:7" x14ac:dyDescent="0.25">
      <c r="A259" s="51">
        <f>'A) Base RI'!A255</f>
        <v>5830</v>
      </c>
      <c r="B259" s="321" t="str">
        <f>'A) Base RI'!B255</f>
        <v>Villarzel</v>
      </c>
      <c r="C259" s="10">
        <f>'A) Base RI'!AN255</f>
        <v>417</v>
      </c>
      <c r="D259" s="15">
        <f>'C) Prél. conj.'!H253</f>
        <v>31393</v>
      </c>
      <c r="E259" s="10">
        <f>'D) Ecrêtage'!L253</f>
        <v>0</v>
      </c>
      <c r="F259" s="15">
        <f>$F$10*'D) Ecrêtage'!M253</f>
        <v>158002.0059925564</v>
      </c>
      <c r="G259" s="59">
        <f t="shared" si="3"/>
        <v>189395.0059925564</v>
      </c>
    </row>
    <row r="260" spans="1:7" x14ac:dyDescent="0.25">
      <c r="A260" s="51">
        <f>'A) Base RI'!A256</f>
        <v>5831</v>
      </c>
      <c r="B260" s="321" t="str">
        <f>'A) Base RI'!B256</f>
        <v>Valbroye</v>
      </c>
      <c r="C260" s="10">
        <f>'A) Base RI'!AN256</f>
        <v>3035</v>
      </c>
      <c r="D260" s="15">
        <f>'C) Prél. conj.'!H254</f>
        <v>333632.31</v>
      </c>
      <c r="E260" s="10">
        <f>'D) Ecrêtage'!L254</f>
        <v>0</v>
      </c>
      <c r="F260" s="15">
        <f>$F$10*'D) Ecrêtage'!M254</f>
        <v>1243579.2850761423</v>
      </c>
      <c r="G260" s="59">
        <f t="shared" si="3"/>
        <v>1577211.5950761423</v>
      </c>
    </row>
    <row r="261" spans="1:7" x14ac:dyDescent="0.25">
      <c r="A261" s="51">
        <f>'A) Base RI'!A257</f>
        <v>5841</v>
      </c>
      <c r="B261" s="321" t="str">
        <f>'A) Base RI'!B257</f>
        <v>Château-d'Oex</v>
      </c>
      <c r="C261" s="10">
        <f>'A) Base RI'!AN257</f>
        <v>3433</v>
      </c>
      <c r="D261" s="15">
        <f>'C) Prél. conj.'!H255</f>
        <v>567790.98999999987</v>
      </c>
      <c r="E261" s="10">
        <f>'D) Ecrêtage'!L255</f>
        <v>0</v>
      </c>
      <c r="F261" s="15">
        <f>$F$10*'D) Ecrêtage'!M255</f>
        <v>1691002.9466498918</v>
      </c>
      <c r="G261" s="59">
        <f t="shared" si="3"/>
        <v>2258793.9366498915</v>
      </c>
    </row>
    <row r="262" spans="1:7" x14ac:dyDescent="0.25">
      <c r="A262" s="51">
        <f>'A) Base RI'!A258</f>
        <v>5842</v>
      </c>
      <c r="B262" s="321" t="str">
        <f>'A) Base RI'!B258</f>
        <v>Rossinière</v>
      </c>
      <c r="C262" s="10">
        <f>'A) Base RI'!AN258</f>
        <v>545</v>
      </c>
      <c r="D262" s="15">
        <f>'C) Prél. conj.'!H256</f>
        <v>43018.85</v>
      </c>
      <c r="E262" s="10">
        <f>'D) Ecrêtage'!L256</f>
        <v>0</v>
      </c>
      <c r="F262" s="15">
        <f>$F$10*'D) Ecrêtage'!M256</f>
        <v>188172.465828346</v>
      </c>
      <c r="G262" s="59">
        <f t="shared" si="3"/>
        <v>231191.31582834601</v>
      </c>
    </row>
    <row r="263" spans="1:7" x14ac:dyDescent="0.25">
      <c r="A263" s="51">
        <f>'A) Base RI'!A259</f>
        <v>5843</v>
      </c>
      <c r="B263" s="321" t="str">
        <f>'A) Base RI'!B259</f>
        <v>Rougemont</v>
      </c>
      <c r="C263" s="10">
        <f>'A) Base RI'!AN259</f>
        <v>882</v>
      </c>
      <c r="D263" s="15">
        <f>'C) Prél. conj.'!H257</f>
        <v>478258.32500000001</v>
      </c>
      <c r="E263" s="10">
        <f>'D) Ecrêtage'!L257</f>
        <v>1280211.0177733172</v>
      </c>
      <c r="F263" s="15">
        <f>$F$10*'D) Ecrêtage'!M257</f>
        <v>1150965.450494742</v>
      </c>
      <c r="G263" s="59">
        <f t="shared" si="3"/>
        <v>2909434.7932680594</v>
      </c>
    </row>
    <row r="264" spans="1:7" x14ac:dyDescent="0.25">
      <c r="A264" s="51">
        <f>'A) Base RI'!A260</f>
        <v>5851</v>
      </c>
      <c r="B264" s="321" t="str">
        <f>'A) Base RI'!B260</f>
        <v>Allaman</v>
      </c>
      <c r="C264" s="10">
        <f>'A) Base RI'!AN260</f>
        <v>442</v>
      </c>
      <c r="D264" s="15">
        <f>'C) Prél. conj.'!H258</f>
        <v>42659.044999999998</v>
      </c>
      <c r="E264" s="10">
        <f>'D) Ecrêtage'!L258</f>
        <v>91064.77499362384</v>
      </c>
      <c r="F264" s="15">
        <f>$F$10*'D) Ecrêtage'!M258</f>
        <v>415532.82070629991</v>
      </c>
      <c r="G264" s="59">
        <f t="shared" si="3"/>
        <v>549256.64069992374</v>
      </c>
    </row>
    <row r="265" spans="1:7" x14ac:dyDescent="0.25">
      <c r="A265" s="51">
        <f>'A) Base RI'!A261</f>
        <v>5852</v>
      </c>
      <c r="B265" s="321" t="str">
        <f>'A) Base RI'!B261</f>
        <v>Bursinel</v>
      </c>
      <c r="C265" s="10">
        <f>'A) Base RI'!AN261</f>
        <v>488</v>
      </c>
      <c r="D265" s="15">
        <f>'C) Prél. conj.'!H259</f>
        <v>1500767.4750000001</v>
      </c>
      <c r="E265" s="10">
        <f>'D) Ecrêtage'!L259</f>
        <v>307354.61741143826</v>
      </c>
      <c r="F265" s="15">
        <f>$F$10*'D) Ecrêtage'!M259</f>
        <v>536457.6857199996</v>
      </c>
      <c r="G265" s="59">
        <f t="shared" si="3"/>
        <v>2344579.778131438</v>
      </c>
    </row>
    <row r="266" spans="1:7" x14ac:dyDescent="0.25">
      <c r="A266" s="51">
        <f>'A) Base RI'!A262</f>
        <v>5853</v>
      </c>
      <c r="B266" s="321" t="str">
        <f>'A) Base RI'!B262</f>
        <v>Bursins</v>
      </c>
      <c r="C266" s="10">
        <f>'A) Base RI'!AN262</f>
        <v>745</v>
      </c>
      <c r="D266" s="15">
        <f>'C) Prél. conj.'!H260</f>
        <v>152038.35999999999</v>
      </c>
      <c r="E266" s="10">
        <f>'D) Ecrêtage'!L260</f>
        <v>0</v>
      </c>
      <c r="F266" s="15">
        <f>$F$10*'D) Ecrêtage'!M260</f>
        <v>542498.30913378135</v>
      </c>
      <c r="G266" s="59">
        <f t="shared" si="3"/>
        <v>694536.66913378134</v>
      </c>
    </row>
    <row r="267" spans="1:7" x14ac:dyDescent="0.25">
      <c r="A267" s="51">
        <f>'A) Base RI'!A263</f>
        <v>5854</v>
      </c>
      <c r="B267" s="321" t="str">
        <f>'A) Base RI'!B263</f>
        <v>Burtigny</v>
      </c>
      <c r="C267" s="10">
        <f>'A) Base RI'!AN263</f>
        <v>361</v>
      </c>
      <c r="D267" s="15">
        <f>'C) Prél. conj.'!H261</f>
        <v>69208.774999999994</v>
      </c>
      <c r="E267" s="10">
        <f>'D) Ecrêtage'!L261</f>
        <v>0</v>
      </c>
      <c r="F267" s="15">
        <f>$F$10*'D) Ecrêtage'!M261</f>
        <v>152866.98700583991</v>
      </c>
      <c r="G267" s="59">
        <f t="shared" si="3"/>
        <v>222075.7620058399</v>
      </c>
    </row>
    <row r="268" spans="1:7" x14ac:dyDescent="0.25">
      <c r="A268" s="51">
        <f>'A) Base RI'!A264</f>
        <v>5855</v>
      </c>
      <c r="B268" s="321" t="str">
        <f>'A) Base RI'!B264</f>
        <v>Dully</v>
      </c>
      <c r="C268" s="10">
        <f>'A) Base RI'!AN264</f>
        <v>640</v>
      </c>
      <c r="D268" s="15">
        <f>'C) Prél. conj.'!H262</f>
        <v>92146.455000000002</v>
      </c>
      <c r="E268" s="10">
        <f>'D) Ecrêtage'!L262</f>
        <v>1016982.5441817741</v>
      </c>
      <c r="F268" s="15">
        <f>$F$10*'D) Ecrêtage'!M262</f>
        <v>975024.71768066776</v>
      </c>
      <c r="G268" s="59">
        <f t="shared" ref="G268:G319" si="4">D268+F268+E268</f>
        <v>2084153.716862442</v>
      </c>
    </row>
    <row r="269" spans="1:7" x14ac:dyDescent="0.25">
      <c r="A269" s="51">
        <f>'A) Base RI'!A265</f>
        <v>5856</v>
      </c>
      <c r="B269" s="321" t="str">
        <f>'A) Base RI'!B265</f>
        <v>Essertines-sur-Rolle</v>
      </c>
      <c r="C269" s="10">
        <f>'A) Base RI'!AN265</f>
        <v>696</v>
      </c>
      <c r="D269" s="15">
        <f>'C) Prél. conj.'!H263</f>
        <v>160057.66500000001</v>
      </c>
      <c r="E269" s="10">
        <f>'D) Ecrêtage'!L263</f>
        <v>0</v>
      </c>
      <c r="F269" s="15">
        <f>$F$10*'D) Ecrêtage'!M263</f>
        <v>515854.14701400936</v>
      </c>
      <c r="G269" s="59">
        <f t="shared" si="4"/>
        <v>675911.81201400934</v>
      </c>
    </row>
    <row r="270" spans="1:7" x14ac:dyDescent="0.25">
      <c r="A270" s="51">
        <f>'A) Base RI'!A266</f>
        <v>5857</v>
      </c>
      <c r="B270" s="321" t="str">
        <f>'A) Base RI'!B266</f>
        <v>Gilly</v>
      </c>
      <c r="C270" s="10">
        <f>'A) Base RI'!AN266</f>
        <v>1294</v>
      </c>
      <c r="D270" s="15">
        <f>'C) Prél. conj.'!H264</f>
        <v>268059.55500000005</v>
      </c>
      <c r="E270" s="10">
        <f>'D) Ecrêtage'!L264</f>
        <v>119362.02220138126</v>
      </c>
      <c r="F270" s="15">
        <f>$F$10*'D) Ecrêtage'!M264</f>
        <v>1136913.6756714499</v>
      </c>
      <c r="G270" s="59">
        <f t="shared" si="4"/>
        <v>1524335.2528728312</v>
      </c>
    </row>
    <row r="271" spans="1:7" x14ac:dyDescent="0.25">
      <c r="A271" s="51">
        <f>'A) Base RI'!A267</f>
        <v>5858</v>
      </c>
      <c r="B271" s="321" t="str">
        <f>'A) Base RI'!B267</f>
        <v>Luins</v>
      </c>
      <c r="C271" s="10">
        <f>'A) Base RI'!AN267</f>
        <v>608</v>
      </c>
      <c r="D271" s="15">
        <f>'C) Prél. conj.'!H265</f>
        <v>55478.404999999992</v>
      </c>
      <c r="E271" s="10">
        <f>'D) Ecrêtage'!L265</f>
        <v>10052.451434396411</v>
      </c>
      <c r="F271" s="15">
        <f>$F$10*'D) Ecrêtage'!M265</f>
        <v>512395.41046655102</v>
      </c>
      <c r="G271" s="59">
        <f t="shared" si="4"/>
        <v>577926.26690094743</v>
      </c>
    </row>
    <row r="272" spans="1:7" x14ac:dyDescent="0.25">
      <c r="A272" s="51">
        <f>'A) Base RI'!A268</f>
        <v>5859</v>
      </c>
      <c r="B272" s="321" t="str">
        <f>'A) Base RI'!B268</f>
        <v>Mont-sur-Rolle</v>
      </c>
      <c r="C272" s="10">
        <f>'A) Base RI'!AN268</f>
        <v>2701</v>
      </c>
      <c r="D272" s="15">
        <f>'C) Prél. conj.'!H266</f>
        <v>600975.35499999998</v>
      </c>
      <c r="E272" s="10">
        <f>'D) Ecrêtage'!L266</f>
        <v>0</v>
      </c>
      <c r="F272" s="15">
        <f>$F$10*'D) Ecrêtage'!M266</f>
        <v>2055413.6926101865</v>
      </c>
      <c r="G272" s="59">
        <f t="shared" si="4"/>
        <v>2656389.0476101865</v>
      </c>
    </row>
    <row r="273" spans="1:7" x14ac:dyDescent="0.25">
      <c r="A273" s="51">
        <f>'A) Base RI'!A269</f>
        <v>5860</v>
      </c>
      <c r="B273" s="321" t="str">
        <f>'A) Base RI'!B269</f>
        <v>Perroy</v>
      </c>
      <c r="C273" s="10">
        <f>'A) Base RI'!AN269</f>
        <v>1514</v>
      </c>
      <c r="D273" s="15">
        <f>'C) Prél. conj.'!H267</f>
        <v>302808.03000000003</v>
      </c>
      <c r="E273" s="10">
        <f>'D) Ecrêtage'!L267</f>
        <v>81479.729561816028</v>
      </c>
      <c r="F273" s="15">
        <f>$F$10*'D) Ecrêtage'!M267</f>
        <v>1305989.4320030843</v>
      </c>
      <c r="G273" s="59">
        <f t="shared" si="4"/>
        <v>1690277.1915649003</v>
      </c>
    </row>
    <row r="274" spans="1:7" x14ac:dyDescent="0.25">
      <c r="A274" s="51">
        <f>'A) Base RI'!A270</f>
        <v>5861</v>
      </c>
      <c r="B274" s="321" t="str">
        <f>'A) Base RI'!B270</f>
        <v>Rolle</v>
      </c>
      <c r="C274" s="10">
        <f>'A) Base RI'!AN270</f>
        <v>6225</v>
      </c>
      <c r="D274" s="15">
        <f>'C) Prél. conj.'!H268</f>
        <v>840073.21</v>
      </c>
      <c r="E274" s="10">
        <f>'D) Ecrêtage'!L268</f>
        <v>14053448.159171453</v>
      </c>
      <c r="F274" s="15">
        <f>$F$10*'D) Ecrêtage'!M268</f>
        <v>10068896.673019856</v>
      </c>
      <c r="G274" s="59">
        <f t="shared" si="4"/>
        <v>24962418.042191312</v>
      </c>
    </row>
    <row r="275" spans="1:7" x14ac:dyDescent="0.25">
      <c r="A275" s="51">
        <f>'A) Base RI'!A271</f>
        <v>5862</v>
      </c>
      <c r="B275" s="321" t="str">
        <f>'A) Base RI'!B271</f>
        <v>Tartegnin</v>
      </c>
      <c r="C275" s="10">
        <f>'A) Base RI'!AN271</f>
        <v>235</v>
      </c>
      <c r="D275" s="15">
        <f>'C) Prél. conj.'!H269</f>
        <v>72912.774999999994</v>
      </c>
      <c r="E275" s="10">
        <f>'D) Ecrêtage'!L269</f>
        <v>0</v>
      </c>
      <c r="F275" s="15">
        <f>$F$10*'D) Ecrêtage'!M269</f>
        <v>159610.27355051017</v>
      </c>
      <c r="G275" s="59">
        <f t="shared" si="4"/>
        <v>232523.04855051017</v>
      </c>
    </row>
    <row r="276" spans="1:7" x14ac:dyDescent="0.25">
      <c r="A276" s="51">
        <f>'A) Base RI'!A272</f>
        <v>5863</v>
      </c>
      <c r="B276" s="321" t="str">
        <f>'A) Base RI'!B272</f>
        <v>Vinzel</v>
      </c>
      <c r="C276" s="10">
        <f>'A) Base RI'!AN272</f>
        <v>371</v>
      </c>
      <c r="D276" s="15">
        <f>'C) Prél. conj.'!H270</f>
        <v>7935.7650000000003</v>
      </c>
      <c r="E276" s="10">
        <f>'D) Ecrêtage'!L270</f>
        <v>54604.010779890115</v>
      </c>
      <c r="F276" s="15">
        <f>$F$10*'D) Ecrêtage'!M270</f>
        <v>335433.99594973953</v>
      </c>
      <c r="G276" s="59">
        <f t="shared" si="4"/>
        <v>397973.77172962966</v>
      </c>
    </row>
    <row r="277" spans="1:7" x14ac:dyDescent="0.25">
      <c r="A277" s="51">
        <f>'A) Base RI'!A273</f>
        <v>5871</v>
      </c>
      <c r="B277" s="321" t="str">
        <f>'A) Base RI'!B273</f>
        <v>L'Abbaye</v>
      </c>
      <c r="C277" s="10">
        <f>'A) Base RI'!AN273</f>
        <v>1492</v>
      </c>
      <c r="D277" s="15">
        <f>'C) Prél. conj.'!H271</f>
        <v>339859.41</v>
      </c>
      <c r="E277" s="10">
        <f>'D) Ecrêtage'!L271</f>
        <v>0</v>
      </c>
      <c r="F277" s="15">
        <f>$F$10*'D) Ecrêtage'!M271</f>
        <v>717646.22385492048</v>
      </c>
      <c r="G277" s="59">
        <f t="shared" si="4"/>
        <v>1057505.6338549205</v>
      </c>
    </row>
    <row r="278" spans="1:7" x14ac:dyDescent="0.25">
      <c r="A278" s="51">
        <f>'A) Base RI'!A274</f>
        <v>5872</v>
      </c>
      <c r="B278" s="321" t="str">
        <f>'A) Base RI'!B274</f>
        <v>Le Chenit</v>
      </c>
      <c r="C278" s="10">
        <f>'A) Base RI'!AN274</f>
        <v>4612</v>
      </c>
      <c r="D278" s="15">
        <f>'C) Prél. conj.'!H272</f>
        <v>1845036.43</v>
      </c>
      <c r="E278" s="10">
        <f>'D) Ecrêtage'!L272</f>
        <v>0</v>
      </c>
      <c r="F278" s="15">
        <f>$F$10*'D) Ecrêtage'!M272</f>
        <v>3341876.9960983102</v>
      </c>
      <c r="G278" s="59">
        <f t="shared" si="4"/>
        <v>5186913.4260983104</v>
      </c>
    </row>
    <row r="279" spans="1:7" x14ac:dyDescent="0.25">
      <c r="A279" s="51">
        <f>'A) Base RI'!A275</f>
        <v>5873</v>
      </c>
      <c r="B279" s="321" t="str">
        <f>'A) Base RI'!B275</f>
        <v>Le Lieu</v>
      </c>
      <c r="C279" s="10">
        <f>'A) Base RI'!AN275</f>
        <v>869</v>
      </c>
      <c r="D279" s="15">
        <f>'C) Prél. conj.'!H273</f>
        <v>281432.73</v>
      </c>
      <c r="E279" s="10">
        <f>'D) Ecrêtage'!L273</f>
        <v>0</v>
      </c>
      <c r="F279" s="15">
        <f>$F$10*'D) Ecrêtage'!M273</f>
        <v>502377.00387667562</v>
      </c>
      <c r="G279" s="59">
        <f t="shared" si="4"/>
        <v>783809.7338766756</v>
      </c>
    </row>
    <row r="280" spans="1:7" x14ac:dyDescent="0.25">
      <c r="A280" s="51">
        <f>'A) Base RI'!A276</f>
        <v>5881</v>
      </c>
      <c r="B280" s="321" t="str">
        <f>'A) Base RI'!B276</f>
        <v>Blonay</v>
      </c>
      <c r="C280" s="10">
        <f>'A) Base RI'!AN276</f>
        <v>6183</v>
      </c>
      <c r="D280" s="15">
        <f>'C) Prél. conj.'!H274</f>
        <v>647541.26</v>
      </c>
      <c r="E280" s="10">
        <f>'D) Ecrêtage'!L274</f>
        <v>0</v>
      </c>
      <c r="F280" s="15">
        <f>$F$10*'D) Ecrêtage'!M274</f>
        <v>5100529.9652428078</v>
      </c>
      <c r="G280" s="59">
        <f t="shared" si="4"/>
        <v>5748071.2252428075</v>
      </c>
    </row>
    <row r="281" spans="1:7" x14ac:dyDescent="0.25">
      <c r="A281" s="51">
        <f>'A) Base RI'!A277</f>
        <v>5882</v>
      </c>
      <c r="B281" s="321" t="str">
        <f>'A) Base RI'!B277</f>
        <v>Chardonne</v>
      </c>
      <c r="C281" s="10">
        <f>'A) Base RI'!AN277</f>
        <v>2921</v>
      </c>
      <c r="D281" s="15">
        <f>'C) Prél. conj.'!H275</f>
        <v>1282623.57</v>
      </c>
      <c r="E281" s="10">
        <f>'D) Ecrêtage'!L275</f>
        <v>0</v>
      </c>
      <c r="F281" s="15">
        <f>$F$10*'D) Ecrêtage'!M275</f>
        <v>2363187.4351283857</v>
      </c>
      <c r="G281" s="59">
        <f t="shared" si="4"/>
        <v>3645811.0051283855</v>
      </c>
    </row>
    <row r="282" spans="1:7" x14ac:dyDescent="0.25">
      <c r="A282" s="51">
        <f>'A) Base RI'!A278</f>
        <v>5883</v>
      </c>
      <c r="B282" s="321" t="str">
        <f>'A) Base RI'!B278</f>
        <v>Corseaux</v>
      </c>
      <c r="C282" s="10">
        <f>'A) Base RI'!AN278</f>
        <v>2289</v>
      </c>
      <c r="D282" s="15">
        <f>'C) Prél. conj.'!H276</f>
        <v>431566.69999999995</v>
      </c>
      <c r="E282" s="10">
        <f>'D) Ecrêtage'!L276</f>
        <v>594266.5976806134</v>
      </c>
      <c r="F282" s="15">
        <f>$F$10*'D) Ecrêtage'!M276</f>
        <v>2184077.5201504058</v>
      </c>
      <c r="G282" s="59">
        <f t="shared" si="4"/>
        <v>3209910.8178310189</v>
      </c>
    </row>
    <row r="283" spans="1:7" x14ac:dyDescent="0.25">
      <c r="A283" s="51">
        <f>'A) Base RI'!A279</f>
        <v>5884</v>
      </c>
      <c r="B283" s="321" t="str">
        <f>'A) Base RI'!B279</f>
        <v>Corsier-sur-Vevey</v>
      </c>
      <c r="C283" s="10">
        <f>'A) Base RI'!AN279</f>
        <v>3396</v>
      </c>
      <c r="D283" s="15">
        <f>'C) Prél. conj.'!H277</f>
        <v>422134.30500000005</v>
      </c>
      <c r="E283" s="10">
        <f>'D) Ecrêtage'!L277</f>
        <v>0</v>
      </c>
      <c r="F283" s="15">
        <f>$F$10*'D) Ecrêtage'!M277</f>
        <v>1981068.1636434854</v>
      </c>
      <c r="G283" s="59">
        <f t="shared" si="4"/>
        <v>2403202.4686434856</v>
      </c>
    </row>
    <row r="284" spans="1:7" x14ac:dyDescent="0.25">
      <c r="A284" s="51">
        <f>'A) Base RI'!A280</f>
        <v>5885</v>
      </c>
      <c r="B284" s="321" t="str">
        <f>'A) Base RI'!B280</f>
        <v>Jongny</v>
      </c>
      <c r="C284" s="10">
        <f>'A) Base RI'!AN280</f>
        <v>1549</v>
      </c>
      <c r="D284" s="15">
        <f>'C) Prél. conj.'!H278</f>
        <v>330932.93</v>
      </c>
      <c r="E284" s="10">
        <f>'D) Ecrêtage'!L278</f>
        <v>205540.07292156512</v>
      </c>
      <c r="F284" s="15">
        <f>$F$10*'D) Ecrêtage'!M278</f>
        <v>1384281.1609279376</v>
      </c>
      <c r="G284" s="59">
        <f t="shared" si="4"/>
        <v>1920754.1638495026</v>
      </c>
    </row>
    <row r="285" spans="1:7" x14ac:dyDescent="0.25">
      <c r="A285" s="51">
        <f>'A) Base RI'!A281</f>
        <v>5886</v>
      </c>
      <c r="B285" s="321" t="str">
        <f>'A) Base RI'!B281</f>
        <v>Montreux</v>
      </c>
      <c r="C285" s="10">
        <f>'A) Base RI'!AN281</f>
        <v>26653</v>
      </c>
      <c r="D285" s="15">
        <f>'C) Prél. conj.'!H279</f>
        <v>8133130.1749999998</v>
      </c>
      <c r="E285" s="10">
        <f>'D) Ecrêtage'!L279</f>
        <v>0</v>
      </c>
      <c r="F285" s="15">
        <f>$F$10*'D) Ecrêtage'!M279</f>
        <v>16945544.701560818</v>
      </c>
      <c r="G285" s="59">
        <f t="shared" si="4"/>
        <v>25078674.876560818</v>
      </c>
    </row>
    <row r="286" spans="1:7" x14ac:dyDescent="0.25">
      <c r="A286" s="51">
        <f>'A) Base RI'!A282</f>
        <v>5888</v>
      </c>
      <c r="B286" s="321" t="str">
        <f>'A) Base RI'!B282</f>
        <v>Saint-Légier-La Chiésaz</v>
      </c>
      <c r="C286" s="10">
        <f>'A) Base RI'!AN282</f>
        <v>5167</v>
      </c>
      <c r="D286" s="15">
        <f>'C) Prél. conj.'!H280</f>
        <v>1005033.92</v>
      </c>
      <c r="E286" s="10">
        <f>'D) Ecrêtage'!L280</f>
        <v>176634.66136736647</v>
      </c>
      <c r="F286" s="15">
        <f>$F$10*'D) Ecrêtage'!M280</f>
        <v>4393256.8268485684</v>
      </c>
      <c r="G286" s="59">
        <f t="shared" si="4"/>
        <v>5574925.4082159344</v>
      </c>
    </row>
    <row r="287" spans="1:7" x14ac:dyDescent="0.25">
      <c r="A287" s="51">
        <f>'A) Base RI'!A283</f>
        <v>5889</v>
      </c>
      <c r="B287" s="321" t="str">
        <f>'A) Base RI'!B283</f>
        <v>La Tour-de-Peilz</v>
      </c>
      <c r="C287" s="10">
        <f>'A) Base RI'!AN283</f>
        <v>11779</v>
      </c>
      <c r="D287" s="15">
        <f>'C) Prél. conj.'!H281</f>
        <v>1796546.4900000002</v>
      </c>
      <c r="E287" s="10">
        <f>'D) Ecrêtage'!L281</f>
        <v>275389.21107887133</v>
      </c>
      <c r="F287" s="15">
        <f>$F$10*'D) Ecrêtage'!M281</f>
        <v>9960592.4167108573</v>
      </c>
      <c r="G287" s="59">
        <f t="shared" si="4"/>
        <v>12032528.117789729</v>
      </c>
    </row>
    <row r="288" spans="1:7" x14ac:dyDescent="0.25">
      <c r="A288" s="51">
        <f>'A) Base RI'!A284</f>
        <v>5890</v>
      </c>
      <c r="B288" s="321" t="str">
        <f>'A) Base RI'!B284</f>
        <v>Vevey</v>
      </c>
      <c r="C288" s="10">
        <f>'A) Base RI'!AN284</f>
        <v>19829</v>
      </c>
      <c r="D288" s="15">
        <f>'C) Prél. conj.'!H282</f>
        <v>3067502.5549999997</v>
      </c>
      <c r="E288" s="10">
        <f>'D) Ecrêtage'!L282</f>
        <v>0</v>
      </c>
      <c r="F288" s="15">
        <f>$F$10*'D) Ecrêtage'!M282</f>
        <v>14655669.206181467</v>
      </c>
      <c r="G288" s="59">
        <f t="shared" si="4"/>
        <v>17723171.761181466</v>
      </c>
    </row>
    <row r="289" spans="1:7" x14ac:dyDescent="0.25">
      <c r="A289" s="51">
        <f>'A) Base RI'!A285</f>
        <v>5891</v>
      </c>
      <c r="B289" s="321" t="str">
        <f>'A) Base RI'!B285</f>
        <v>Veytaux</v>
      </c>
      <c r="C289" s="10">
        <f>'A) Base RI'!AN285</f>
        <v>870</v>
      </c>
      <c r="D289" s="15">
        <f>'C) Prél. conj.'!H283</f>
        <v>121673.65</v>
      </c>
      <c r="E289" s="10">
        <f>'D) Ecrêtage'!L283</f>
        <v>0</v>
      </c>
      <c r="F289" s="15">
        <f>$F$10*'D) Ecrêtage'!M283</f>
        <v>528958.15512564848</v>
      </c>
      <c r="G289" s="59">
        <f t="shared" si="4"/>
        <v>650631.80512564851</v>
      </c>
    </row>
    <row r="290" spans="1:7" x14ac:dyDescent="0.25">
      <c r="A290" s="51">
        <f>'A) Base RI'!A286</f>
        <v>5902</v>
      </c>
      <c r="B290" s="321" t="str">
        <f>'A) Base RI'!B286</f>
        <v>Belmont-sur-Yverdon</v>
      </c>
      <c r="C290" s="10">
        <f>'A) Base RI'!AN286</f>
        <v>378</v>
      </c>
      <c r="D290" s="15">
        <f>'C) Prél. conj.'!H284</f>
        <v>31716.35</v>
      </c>
      <c r="E290" s="10">
        <f>'D) Ecrêtage'!L284</f>
        <v>0</v>
      </c>
      <c r="F290" s="15">
        <f>$F$10*'D) Ecrêtage'!M284</f>
        <v>148731.92157552022</v>
      </c>
      <c r="G290" s="59">
        <f t="shared" si="4"/>
        <v>180448.27157552022</v>
      </c>
    </row>
    <row r="291" spans="1:7" x14ac:dyDescent="0.25">
      <c r="A291" s="51">
        <f>'A) Base RI'!A287</f>
        <v>5903</v>
      </c>
      <c r="B291" s="321" t="str">
        <f>'A) Base RI'!B287</f>
        <v>Bioley-Magnoux</v>
      </c>
      <c r="C291" s="10">
        <f>'A) Base RI'!AN287</f>
        <v>225</v>
      </c>
      <c r="D291" s="15">
        <f>'C) Prél. conj.'!H285</f>
        <v>15496.06</v>
      </c>
      <c r="E291" s="10">
        <f>'D) Ecrêtage'!L285</f>
        <v>0</v>
      </c>
      <c r="F291" s="15">
        <f>$F$10*'D) Ecrêtage'!M285</f>
        <v>89788.794737504883</v>
      </c>
      <c r="G291" s="59">
        <f t="shared" si="4"/>
        <v>105284.85473750488</v>
      </c>
    </row>
    <row r="292" spans="1:7" x14ac:dyDescent="0.25">
      <c r="A292" s="51">
        <f>'A) Base RI'!A288</f>
        <v>5904</v>
      </c>
      <c r="B292" s="321" t="str">
        <f>'A) Base RI'!B288</f>
        <v>Chamblon</v>
      </c>
      <c r="C292" s="10">
        <f>'A) Base RI'!AN288</f>
        <v>534</v>
      </c>
      <c r="D292" s="15">
        <f>'C) Prél. conj.'!H286</f>
        <v>51290.180000000008</v>
      </c>
      <c r="E292" s="10">
        <f>'D) Ecrêtage'!L286</f>
        <v>0</v>
      </c>
      <c r="F292" s="15">
        <f>$F$10*'D) Ecrêtage'!M286</f>
        <v>326180.9813365697</v>
      </c>
      <c r="G292" s="59">
        <f t="shared" si="4"/>
        <v>377471.1613365697</v>
      </c>
    </row>
    <row r="293" spans="1:7" x14ac:dyDescent="0.25">
      <c r="A293" s="51">
        <f>'A) Base RI'!A289</f>
        <v>5905</v>
      </c>
      <c r="B293" s="321" t="str">
        <f>'A) Base RI'!B289</f>
        <v>Champvent</v>
      </c>
      <c r="C293" s="10">
        <f>'A) Base RI'!AN289</f>
        <v>669</v>
      </c>
      <c r="D293" s="15">
        <f>'C) Prél. conj.'!H287</f>
        <v>58015.33</v>
      </c>
      <c r="E293" s="10">
        <f>'D) Ecrêtage'!L287</f>
        <v>0</v>
      </c>
      <c r="F293" s="15">
        <f>$F$10*'D) Ecrêtage'!M287</f>
        <v>349508.61432475346</v>
      </c>
      <c r="G293" s="59">
        <f t="shared" si="4"/>
        <v>407523.94432475348</v>
      </c>
    </row>
    <row r="294" spans="1:7" x14ac:dyDescent="0.25">
      <c r="A294" s="51">
        <f>'A) Base RI'!A290</f>
        <v>5907</v>
      </c>
      <c r="B294" s="321" t="str">
        <f>'A) Base RI'!B290</f>
        <v>Chavannes-le-Chêne</v>
      </c>
      <c r="C294" s="10">
        <f>'A) Base RI'!AN290</f>
        <v>298</v>
      </c>
      <c r="D294" s="15">
        <f>'C) Prél. conj.'!H288</f>
        <v>6569.6999999999989</v>
      </c>
      <c r="E294" s="10">
        <f>'D) Ecrêtage'!L288</f>
        <v>0</v>
      </c>
      <c r="F294" s="15">
        <f>$F$10*'D) Ecrêtage'!M288</f>
        <v>129838.62817437782</v>
      </c>
      <c r="G294" s="59">
        <f t="shared" si="4"/>
        <v>136408.32817437782</v>
      </c>
    </row>
    <row r="295" spans="1:7" x14ac:dyDescent="0.25">
      <c r="A295" s="51">
        <f>'A) Base RI'!A291</f>
        <v>5908</v>
      </c>
      <c r="B295" s="321" t="str">
        <f>'A) Base RI'!B291</f>
        <v>Chêne-Pâquier</v>
      </c>
      <c r="C295" s="10">
        <f>'A) Base RI'!AN291</f>
        <v>139</v>
      </c>
      <c r="D295" s="15">
        <f>'C) Prél. conj.'!H289</f>
        <v>1419.8249999999998</v>
      </c>
      <c r="E295" s="10">
        <f>'D) Ecrêtage'!L289</f>
        <v>0</v>
      </c>
      <c r="F295" s="15">
        <f>$F$10*'D) Ecrêtage'!M289</f>
        <v>41316.270836480362</v>
      </c>
      <c r="G295" s="59">
        <f t="shared" si="4"/>
        <v>42736.095836480359</v>
      </c>
    </row>
    <row r="296" spans="1:7" x14ac:dyDescent="0.25">
      <c r="A296" s="51">
        <f>'A) Base RI'!A292</f>
        <v>5909</v>
      </c>
      <c r="B296" s="321" t="str">
        <f>'A) Base RI'!B292</f>
        <v>Cheseaux-Noréaz</v>
      </c>
      <c r="C296" s="10">
        <f>'A) Base RI'!AN292</f>
        <v>705</v>
      </c>
      <c r="D296" s="15">
        <f>'C) Prél. conj.'!H290</f>
        <v>137241.32500000001</v>
      </c>
      <c r="E296" s="10">
        <f>'D) Ecrêtage'!L290</f>
        <v>0</v>
      </c>
      <c r="F296" s="15">
        <f>$F$10*'D) Ecrêtage'!M290</f>
        <v>420023.13659392204</v>
      </c>
      <c r="G296" s="59">
        <f t="shared" si="4"/>
        <v>557264.46159392199</v>
      </c>
    </row>
    <row r="297" spans="1:7" x14ac:dyDescent="0.25">
      <c r="A297" s="51">
        <f>'A) Base RI'!A293</f>
        <v>5910</v>
      </c>
      <c r="B297" s="321" t="str">
        <f>'A) Base RI'!B293</f>
        <v>Cronay</v>
      </c>
      <c r="C297" s="10">
        <f>'A) Base RI'!AN293</f>
        <v>380</v>
      </c>
      <c r="D297" s="15">
        <f>'C) Prél. conj.'!H291</f>
        <v>4225.1750000000002</v>
      </c>
      <c r="E297" s="10">
        <f>'D) Ecrêtage'!L291</f>
        <v>0</v>
      </c>
      <c r="F297" s="15">
        <f>$F$10*'D) Ecrêtage'!M291</f>
        <v>152073.35428537359</v>
      </c>
      <c r="G297" s="59">
        <f t="shared" si="4"/>
        <v>156298.52928537357</v>
      </c>
    </row>
    <row r="298" spans="1:7" x14ac:dyDescent="0.25">
      <c r="A298" s="51">
        <f>'A) Base RI'!A294</f>
        <v>5911</v>
      </c>
      <c r="B298" s="321" t="str">
        <f>'A) Base RI'!B294</f>
        <v>Cuarny</v>
      </c>
      <c r="C298" s="10">
        <f>'A) Base RI'!AN294</f>
        <v>241</v>
      </c>
      <c r="D298" s="15">
        <f>'C) Prél. conj.'!H292</f>
        <v>5294.3250000000007</v>
      </c>
      <c r="E298" s="10">
        <f>'D) Ecrêtage'!L292</f>
        <v>0</v>
      </c>
      <c r="F298" s="15">
        <f>$F$10*'D) Ecrêtage'!M292</f>
        <v>106239.56584132623</v>
      </c>
      <c r="G298" s="59">
        <f t="shared" si="4"/>
        <v>111533.89084132623</v>
      </c>
    </row>
    <row r="299" spans="1:7" x14ac:dyDescent="0.25">
      <c r="A299" s="51">
        <f>'A) Base RI'!A295</f>
        <v>5912</v>
      </c>
      <c r="B299" s="321" t="str">
        <f>'A) Base RI'!B295</f>
        <v>Démoret</v>
      </c>
      <c r="C299" s="10">
        <f>'A) Base RI'!AN295</f>
        <v>146</v>
      </c>
      <c r="D299" s="15">
        <f>'C) Prél. conj.'!H293</f>
        <v>7130.1750000000002</v>
      </c>
      <c r="E299" s="10">
        <f>'D) Ecrêtage'!L293</f>
        <v>0</v>
      </c>
      <c r="F299" s="15">
        <f>$F$10*'D) Ecrêtage'!M293</f>
        <v>47899.571675149375</v>
      </c>
      <c r="G299" s="59">
        <f t="shared" si="4"/>
        <v>55029.746675149378</v>
      </c>
    </row>
    <row r="300" spans="1:7" x14ac:dyDescent="0.25">
      <c r="A300" s="51">
        <f>'A) Base RI'!A296</f>
        <v>5913</v>
      </c>
      <c r="B300" s="321" t="str">
        <f>'A) Base RI'!B296</f>
        <v>Donneloye</v>
      </c>
      <c r="C300" s="10">
        <f>'A) Base RI'!AN296</f>
        <v>813</v>
      </c>
      <c r="D300" s="15">
        <f>'C) Prél. conj.'!H294</f>
        <v>44885.03</v>
      </c>
      <c r="E300" s="10">
        <f>'D) Ecrêtage'!L294</f>
        <v>0</v>
      </c>
      <c r="F300" s="15">
        <f>$F$10*'D) Ecrêtage'!M294</f>
        <v>303569.23859279498</v>
      </c>
      <c r="G300" s="59">
        <f t="shared" si="4"/>
        <v>348454.26859279501</v>
      </c>
    </row>
    <row r="301" spans="1:7" x14ac:dyDescent="0.25">
      <c r="A301" s="51">
        <f>'A) Base RI'!A297</f>
        <v>5914</v>
      </c>
      <c r="B301" s="321" t="str">
        <f>'A) Base RI'!B297</f>
        <v>Ependes</v>
      </c>
      <c r="C301" s="10">
        <f>'A) Base RI'!AN297</f>
        <v>361</v>
      </c>
      <c r="D301" s="15">
        <f>'C) Prél. conj.'!H295</f>
        <v>18859.95</v>
      </c>
      <c r="E301" s="10">
        <f>'D) Ecrêtage'!L295</f>
        <v>0</v>
      </c>
      <c r="F301" s="15">
        <f>$F$10*'D) Ecrêtage'!M295</f>
        <v>150134.54585355974</v>
      </c>
      <c r="G301" s="59">
        <f t="shared" si="4"/>
        <v>168994.49585355975</v>
      </c>
    </row>
    <row r="302" spans="1:7" x14ac:dyDescent="0.25">
      <c r="A302" s="51">
        <f>'A) Base RI'!A298</f>
        <v>5919</v>
      </c>
      <c r="B302" s="321" t="str">
        <f>'A) Base RI'!B298</f>
        <v>Mathod</v>
      </c>
      <c r="C302" s="10">
        <f>'A) Base RI'!AN298</f>
        <v>617</v>
      </c>
      <c r="D302" s="15">
        <f>'C) Prél. conj.'!H296</f>
        <v>12442.785</v>
      </c>
      <c r="E302" s="10">
        <f>'D) Ecrêtage'!L296</f>
        <v>0</v>
      </c>
      <c r="F302" s="15">
        <f>$F$10*'D) Ecrêtage'!M296</f>
        <v>239855.22216047914</v>
      </c>
      <c r="G302" s="59">
        <f t="shared" si="4"/>
        <v>252298.00716047914</v>
      </c>
    </row>
    <row r="303" spans="1:7" x14ac:dyDescent="0.25">
      <c r="A303" s="51">
        <f>'A) Base RI'!A299</f>
        <v>5921</v>
      </c>
      <c r="B303" s="321" t="str">
        <f>'A) Base RI'!B299</f>
        <v>Molondin</v>
      </c>
      <c r="C303" s="10">
        <f>'A) Base RI'!AN299</f>
        <v>232</v>
      </c>
      <c r="D303" s="15">
        <f>'C) Prél. conj.'!H297</f>
        <v>11972.15</v>
      </c>
      <c r="E303" s="10">
        <f>'D) Ecrêtage'!L297</f>
        <v>0</v>
      </c>
      <c r="F303" s="15">
        <f>$F$10*'D) Ecrêtage'!M297</f>
        <v>81507.937931515437</v>
      </c>
      <c r="G303" s="59">
        <f t="shared" si="4"/>
        <v>93480.087931515431</v>
      </c>
    </row>
    <row r="304" spans="1:7" x14ac:dyDescent="0.25">
      <c r="A304" s="51">
        <f>'A) Base RI'!A300</f>
        <v>5922</v>
      </c>
      <c r="B304" s="321" t="str">
        <f>'A) Base RI'!B300</f>
        <v>Montagny-près-Yverdon</v>
      </c>
      <c r="C304" s="10">
        <f>'A) Base RI'!AN300</f>
        <v>717</v>
      </c>
      <c r="D304" s="15">
        <f>'C) Prél. conj.'!H298</f>
        <v>125894.785</v>
      </c>
      <c r="E304" s="10">
        <f>'D) Ecrêtage'!L298</f>
        <v>181357.32078365664</v>
      </c>
      <c r="F304" s="15">
        <f>$F$10*'D) Ecrêtage'!M298</f>
        <v>692929.80507991638</v>
      </c>
      <c r="G304" s="59">
        <f t="shared" si="4"/>
        <v>1000181.9108635731</v>
      </c>
    </row>
    <row r="305" spans="1:7" x14ac:dyDescent="0.25">
      <c r="A305" s="51">
        <f>'A) Base RI'!A301</f>
        <v>5923</v>
      </c>
      <c r="B305" s="321" t="str">
        <f>'A) Base RI'!B301</f>
        <v>Oppens</v>
      </c>
      <c r="C305" s="10">
        <f>'A) Base RI'!AN301</f>
        <v>187</v>
      </c>
      <c r="D305" s="15">
        <f>'C) Prél. conj.'!H299</f>
        <v>9992.85</v>
      </c>
      <c r="E305" s="10">
        <f>'D) Ecrêtage'!L299</f>
        <v>0</v>
      </c>
      <c r="F305" s="15">
        <f>$F$10*'D) Ecrêtage'!M299</f>
        <v>69901.027619510249</v>
      </c>
      <c r="G305" s="59">
        <f t="shared" si="4"/>
        <v>79893.877619510255</v>
      </c>
    </row>
    <row r="306" spans="1:7" x14ac:dyDescent="0.25">
      <c r="A306" s="51">
        <f>'A) Base RI'!A302</f>
        <v>5924</v>
      </c>
      <c r="B306" s="321" t="str">
        <f>'A) Base RI'!B302</f>
        <v>Orges</v>
      </c>
      <c r="C306" s="10">
        <f>'A) Base RI'!AN302</f>
        <v>336</v>
      </c>
      <c r="D306" s="15">
        <f>'C) Prél. conj.'!H300</f>
        <v>10564.745000000001</v>
      </c>
      <c r="E306" s="10">
        <f>'D) Ecrêtage'!L300</f>
        <v>0</v>
      </c>
      <c r="F306" s="15">
        <f>$F$10*'D) Ecrêtage'!M300</f>
        <v>158928.66958186595</v>
      </c>
      <c r="G306" s="59">
        <f t="shared" si="4"/>
        <v>169493.41458186595</v>
      </c>
    </row>
    <row r="307" spans="1:7" x14ac:dyDescent="0.25">
      <c r="A307" s="51">
        <f>'A) Base RI'!A303</f>
        <v>5925</v>
      </c>
      <c r="B307" s="321" t="str">
        <f>'A) Base RI'!B303</f>
        <v>Orzens</v>
      </c>
      <c r="C307" s="10">
        <f>'A) Base RI'!AN303</f>
        <v>195</v>
      </c>
      <c r="D307" s="15">
        <f>'C) Prél. conj.'!H301</f>
        <v>4070</v>
      </c>
      <c r="E307" s="10">
        <f>'D) Ecrêtage'!L301</f>
        <v>0</v>
      </c>
      <c r="F307" s="15">
        <f>$F$10*'D) Ecrêtage'!M301</f>
        <v>71791.540212369291</v>
      </c>
      <c r="G307" s="59">
        <f t="shared" si="4"/>
        <v>75861.540212369291</v>
      </c>
    </row>
    <row r="308" spans="1:7" x14ac:dyDescent="0.25">
      <c r="A308" s="51">
        <f>'A) Base RI'!A304</f>
        <v>5926</v>
      </c>
      <c r="B308" s="321" t="str">
        <f>'A) Base RI'!B304</f>
        <v>Pomy</v>
      </c>
      <c r="C308" s="10">
        <f>'A) Base RI'!AN304</f>
        <v>785</v>
      </c>
      <c r="D308" s="15">
        <f>'C) Prél. conj.'!H302</f>
        <v>45088.079999999994</v>
      </c>
      <c r="E308" s="10">
        <f>'D) Ecrêtage'!L302</f>
        <v>0</v>
      </c>
      <c r="F308" s="15">
        <f>$F$10*'D) Ecrêtage'!M302</f>
        <v>350614.9100553313</v>
      </c>
      <c r="G308" s="59">
        <f t="shared" si="4"/>
        <v>395702.99005533132</v>
      </c>
    </row>
    <row r="309" spans="1:7" x14ac:dyDescent="0.25">
      <c r="A309" s="51">
        <f>'A) Base RI'!A305</f>
        <v>5928</v>
      </c>
      <c r="B309" s="321" t="str">
        <f>'A) Base RI'!B305</f>
        <v>Rovray</v>
      </c>
      <c r="C309" s="10">
        <f>'A) Base RI'!AN305</f>
        <v>187</v>
      </c>
      <c r="D309" s="15">
        <f>'C) Prél. conj.'!H303</f>
        <v>5186.3549999999996</v>
      </c>
      <c r="E309" s="10">
        <f>'D) Ecrêtage'!L303</f>
        <v>0</v>
      </c>
      <c r="F309" s="15">
        <f>$F$10*'D) Ecrêtage'!M303</f>
        <v>67504.787599920091</v>
      </c>
      <c r="G309" s="59">
        <f t="shared" si="4"/>
        <v>72691.142599920087</v>
      </c>
    </row>
    <row r="310" spans="1:7" x14ac:dyDescent="0.25">
      <c r="A310" s="51">
        <f>'A) Base RI'!A306</f>
        <v>5929</v>
      </c>
      <c r="B310" s="321" t="str">
        <f>'A) Base RI'!B306</f>
        <v>Suchy</v>
      </c>
      <c r="C310" s="10">
        <f>'A) Base RI'!AN306</f>
        <v>605</v>
      </c>
      <c r="D310" s="15">
        <f>'C) Prél. conj.'!H304</f>
        <v>44374.41</v>
      </c>
      <c r="E310" s="10">
        <f>'D) Ecrêtage'!L304</f>
        <v>0</v>
      </c>
      <c r="F310" s="15">
        <f>$F$10*'D) Ecrêtage'!M304</f>
        <v>257036.00470298054</v>
      </c>
      <c r="G310" s="59">
        <f t="shared" si="4"/>
        <v>301410.41470298055</v>
      </c>
    </row>
    <row r="311" spans="1:7" x14ac:dyDescent="0.25">
      <c r="A311" s="51">
        <f>'A) Base RI'!A307</f>
        <v>5930</v>
      </c>
      <c r="B311" s="321" t="str">
        <f>'A) Base RI'!B307</f>
        <v>Suscévaz</v>
      </c>
      <c r="C311" s="10">
        <f>'A) Base RI'!AN307</f>
        <v>200</v>
      </c>
      <c r="D311" s="15">
        <f>'C) Prél. conj.'!H305</f>
        <v>20760.825000000001</v>
      </c>
      <c r="E311" s="10">
        <f>'D) Ecrêtage'!L305</f>
        <v>0</v>
      </c>
      <c r="F311" s="15">
        <f>$F$10*'D) Ecrêtage'!M305</f>
        <v>80521.961523648308</v>
      </c>
      <c r="G311" s="59">
        <f t="shared" si="4"/>
        <v>101282.7865236483</v>
      </c>
    </row>
    <row r="312" spans="1:7" x14ac:dyDescent="0.25">
      <c r="A312" s="51">
        <f>'A) Base RI'!A308</f>
        <v>5931</v>
      </c>
      <c r="B312" s="321" t="str">
        <f>'A) Base RI'!B308</f>
        <v>Treycovagnes</v>
      </c>
      <c r="C312" s="10">
        <f>'A) Base RI'!AN308</f>
        <v>456</v>
      </c>
      <c r="D312" s="15">
        <f>'C) Prél. conj.'!H306</f>
        <v>56057.760000000002</v>
      </c>
      <c r="E312" s="10">
        <f>'D) Ecrêtage'!L306</f>
        <v>0</v>
      </c>
      <c r="F312" s="15">
        <f>$F$10*'D) Ecrêtage'!M306</f>
        <v>199531.28217170085</v>
      </c>
      <c r="G312" s="59">
        <f t="shared" si="4"/>
        <v>255589.04217170086</v>
      </c>
    </row>
    <row r="313" spans="1:7" x14ac:dyDescent="0.25">
      <c r="A313" s="51">
        <f>'A) Base RI'!A309</f>
        <v>5932</v>
      </c>
      <c r="B313" s="321" t="str">
        <f>'A) Base RI'!B309</f>
        <v>Ursins</v>
      </c>
      <c r="C313" s="10">
        <f>'A) Base RI'!AN309</f>
        <v>218</v>
      </c>
      <c r="D313" s="15">
        <f>'C) Prél. conj.'!H307</f>
        <v>13200</v>
      </c>
      <c r="E313" s="10">
        <f>'D) Ecrêtage'!L307</f>
        <v>0</v>
      </c>
      <c r="F313" s="15">
        <f>$F$10*'D) Ecrêtage'!M307</f>
        <v>102984.17888892085</v>
      </c>
      <c r="G313" s="59">
        <f t="shared" si="4"/>
        <v>116184.17888892085</v>
      </c>
    </row>
    <row r="314" spans="1:7" x14ac:dyDescent="0.25">
      <c r="A314" s="51">
        <f>'A) Base RI'!A310</f>
        <v>5933</v>
      </c>
      <c r="B314" s="321" t="str">
        <f>'A) Base RI'!B310</f>
        <v>Valeyres-sous-Montagny</v>
      </c>
      <c r="C314" s="10">
        <f>'A) Base RI'!AN310</f>
        <v>705</v>
      </c>
      <c r="D314" s="15">
        <f>'C) Prél. conj.'!H308</f>
        <v>66560.819999999992</v>
      </c>
      <c r="E314" s="10">
        <f>'D) Ecrêtage'!L308</f>
        <v>0</v>
      </c>
      <c r="F314" s="15">
        <f>$F$10*'D) Ecrêtage'!M308</f>
        <v>311762.69111720461</v>
      </c>
      <c r="G314" s="59">
        <f t="shared" si="4"/>
        <v>378323.51111720462</v>
      </c>
    </row>
    <row r="315" spans="1:7" x14ac:dyDescent="0.25">
      <c r="A315" s="51">
        <f>'A) Base RI'!A311</f>
        <v>5934</v>
      </c>
      <c r="B315" s="321" t="str">
        <f>'A) Base RI'!B311</f>
        <v>Valeyres-sous-Ursins</v>
      </c>
      <c r="C315" s="10">
        <f>'A) Base RI'!AN311</f>
        <v>238</v>
      </c>
      <c r="D315" s="15">
        <f>'C) Prél. conj.'!H309</f>
        <v>0</v>
      </c>
      <c r="E315" s="10">
        <f>'D) Ecrêtage'!L309</f>
        <v>0</v>
      </c>
      <c r="F315" s="15">
        <f>$F$10*'D) Ecrêtage'!M309</f>
        <v>103538.69234763244</v>
      </c>
      <c r="G315" s="59">
        <f t="shared" si="4"/>
        <v>103538.69234763244</v>
      </c>
    </row>
    <row r="316" spans="1:7" x14ac:dyDescent="0.25">
      <c r="A316" s="51">
        <f>'A) Base RI'!A312</f>
        <v>5935</v>
      </c>
      <c r="B316" s="321" t="str">
        <f>'A) Base RI'!B312</f>
        <v>Villars-Epeney</v>
      </c>
      <c r="C316" s="10">
        <f>'A) Base RI'!AN312</f>
        <v>106</v>
      </c>
      <c r="D316" s="15">
        <f>'C) Prél. conj.'!H310</f>
        <v>4730</v>
      </c>
      <c r="E316" s="10">
        <f>'D) Ecrêtage'!L310</f>
        <v>0</v>
      </c>
      <c r="F316" s="15">
        <f>$F$10*'D) Ecrêtage'!M310</f>
        <v>82702.73728555374</v>
      </c>
      <c r="G316" s="59">
        <f t="shared" si="4"/>
        <v>87432.73728555374</v>
      </c>
    </row>
    <row r="317" spans="1:7" x14ac:dyDescent="0.25">
      <c r="A317" s="51">
        <f>'A) Base RI'!A313</f>
        <v>5937</v>
      </c>
      <c r="B317" s="321" t="str">
        <f>'A) Base RI'!B313</f>
        <v>Vugelles-La Mothe</v>
      </c>
      <c r="C317" s="10">
        <f>'A) Base RI'!AN313</f>
        <v>122</v>
      </c>
      <c r="D317" s="15">
        <f>'C) Prél. conj.'!H311</f>
        <v>5989.5749999999998</v>
      </c>
      <c r="E317" s="10">
        <f>'D) Ecrêtage'!L311</f>
        <v>0</v>
      </c>
      <c r="F317" s="15">
        <f>$F$10*'D) Ecrêtage'!M311</f>
        <v>43407.722536477348</v>
      </c>
      <c r="G317" s="59">
        <f t="shared" si="4"/>
        <v>49397.297536477345</v>
      </c>
    </row>
    <row r="318" spans="1:7" x14ac:dyDescent="0.25">
      <c r="A318" s="51">
        <f>'A) Base RI'!A314</f>
        <v>5938</v>
      </c>
      <c r="B318" s="321" t="str">
        <f>'A) Base RI'!B314</f>
        <v>Yverdon-les-Bains</v>
      </c>
      <c r="C318" s="10">
        <f>'A) Base RI'!AN314</f>
        <v>30208</v>
      </c>
      <c r="D318" s="15">
        <f>'C) Prél. conj.'!H312</f>
        <v>2847343.73</v>
      </c>
      <c r="E318" s="10">
        <f>'D) Ecrêtage'!L312</f>
        <v>0</v>
      </c>
      <c r="F318" s="15">
        <f>$F$10*'D) Ecrêtage'!M312</f>
        <v>12040875.350967735</v>
      </c>
      <c r="G318" s="59">
        <f t="shared" si="4"/>
        <v>14888219.080967735</v>
      </c>
    </row>
    <row r="319" spans="1:7" x14ac:dyDescent="0.25">
      <c r="A319" s="51">
        <f>'A) Base RI'!A315</f>
        <v>5939</v>
      </c>
      <c r="B319" s="321" t="str">
        <f>'A) Base RI'!B315</f>
        <v>Yvonand</v>
      </c>
      <c r="C319" s="10">
        <f>'A) Base RI'!AN315</f>
        <v>3351</v>
      </c>
      <c r="D319" s="15">
        <f>'C) Prél. conj.'!H313</f>
        <v>630616.59499999997</v>
      </c>
      <c r="E319" s="10">
        <f>'D) Ecrêtage'!L313</f>
        <v>0</v>
      </c>
      <c r="F319" s="15">
        <f>$F$10*'D) Ecrêtage'!M313</f>
        <v>1402617.3818922348</v>
      </c>
      <c r="G319" s="59">
        <f t="shared" si="4"/>
        <v>2033233.9768922348</v>
      </c>
    </row>
    <row r="320" spans="1:7" x14ac:dyDescent="0.25">
      <c r="A320" s="32"/>
      <c r="B320" s="328">
        <f>COUNTA(B11:B319)</f>
        <v>309</v>
      </c>
      <c r="C320" s="11">
        <f>SUM(C11:C319)</f>
        <v>794384</v>
      </c>
      <c r="D320" s="329">
        <f>SUM(D11:D319)</f>
        <v>132947500.20500001</v>
      </c>
      <c r="E320" s="11">
        <f>SUM(E11:E319)</f>
        <v>105403906.78489967</v>
      </c>
      <c r="F320" s="329">
        <f>SUM(F11:F319)</f>
        <v>534279549.01010031</v>
      </c>
      <c r="G320" s="39">
        <f>SUM(G11:G319)</f>
        <v>772630956</v>
      </c>
    </row>
    <row r="321" spans="1:13" x14ac:dyDescent="0.25">
      <c r="C321" s="77"/>
      <c r="D321" s="77"/>
      <c r="E321" s="77"/>
      <c r="F321" s="77"/>
    </row>
    <row r="322" spans="1:13" x14ac:dyDescent="0.25">
      <c r="A322" s="78"/>
      <c r="B322" s="79"/>
      <c r="C322" s="79"/>
      <c r="D322" s="47"/>
      <c r="E322" s="80"/>
      <c r="F322" s="17"/>
      <c r="G322" s="17"/>
      <c r="H322" s="17"/>
      <c r="I322" s="17"/>
      <c r="J322" s="17"/>
      <c r="M322" s="17"/>
    </row>
    <row r="323" spans="1:13" x14ac:dyDescent="0.25">
      <c r="F323" s="78"/>
      <c r="G323" s="78"/>
      <c r="H323" s="78"/>
      <c r="I323" s="78"/>
      <c r="J323" s="78"/>
      <c r="K323" s="78"/>
      <c r="L323" s="79"/>
      <c r="M323" s="78"/>
    </row>
    <row r="324" spans="1:13" x14ac:dyDescent="0.25">
      <c r="F324" s="79"/>
      <c r="G324" s="78"/>
      <c r="H324" s="78"/>
      <c r="I324" s="78"/>
      <c r="J324" s="78"/>
      <c r="K324" s="78"/>
      <c r="L324" s="78"/>
      <c r="M324" s="78"/>
    </row>
    <row r="325" spans="1:13" x14ac:dyDescent="0.25">
      <c r="F325" s="79"/>
      <c r="G325" s="78"/>
      <c r="H325" s="78"/>
      <c r="I325" s="78"/>
      <c r="M325" s="78"/>
    </row>
    <row r="326" spans="1:13" x14ac:dyDescent="0.25">
      <c r="F326" s="79"/>
      <c r="G326" s="78"/>
      <c r="H326" s="78"/>
      <c r="I326" s="78"/>
      <c r="M326" s="78"/>
    </row>
    <row r="327" spans="1:13" x14ac:dyDescent="0.25">
      <c r="F327" s="91"/>
      <c r="G327" s="78"/>
      <c r="H327" s="78"/>
      <c r="I327" s="78"/>
      <c r="M327" s="78"/>
    </row>
    <row r="328" spans="1:13" x14ac:dyDescent="0.25">
      <c r="D328" s="19"/>
      <c r="E328" s="78"/>
      <c r="F328" s="78"/>
      <c r="G328" s="78"/>
      <c r="H328" s="78"/>
      <c r="I328" s="78"/>
      <c r="J328" s="78"/>
      <c r="K328" s="78"/>
      <c r="L328" s="78"/>
      <c r="M328" s="78"/>
    </row>
    <row r="329" spans="1:13" x14ac:dyDescent="0.25">
      <c r="C329" s="63"/>
      <c r="E329" s="78"/>
      <c r="F329" s="78"/>
      <c r="G329" s="78"/>
      <c r="H329" s="78"/>
      <c r="I329" s="78"/>
      <c r="J329" s="78"/>
      <c r="K329" s="78"/>
      <c r="L329" s="78"/>
      <c r="M329" s="78"/>
    </row>
    <row r="330" spans="1:13" x14ac:dyDescent="0.25">
      <c r="E330" s="78"/>
      <c r="F330" s="78"/>
      <c r="G330" s="78"/>
      <c r="H330" s="78"/>
      <c r="I330" s="78"/>
      <c r="J330" s="78"/>
      <c r="M330" s="78"/>
    </row>
    <row r="331" spans="1:13" x14ac:dyDescent="0.25">
      <c r="E331" s="78"/>
      <c r="F331" s="78"/>
      <c r="G331" s="78"/>
      <c r="H331" s="78"/>
      <c r="I331" s="78"/>
      <c r="J331" s="78"/>
      <c r="M331" s="78"/>
    </row>
    <row r="332" spans="1:13" x14ac:dyDescent="0.25">
      <c r="E332" s="78"/>
      <c r="F332" s="78"/>
      <c r="G332" s="78"/>
      <c r="H332" s="78"/>
      <c r="I332" s="78"/>
      <c r="J332" s="78"/>
      <c r="M332" s="78"/>
    </row>
  </sheetData>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00B050"/>
  </sheetPr>
  <dimension ref="A1:L328"/>
  <sheetViews>
    <sheetView topLeftCell="A289" workbookViewId="0">
      <selection activeCell="L328" sqref="L328"/>
    </sheetView>
  </sheetViews>
  <sheetFormatPr baseColWidth="10" defaultColWidth="11" defaultRowHeight="15" x14ac:dyDescent="0.25"/>
  <cols>
    <col min="1" max="1" width="7.25" style="14" customWidth="1"/>
    <col min="2" max="2" width="17.375" style="14" bestFit="1" customWidth="1"/>
    <col min="3" max="3" width="8" style="14" bestFit="1" customWidth="1"/>
    <col min="4" max="9" width="11" style="14"/>
    <col min="10" max="10" width="8.25" style="14" bestFit="1" customWidth="1"/>
    <col min="11" max="11" width="10.75" style="14" bestFit="1" customWidth="1"/>
    <col min="12" max="16384" width="11" style="14"/>
  </cols>
  <sheetData>
    <row r="1" spans="1:12" ht="21" x14ac:dyDescent="0.25">
      <c r="A1" s="53" t="s">
        <v>466</v>
      </c>
      <c r="B1" s="44"/>
      <c r="C1" s="74"/>
    </row>
    <row r="2" spans="1:12" x14ac:dyDescent="0.25">
      <c r="A2" s="29"/>
      <c r="B2" s="55"/>
    </row>
    <row r="3" spans="1:12" x14ac:dyDescent="0.25">
      <c r="A3" s="29"/>
      <c r="B3" s="55"/>
      <c r="C3" s="585" t="s">
        <v>314</v>
      </c>
      <c r="D3" s="586"/>
      <c r="E3" s="586"/>
      <c r="F3" s="586"/>
      <c r="G3" s="586"/>
      <c r="H3" s="586"/>
      <c r="I3" s="586"/>
      <c r="J3" s="587"/>
    </row>
    <row r="4" spans="1:12" x14ac:dyDescent="0.25">
      <c r="C4" s="111" t="s">
        <v>313</v>
      </c>
      <c r="D4" s="108">
        <f>Paramètres!B24</f>
        <v>0</v>
      </c>
      <c r="E4" s="108">
        <f>Paramètres!C24</f>
        <v>1000</v>
      </c>
      <c r="F4" s="108">
        <f>Paramètres!D24</f>
        <v>3000</v>
      </c>
      <c r="G4" s="108">
        <f>Paramètres!E24</f>
        <v>5000</v>
      </c>
      <c r="H4" s="108">
        <f>Paramètres!F24</f>
        <v>9000</v>
      </c>
      <c r="I4" s="108">
        <f>Paramètres!G24</f>
        <v>12000</v>
      </c>
      <c r="J4" s="108">
        <f>Paramètres!H24</f>
        <v>15000</v>
      </c>
    </row>
    <row r="5" spans="1:12" x14ac:dyDescent="0.25">
      <c r="C5" s="112" t="s">
        <v>315</v>
      </c>
      <c r="D5" s="108">
        <f>Paramètres!B25</f>
        <v>1000</v>
      </c>
      <c r="E5" s="108">
        <f>Paramètres!C25</f>
        <v>3000</v>
      </c>
      <c r="F5" s="108">
        <f>Paramètres!D25</f>
        <v>5000</v>
      </c>
      <c r="G5" s="108">
        <f>Paramètres!E25</f>
        <v>9000</v>
      </c>
      <c r="H5" s="108">
        <f>Paramètres!F25</f>
        <v>12000</v>
      </c>
      <c r="I5" s="108">
        <f>Paramètres!G25</f>
        <v>15000</v>
      </c>
      <c r="J5" s="108"/>
    </row>
    <row r="6" spans="1:12" ht="30" customHeight="1" x14ac:dyDescent="0.25">
      <c r="A6" s="568" t="s">
        <v>50</v>
      </c>
      <c r="B6" s="568" t="s">
        <v>101</v>
      </c>
      <c r="C6" s="568" t="s">
        <v>310</v>
      </c>
      <c r="D6" s="575" t="s">
        <v>316</v>
      </c>
      <c r="E6" s="576"/>
      <c r="F6" s="576"/>
      <c r="G6" s="576"/>
      <c r="H6" s="576"/>
      <c r="I6" s="576"/>
      <c r="J6" s="577"/>
      <c r="K6" s="568" t="s">
        <v>301</v>
      </c>
    </row>
    <row r="7" spans="1:12" x14ac:dyDescent="0.25">
      <c r="A7" s="569"/>
      <c r="B7" s="569"/>
      <c r="C7" s="570"/>
      <c r="D7" s="295">
        <f>Paramètres!B29</f>
        <v>98.792756539235413</v>
      </c>
      <c r="E7" s="295">
        <f>Paramètres!C29</f>
        <v>345.77464788732391</v>
      </c>
      <c r="F7" s="295">
        <f>Paramètres!D29</f>
        <v>493.96378269617702</v>
      </c>
      <c r="G7" s="295">
        <f>Paramètres!E29</f>
        <v>592.75653923541245</v>
      </c>
      <c r="H7" s="295">
        <f>Paramètres!F29</f>
        <v>839.73843058350099</v>
      </c>
      <c r="I7" s="295">
        <f>Paramètres!G29</f>
        <v>987.92756539235404</v>
      </c>
      <c r="J7" s="295">
        <f>Paramètres!H29</f>
        <v>1037.3239436619717</v>
      </c>
      <c r="K7" s="569"/>
    </row>
    <row r="8" spans="1:12" x14ac:dyDescent="0.25">
      <c r="A8" s="48">
        <f>'A) Base RI'!A7</f>
        <v>5401</v>
      </c>
      <c r="B8" s="327" t="str">
        <f>'A) Base RI'!B7</f>
        <v>Aigle</v>
      </c>
      <c r="C8" s="15">
        <f>'A) Base RI'!AN7</f>
        <v>10153</v>
      </c>
      <c r="D8" s="10">
        <f>IF($C8&gt;D$4,IF($C8&lt;D$5,$C8-D$4,D$5-D$4),0)</f>
        <v>1000</v>
      </c>
      <c r="E8" s="15">
        <f t="shared" ref="E8:I23" si="0">IF($C8&gt;E$4,IF($C8&lt;E$5,$C8-E$4,E$5-E$4),0)</f>
        <v>2000</v>
      </c>
      <c r="F8" s="10">
        <f t="shared" si="0"/>
        <v>2000</v>
      </c>
      <c r="G8" s="15">
        <f t="shared" si="0"/>
        <v>4000</v>
      </c>
      <c r="H8" s="43">
        <f t="shared" si="0"/>
        <v>1153</v>
      </c>
      <c r="I8" s="10">
        <f t="shared" si="0"/>
        <v>0</v>
      </c>
      <c r="J8" s="10">
        <f>IF(C8&gt;$J$4,C8-$J$4,0)</f>
        <v>0</v>
      </c>
      <c r="K8" s="121">
        <f>(D8*D$7)+(E8*E$7)+(F8*F$7)+(G8*G$7)+(H8*H$7)+(I8*I$7)+(J8*J$7)</f>
        <v>5117514.185110664</v>
      </c>
    </row>
    <row r="9" spans="1:12" x14ac:dyDescent="0.25">
      <c r="A9" s="51">
        <f>'A) Base RI'!A8</f>
        <v>5402</v>
      </c>
      <c r="B9" s="34" t="str">
        <f>'A) Base RI'!B8</f>
        <v>Bex</v>
      </c>
      <c r="C9" s="15">
        <f>'A) Base RI'!AN8</f>
        <v>7719</v>
      </c>
      <c r="D9" s="10">
        <f t="shared" ref="D9:I63" si="1">IF($C9&gt;D$4,IF($C9&lt;D$5,$C9-D$4,D$5-D$4),0)</f>
        <v>1000</v>
      </c>
      <c r="E9" s="15">
        <f t="shared" si="0"/>
        <v>2000</v>
      </c>
      <c r="F9" s="10">
        <f t="shared" si="0"/>
        <v>2000</v>
      </c>
      <c r="G9" s="15">
        <f t="shared" si="0"/>
        <v>2719</v>
      </c>
      <c r="H9" s="43">
        <f t="shared" si="0"/>
        <v>0</v>
      </c>
      <c r="I9" s="10">
        <f t="shared" si="0"/>
        <v>0</v>
      </c>
      <c r="J9" s="10">
        <f t="shared" ref="J9:J72" si="2">IF(C9&gt;$J$4,C9-$J$4,0)</f>
        <v>0</v>
      </c>
      <c r="K9" s="121">
        <f t="shared" ref="K9:K72" si="3">(D9*D$7)+(E9*E$7)+(F9*F$7)+(G9*G$7)+(H9*H$7)+(I9*I$7)+(J9*J$7)</f>
        <v>3389974.647887324</v>
      </c>
    </row>
    <row r="10" spans="1:12" x14ac:dyDescent="0.25">
      <c r="A10" s="51">
        <f>'A) Base RI'!A9</f>
        <v>5403</v>
      </c>
      <c r="B10" s="34" t="str">
        <f>'A) Base RI'!B9</f>
        <v>Chessel</v>
      </c>
      <c r="C10" s="15">
        <f>'A) Base RI'!AN9</f>
        <v>403</v>
      </c>
      <c r="D10" s="10">
        <f t="shared" si="1"/>
        <v>403</v>
      </c>
      <c r="E10" s="15">
        <f t="shared" si="0"/>
        <v>0</v>
      </c>
      <c r="F10" s="10">
        <f t="shared" si="0"/>
        <v>0</v>
      </c>
      <c r="G10" s="15">
        <f t="shared" si="0"/>
        <v>0</v>
      </c>
      <c r="H10" s="43">
        <f t="shared" si="0"/>
        <v>0</v>
      </c>
      <c r="I10" s="10">
        <f t="shared" si="0"/>
        <v>0</v>
      </c>
      <c r="J10" s="10">
        <f t="shared" si="2"/>
        <v>0</v>
      </c>
      <c r="K10" s="121">
        <f t="shared" si="3"/>
        <v>39813.480885311874</v>
      </c>
    </row>
    <row r="11" spans="1:12" x14ac:dyDescent="0.25">
      <c r="A11" s="51">
        <f>'A) Base RI'!A10</f>
        <v>5404</v>
      </c>
      <c r="B11" s="34" t="str">
        <f>'A) Base RI'!B10</f>
        <v>Corbeyrier</v>
      </c>
      <c r="C11" s="15">
        <f>'A) Base RI'!AN10</f>
        <v>437</v>
      </c>
      <c r="D11" s="10">
        <f t="shared" si="1"/>
        <v>437</v>
      </c>
      <c r="E11" s="15">
        <f t="shared" si="0"/>
        <v>0</v>
      </c>
      <c r="F11" s="10">
        <f t="shared" si="0"/>
        <v>0</v>
      </c>
      <c r="G11" s="15">
        <f t="shared" si="0"/>
        <v>0</v>
      </c>
      <c r="H11" s="43">
        <f t="shared" si="0"/>
        <v>0</v>
      </c>
      <c r="I11" s="10">
        <f t="shared" si="0"/>
        <v>0</v>
      </c>
      <c r="J11" s="10">
        <f t="shared" si="2"/>
        <v>0</v>
      </c>
      <c r="K11" s="121">
        <f t="shared" si="3"/>
        <v>43172.434607645875</v>
      </c>
    </row>
    <row r="12" spans="1:12" x14ac:dyDescent="0.25">
      <c r="A12" s="51">
        <f>'A) Base RI'!A11</f>
        <v>5405</v>
      </c>
      <c r="B12" s="34" t="str">
        <f>'A) Base RI'!B11</f>
        <v>Gryon</v>
      </c>
      <c r="C12" s="15">
        <f>'A) Base RI'!AN11</f>
        <v>1364</v>
      </c>
      <c r="D12" s="10">
        <f t="shared" si="1"/>
        <v>1000</v>
      </c>
      <c r="E12" s="15">
        <f t="shared" si="0"/>
        <v>364</v>
      </c>
      <c r="F12" s="10">
        <f t="shared" si="0"/>
        <v>0</v>
      </c>
      <c r="G12" s="15">
        <f t="shared" si="0"/>
        <v>0</v>
      </c>
      <c r="H12" s="43">
        <f t="shared" si="0"/>
        <v>0</v>
      </c>
      <c r="I12" s="10">
        <f t="shared" si="0"/>
        <v>0</v>
      </c>
      <c r="J12" s="10">
        <f t="shared" si="2"/>
        <v>0</v>
      </c>
      <c r="K12" s="121">
        <f t="shared" si="3"/>
        <v>224654.72837022133</v>
      </c>
    </row>
    <row r="13" spans="1:12" x14ac:dyDescent="0.25">
      <c r="A13" s="51">
        <f>'A) Base RI'!A12</f>
        <v>5406</v>
      </c>
      <c r="B13" s="34" t="str">
        <f>'A) Base RI'!B12</f>
        <v>Lavey-Morcles</v>
      </c>
      <c r="C13" s="15">
        <f>'A) Base RI'!AN12</f>
        <v>926</v>
      </c>
      <c r="D13" s="10">
        <f t="shared" si="1"/>
        <v>926</v>
      </c>
      <c r="E13" s="15">
        <f t="shared" si="0"/>
        <v>0</v>
      </c>
      <c r="F13" s="10">
        <f t="shared" si="0"/>
        <v>0</v>
      </c>
      <c r="G13" s="15">
        <f t="shared" si="0"/>
        <v>0</v>
      </c>
      <c r="H13" s="43">
        <f t="shared" si="0"/>
        <v>0</v>
      </c>
      <c r="I13" s="10">
        <f t="shared" si="0"/>
        <v>0</v>
      </c>
      <c r="J13" s="10">
        <f t="shared" si="2"/>
        <v>0</v>
      </c>
      <c r="K13" s="121">
        <f t="shared" si="3"/>
        <v>91482.092555331998</v>
      </c>
    </row>
    <row r="14" spans="1:12" x14ac:dyDescent="0.25">
      <c r="A14" s="51">
        <f>'A) Base RI'!A13</f>
        <v>5407</v>
      </c>
      <c r="B14" s="34" t="str">
        <f>'A) Base RI'!B13</f>
        <v>Leysin</v>
      </c>
      <c r="C14" s="15">
        <f>'A) Base RI'!AN13</f>
        <v>4023</v>
      </c>
      <c r="D14" s="10">
        <f t="shared" si="1"/>
        <v>1000</v>
      </c>
      <c r="E14" s="15">
        <f t="shared" si="0"/>
        <v>2000</v>
      </c>
      <c r="F14" s="10">
        <f t="shared" si="0"/>
        <v>1023</v>
      </c>
      <c r="G14" s="15">
        <f t="shared" si="0"/>
        <v>0</v>
      </c>
      <c r="H14" s="43">
        <f t="shared" si="0"/>
        <v>0</v>
      </c>
      <c r="I14" s="10">
        <f t="shared" si="0"/>
        <v>0</v>
      </c>
      <c r="J14" s="10">
        <f t="shared" si="2"/>
        <v>0</v>
      </c>
      <c r="K14" s="121">
        <f t="shared" si="3"/>
        <v>1295667.0020120724</v>
      </c>
      <c r="L14" s="13"/>
    </row>
    <row r="15" spans="1:12" x14ac:dyDescent="0.25">
      <c r="A15" s="51">
        <f>'A) Base RI'!A14</f>
        <v>5408</v>
      </c>
      <c r="B15" s="34" t="str">
        <f>'A) Base RI'!B14</f>
        <v>Noville</v>
      </c>
      <c r="C15" s="15">
        <f>'A) Base RI'!AN14</f>
        <v>1055</v>
      </c>
      <c r="D15" s="10">
        <f t="shared" si="1"/>
        <v>1000</v>
      </c>
      <c r="E15" s="15">
        <f t="shared" si="0"/>
        <v>55</v>
      </c>
      <c r="F15" s="10">
        <f t="shared" si="0"/>
        <v>0</v>
      </c>
      <c r="G15" s="15">
        <f t="shared" si="0"/>
        <v>0</v>
      </c>
      <c r="H15" s="43">
        <f t="shared" si="0"/>
        <v>0</v>
      </c>
      <c r="I15" s="10">
        <f t="shared" si="0"/>
        <v>0</v>
      </c>
      <c r="J15" s="10">
        <f t="shared" si="2"/>
        <v>0</v>
      </c>
      <c r="K15" s="121">
        <f t="shared" si="3"/>
        <v>117810.36217303823</v>
      </c>
    </row>
    <row r="16" spans="1:12" x14ac:dyDescent="0.25">
      <c r="A16" s="51">
        <f>'A) Base RI'!A15</f>
        <v>5409</v>
      </c>
      <c r="B16" s="34" t="str">
        <f>'A) Base RI'!B15</f>
        <v>Ollon</v>
      </c>
      <c r="C16" s="15">
        <f>'A) Base RI'!AN15</f>
        <v>7494</v>
      </c>
      <c r="D16" s="10">
        <f t="shared" si="1"/>
        <v>1000</v>
      </c>
      <c r="E16" s="15">
        <f t="shared" si="0"/>
        <v>2000</v>
      </c>
      <c r="F16" s="10">
        <f t="shared" si="0"/>
        <v>2000</v>
      </c>
      <c r="G16" s="15">
        <f t="shared" si="0"/>
        <v>2494</v>
      </c>
      <c r="H16" s="43">
        <f t="shared" si="0"/>
        <v>0</v>
      </c>
      <c r="I16" s="10">
        <f t="shared" si="0"/>
        <v>0</v>
      </c>
      <c r="J16" s="10">
        <f t="shared" si="2"/>
        <v>0</v>
      </c>
      <c r="K16" s="121">
        <f t="shared" si="3"/>
        <v>3256604.426559356</v>
      </c>
    </row>
    <row r="17" spans="1:11" x14ac:dyDescent="0.25">
      <c r="A17" s="51">
        <f>'A) Base RI'!A16</f>
        <v>5410</v>
      </c>
      <c r="B17" s="34" t="str">
        <f>'A) Base RI'!B16</f>
        <v>Ormont-Dessous</v>
      </c>
      <c r="C17" s="15">
        <f>'A) Base RI'!AN16</f>
        <v>1117</v>
      </c>
      <c r="D17" s="10">
        <f t="shared" si="1"/>
        <v>1000</v>
      </c>
      <c r="E17" s="15">
        <f t="shared" si="0"/>
        <v>117</v>
      </c>
      <c r="F17" s="10">
        <f t="shared" si="0"/>
        <v>0</v>
      </c>
      <c r="G17" s="15">
        <f t="shared" si="0"/>
        <v>0</v>
      </c>
      <c r="H17" s="43">
        <f t="shared" si="0"/>
        <v>0</v>
      </c>
      <c r="I17" s="10">
        <f t="shared" si="0"/>
        <v>0</v>
      </c>
      <c r="J17" s="10">
        <f t="shared" si="2"/>
        <v>0</v>
      </c>
      <c r="K17" s="121">
        <f t="shared" si="3"/>
        <v>139248.39034205233</v>
      </c>
    </row>
    <row r="18" spans="1:11" x14ac:dyDescent="0.25">
      <c r="A18" s="51">
        <f>'A) Base RI'!A17</f>
        <v>5411</v>
      </c>
      <c r="B18" s="34" t="str">
        <f>'A) Base RI'!B17</f>
        <v>Ormont-Dessus</v>
      </c>
      <c r="C18" s="15">
        <f>'A) Base RI'!AN17</f>
        <v>1467</v>
      </c>
      <c r="D18" s="10">
        <f t="shared" si="1"/>
        <v>1000</v>
      </c>
      <c r="E18" s="15">
        <f t="shared" si="0"/>
        <v>467</v>
      </c>
      <c r="F18" s="10">
        <f t="shared" si="0"/>
        <v>0</v>
      </c>
      <c r="G18" s="15">
        <f t="shared" si="0"/>
        <v>0</v>
      </c>
      <c r="H18" s="43">
        <f t="shared" si="0"/>
        <v>0</v>
      </c>
      <c r="I18" s="10">
        <f t="shared" si="0"/>
        <v>0</v>
      </c>
      <c r="J18" s="10">
        <f t="shared" si="2"/>
        <v>0</v>
      </c>
      <c r="K18" s="121">
        <f t="shared" si="3"/>
        <v>260269.51710261567</v>
      </c>
    </row>
    <row r="19" spans="1:11" x14ac:dyDescent="0.25">
      <c r="A19" s="51">
        <f>'A) Base RI'!A18</f>
        <v>5412</v>
      </c>
      <c r="B19" s="34" t="str">
        <f>'A) Base RI'!B18</f>
        <v>Rennaz</v>
      </c>
      <c r="C19" s="15">
        <f>'A) Base RI'!AN18</f>
        <v>839</v>
      </c>
      <c r="D19" s="10">
        <f t="shared" si="1"/>
        <v>839</v>
      </c>
      <c r="E19" s="15">
        <f t="shared" si="0"/>
        <v>0</v>
      </c>
      <c r="F19" s="10">
        <f t="shared" si="0"/>
        <v>0</v>
      </c>
      <c r="G19" s="15">
        <f t="shared" si="0"/>
        <v>0</v>
      </c>
      <c r="H19" s="43">
        <f t="shared" si="0"/>
        <v>0</v>
      </c>
      <c r="I19" s="10">
        <f t="shared" si="0"/>
        <v>0</v>
      </c>
      <c r="J19" s="10">
        <f t="shared" si="2"/>
        <v>0</v>
      </c>
      <c r="K19" s="121">
        <f t="shared" si="3"/>
        <v>82887.122736418518</v>
      </c>
    </row>
    <row r="20" spans="1:11" x14ac:dyDescent="0.25">
      <c r="A20" s="51">
        <f>'A) Base RI'!A19</f>
        <v>5413</v>
      </c>
      <c r="B20" s="34" t="str">
        <f>'A) Base RI'!B19</f>
        <v>Roche</v>
      </c>
      <c r="C20" s="15">
        <f>'A) Base RI'!AN19</f>
        <v>1650</v>
      </c>
      <c r="D20" s="10">
        <f t="shared" si="1"/>
        <v>1000</v>
      </c>
      <c r="E20" s="15">
        <f t="shared" si="0"/>
        <v>650</v>
      </c>
      <c r="F20" s="10">
        <f t="shared" si="0"/>
        <v>0</v>
      </c>
      <c r="G20" s="15">
        <f t="shared" si="0"/>
        <v>0</v>
      </c>
      <c r="H20" s="43">
        <f t="shared" si="0"/>
        <v>0</v>
      </c>
      <c r="I20" s="10">
        <f t="shared" si="0"/>
        <v>0</v>
      </c>
      <c r="J20" s="10">
        <f t="shared" si="2"/>
        <v>0</v>
      </c>
      <c r="K20" s="121">
        <f t="shared" si="3"/>
        <v>323546.27766599599</v>
      </c>
    </row>
    <row r="21" spans="1:11" x14ac:dyDescent="0.25">
      <c r="A21" s="51">
        <f>'A) Base RI'!A20</f>
        <v>5414</v>
      </c>
      <c r="B21" s="34" t="str">
        <f>'A) Base RI'!B20</f>
        <v>Villeneuve</v>
      </c>
      <c r="C21" s="15">
        <f>'A) Base RI'!AN20</f>
        <v>5672</v>
      </c>
      <c r="D21" s="10">
        <f t="shared" si="1"/>
        <v>1000</v>
      </c>
      <c r="E21" s="15">
        <f t="shared" si="0"/>
        <v>2000</v>
      </c>
      <c r="F21" s="10">
        <f t="shared" si="0"/>
        <v>2000</v>
      </c>
      <c r="G21" s="15">
        <f t="shared" si="0"/>
        <v>672</v>
      </c>
      <c r="H21" s="43">
        <f t="shared" si="0"/>
        <v>0</v>
      </c>
      <c r="I21" s="10">
        <f t="shared" si="0"/>
        <v>0</v>
      </c>
      <c r="J21" s="10">
        <f t="shared" si="2"/>
        <v>0</v>
      </c>
      <c r="K21" s="121">
        <f t="shared" si="3"/>
        <v>2176602.0120724346</v>
      </c>
    </row>
    <row r="22" spans="1:11" x14ac:dyDescent="0.25">
      <c r="A22" s="51">
        <f>'A) Base RI'!A21</f>
        <v>5415</v>
      </c>
      <c r="B22" s="34" t="str">
        <f>'A) Base RI'!B21</f>
        <v>Yvorne</v>
      </c>
      <c r="C22" s="15">
        <f>'A) Base RI'!AN21</f>
        <v>1057</v>
      </c>
      <c r="D22" s="10">
        <f t="shared" si="1"/>
        <v>1000</v>
      </c>
      <c r="E22" s="15">
        <f t="shared" si="0"/>
        <v>57</v>
      </c>
      <c r="F22" s="10">
        <f t="shared" si="0"/>
        <v>0</v>
      </c>
      <c r="G22" s="15">
        <f t="shared" si="0"/>
        <v>0</v>
      </c>
      <c r="H22" s="43">
        <f t="shared" si="0"/>
        <v>0</v>
      </c>
      <c r="I22" s="10">
        <f t="shared" si="0"/>
        <v>0</v>
      </c>
      <c r="J22" s="10">
        <f t="shared" si="2"/>
        <v>0</v>
      </c>
      <c r="K22" s="121">
        <f t="shared" si="3"/>
        <v>118501.91146881288</v>
      </c>
    </row>
    <row r="23" spans="1:11" x14ac:dyDescent="0.25">
      <c r="A23" s="51">
        <f>'A) Base RI'!A22</f>
        <v>5421</v>
      </c>
      <c r="B23" s="34" t="str">
        <f>'A) Base RI'!B22</f>
        <v>Apples</v>
      </c>
      <c r="C23" s="15">
        <f>'A) Base RI'!AN22</f>
        <v>1437</v>
      </c>
      <c r="D23" s="10">
        <f t="shared" si="1"/>
        <v>1000</v>
      </c>
      <c r="E23" s="15">
        <f t="shared" si="0"/>
        <v>437</v>
      </c>
      <c r="F23" s="10">
        <f t="shared" si="0"/>
        <v>0</v>
      </c>
      <c r="G23" s="15">
        <f t="shared" si="0"/>
        <v>0</v>
      </c>
      <c r="H23" s="43">
        <f t="shared" si="0"/>
        <v>0</v>
      </c>
      <c r="I23" s="10">
        <f t="shared" si="0"/>
        <v>0</v>
      </c>
      <c r="J23" s="10">
        <f t="shared" si="2"/>
        <v>0</v>
      </c>
      <c r="K23" s="121">
        <f t="shared" si="3"/>
        <v>249896.27766599596</v>
      </c>
    </row>
    <row r="24" spans="1:11" x14ac:dyDescent="0.25">
      <c r="A24" s="51">
        <f>'A) Base RI'!A23</f>
        <v>5422</v>
      </c>
      <c r="B24" s="34" t="str">
        <f>'A) Base RI'!B23</f>
        <v>Aubonne</v>
      </c>
      <c r="C24" s="15">
        <f>'A) Base RI'!AN23</f>
        <v>3269</v>
      </c>
      <c r="D24" s="10">
        <f t="shared" si="1"/>
        <v>1000</v>
      </c>
      <c r="E24" s="15">
        <f t="shared" si="1"/>
        <v>2000</v>
      </c>
      <c r="F24" s="10">
        <f t="shared" si="1"/>
        <v>269</v>
      </c>
      <c r="G24" s="15">
        <f t="shared" si="1"/>
        <v>0</v>
      </c>
      <c r="H24" s="43">
        <f t="shared" si="1"/>
        <v>0</v>
      </c>
      <c r="I24" s="10">
        <f t="shared" si="1"/>
        <v>0</v>
      </c>
      <c r="J24" s="10">
        <f t="shared" si="2"/>
        <v>0</v>
      </c>
      <c r="K24" s="121">
        <f t="shared" si="3"/>
        <v>923218.30985915498</v>
      </c>
    </row>
    <row r="25" spans="1:11" x14ac:dyDescent="0.25">
      <c r="A25" s="51">
        <f>'A) Base RI'!A24</f>
        <v>5423</v>
      </c>
      <c r="B25" s="34" t="str">
        <f>'A) Base RI'!B24</f>
        <v>Ballens</v>
      </c>
      <c r="C25" s="15">
        <f>'A) Base RI'!AN24</f>
        <v>527</v>
      </c>
      <c r="D25" s="10">
        <f t="shared" si="1"/>
        <v>527</v>
      </c>
      <c r="E25" s="15">
        <f t="shared" si="1"/>
        <v>0</v>
      </c>
      <c r="F25" s="10">
        <f t="shared" si="1"/>
        <v>0</v>
      </c>
      <c r="G25" s="15">
        <f t="shared" si="1"/>
        <v>0</v>
      </c>
      <c r="H25" s="43">
        <f t="shared" si="1"/>
        <v>0</v>
      </c>
      <c r="I25" s="10">
        <f t="shared" si="1"/>
        <v>0</v>
      </c>
      <c r="J25" s="10">
        <f t="shared" si="2"/>
        <v>0</v>
      </c>
      <c r="K25" s="121">
        <f t="shared" si="3"/>
        <v>52063.782696177062</v>
      </c>
    </row>
    <row r="26" spans="1:11" x14ac:dyDescent="0.25">
      <c r="A26" s="51">
        <f>'A) Base RI'!A25</f>
        <v>5424</v>
      </c>
      <c r="B26" s="34" t="str">
        <f>'A) Base RI'!B25</f>
        <v>Berolle</v>
      </c>
      <c r="C26" s="15">
        <f>'A) Base RI'!AN25</f>
        <v>301</v>
      </c>
      <c r="D26" s="10">
        <f t="shared" si="1"/>
        <v>301</v>
      </c>
      <c r="E26" s="15">
        <f t="shared" si="1"/>
        <v>0</v>
      </c>
      <c r="F26" s="10">
        <f t="shared" si="1"/>
        <v>0</v>
      </c>
      <c r="G26" s="15">
        <f t="shared" si="1"/>
        <v>0</v>
      </c>
      <c r="H26" s="43">
        <f t="shared" si="1"/>
        <v>0</v>
      </c>
      <c r="I26" s="10">
        <f t="shared" si="1"/>
        <v>0</v>
      </c>
      <c r="J26" s="10">
        <f t="shared" si="2"/>
        <v>0</v>
      </c>
      <c r="K26" s="121">
        <f t="shared" si="3"/>
        <v>29736.619718309859</v>
      </c>
    </row>
    <row r="27" spans="1:11" x14ac:dyDescent="0.25">
      <c r="A27" s="51">
        <f>'A) Base RI'!A26</f>
        <v>5425</v>
      </c>
      <c r="B27" s="34" t="str">
        <f>'A) Base RI'!B26</f>
        <v>Bière</v>
      </c>
      <c r="C27" s="15">
        <f>'A) Base RI'!AN26</f>
        <v>1577</v>
      </c>
      <c r="D27" s="10">
        <f t="shared" si="1"/>
        <v>1000</v>
      </c>
      <c r="E27" s="15">
        <f t="shared" si="1"/>
        <v>577</v>
      </c>
      <c r="F27" s="10">
        <f t="shared" si="1"/>
        <v>0</v>
      </c>
      <c r="G27" s="15">
        <f t="shared" si="1"/>
        <v>0</v>
      </c>
      <c r="H27" s="43">
        <f t="shared" si="1"/>
        <v>0</v>
      </c>
      <c r="I27" s="10">
        <f t="shared" si="1"/>
        <v>0</v>
      </c>
      <c r="J27" s="10">
        <f t="shared" si="2"/>
        <v>0</v>
      </c>
      <c r="K27" s="121">
        <f t="shared" si="3"/>
        <v>298304.72837022133</v>
      </c>
    </row>
    <row r="28" spans="1:11" x14ac:dyDescent="0.25">
      <c r="A28" s="51">
        <f>'A) Base RI'!A27</f>
        <v>5426</v>
      </c>
      <c r="B28" s="34" t="str">
        <f>'A) Base RI'!B27</f>
        <v>Bougy-Villars</v>
      </c>
      <c r="C28" s="15">
        <f>'A) Base RI'!AN27</f>
        <v>483</v>
      </c>
      <c r="D28" s="10">
        <f t="shared" si="1"/>
        <v>483</v>
      </c>
      <c r="E28" s="15">
        <f t="shared" si="1"/>
        <v>0</v>
      </c>
      <c r="F28" s="10">
        <f t="shared" si="1"/>
        <v>0</v>
      </c>
      <c r="G28" s="15">
        <f t="shared" si="1"/>
        <v>0</v>
      </c>
      <c r="H28" s="43">
        <f t="shared" si="1"/>
        <v>0</v>
      </c>
      <c r="I28" s="10">
        <f t="shared" si="1"/>
        <v>0</v>
      </c>
      <c r="J28" s="10">
        <f t="shared" si="2"/>
        <v>0</v>
      </c>
      <c r="K28" s="121">
        <f t="shared" si="3"/>
        <v>47716.901408450707</v>
      </c>
    </row>
    <row r="29" spans="1:11" x14ac:dyDescent="0.25">
      <c r="A29" s="51">
        <f>'A) Base RI'!A28</f>
        <v>5427</v>
      </c>
      <c r="B29" s="34" t="str">
        <f>'A) Base RI'!B28</f>
        <v>Féchy</v>
      </c>
      <c r="C29" s="15">
        <f>'A) Base RI'!AN28</f>
        <v>895</v>
      </c>
      <c r="D29" s="10">
        <f t="shared" si="1"/>
        <v>895</v>
      </c>
      <c r="E29" s="15">
        <f t="shared" si="1"/>
        <v>0</v>
      </c>
      <c r="F29" s="10">
        <f t="shared" si="1"/>
        <v>0</v>
      </c>
      <c r="G29" s="15">
        <f t="shared" si="1"/>
        <v>0</v>
      </c>
      <c r="H29" s="43">
        <f t="shared" si="1"/>
        <v>0</v>
      </c>
      <c r="I29" s="10">
        <f t="shared" si="1"/>
        <v>0</v>
      </c>
      <c r="J29" s="10">
        <f t="shared" si="2"/>
        <v>0</v>
      </c>
      <c r="K29" s="121">
        <f t="shared" si="3"/>
        <v>88419.51710261569</v>
      </c>
    </row>
    <row r="30" spans="1:11" x14ac:dyDescent="0.25">
      <c r="A30" s="51">
        <f>'A) Base RI'!A29</f>
        <v>5428</v>
      </c>
      <c r="B30" s="34" t="str">
        <f>'A) Base RI'!B29</f>
        <v>Gimel</v>
      </c>
      <c r="C30" s="15">
        <f>'A) Base RI'!AN29</f>
        <v>2016</v>
      </c>
      <c r="D30" s="10">
        <f t="shared" si="1"/>
        <v>1000</v>
      </c>
      <c r="E30" s="15">
        <f t="shared" si="1"/>
        <v>1016</v>
      </c>
      <c r="F30" s="10">
        <f t="shared" si="1"/>
        <v>0</v>
      </c>
      <c r="G30" s="15">
        <f t="shared" si="1"/>
        <v>0</v>
      </c>
      <c r="H30" s="43">
        <f t="shared" si="1"/>
        <v>0</v>
      </c>
      <c r="I30" s="10">
        <f t="shared" si="1"/>
        <v>0</v>
      </c>
      <c r="J30" s="10">
        <f t="shared" si="2"/>
        <v>0</v>
      </c>
      <c r="K30" s="121">
        <f t="shared" si="3"/>
        <v>450099.79879275651</v>
      </c>
    </row>
    <row r="31" spans="1:11" x14ac:dyDescent="0.25">
      <c r="A31" s="51">
        <f>'A) Base RI'!A30</f>
        <v>5429</v>
      </c>
      <c r="B31" s="34" t="str">
        <f>'A) Base RI'!B30</f>
        <v>Longirod</v>
      </c>
      <c r="C31" s="15">
        <f>'A) Base RI'!AN30</f>
        <v>469</v>
      </c>
      <c r="D31" s="10">
        <f t="shared" si="1"/>
        <v>469</v>
      </c>
      <c r="E31" s="15">
        <f t="shared" si="1"/>
        <v>0</v>
      </c>
      <c r="F31" s="10">
        <f t="shared" si="1"/>
        <v>0</v>
      </c>
      <c r="G31" s="15">
        <f t="shared" si="1"/>
        <v>0</v>
      </c>
      <c r="H31" s="43">
        <f t="shared" si="1"/>
        <v>0</v>
      </c>
      <c r="I31" s="10">
        <f t="shared" si="1"/>
        <v>0</v>
      </c>
      <c r="J31" s="10">
        <f t="shared" si="2"/>
        <v>0</v>
      </c>
      <c r="K31" s="121">
        <f t="shared" si="3"/>
        <v>46333.802816901407</v>
      </c>
    </row>
    <row r="32" spans="1:11" x14ac:dyDescent="0.25">
      <c r="A32" s="51">
        <f>'A) Base RI'!A31</f>
        <v>5430</v>
      </c>
      <c r="B32" s="34" t="str">
        <f>'A) Base RI'!B31</f>
        <v>Marchissy</v>
      </c>
      <c r="C32" s="15">
        <f>'A) Base RI'!AN31</f>
        <v>455</v>
      </c>
      <c r="D32" s="10">
        <f t="shared" si="1"/>
        <v>455</v>
      </c>
      <c r="E32" s="15">
        <f t="shared" si="1"/>
        <v>0</v>
      </c>
      <c r="F32" s="10">
        <f t="shared" si="1"/>
        <v>0</v>
      </c>
      <c r="G32" s="15">
        <f t="shared" si="1"/>
        <v>0</v>
      </c>
      <c r="H32" s="43">
        <f t="shared" si="1"/>
        <v>0</v>
      </c>
      <c r="I32" s="10">
        <f t="shared" si="1"/>
        <v>0</v>
      </c>
      <c r="J32" s="10">
        <f t="shared" si="2"/>
        <v>0</v>
      </c>
      <c r="K32" s="121">
        <f t="shared" si="3"/>
        <v>44950.704225352114</v>
      </c>
    </row>
    <row r="33" spans="1:11" x14ac:dyDescent="0.25">
      <c r="A33" s="51">
        <f>'A) Base RI'!A32</f>
        <v>5431</v>
      </c>
      <c r="B33" s="34" t="str">
        <f>'A) Base RI'!B32</f>
        <v>Mollens</v>
      </c>
      <c r="C33" s="15">
        <f>'A) Base RI'!AN32</f>
        <v>301</v>
      </c>
      <c r="D33" s="10">
        <f t="shared" si="1"/>
        <v>301</v>
      </c>
      <c r="E33" s="15">
        <f t="shared" si="1"/>
        <v>0</v>
      </c>
      <c r="F33" s="10">
        <f t="shared" si="1"/>
        <v>0</v>
      </c>
      <c r="G33" s="15">
        <f t="shared" si="1"/>
        <v>0</v>
      </c>
      <c r="H33" s="43">
        <f t="shared" si="1"/>
        <v>0</v>
      </c>
      <c r="I33" s="10">
        <f t="shared" si="1"/>
        <v>0</v>
      </c>
      <c r="J33" s="10">
        <f t="shared" si="2"/>
        <v>0</v>
      </c>
      <c r="K33" s="121">
        <f t="shared" si="3"/>
        <v>29736.619718309859</v>
      </c>
    </row>
    <row r="34" spans="1:11" x14ac:dyDescent="0.25">
      <c r="A34" s="51">
        <f>'A) Base RI'!A33</f>
        <v>5432</v>
      </c>
      <c r="B34" s="34" t="str">
        <f>'A) Base RI'!B33</f>
        <v>Montherod</v>
      </c>
      <c r="C34" s="15">
        <f>'A) Base RI'!AN33</f>
        <v>534</v>
      </c>
      <c r="D34" s="10">
        <f t="shared" si="1"/>
        <v>534</v>
      </c>
      <c r="E34" s="15">
        <f t="shared" si="1"/>
        <v>0</v>
      </c>
      <c r="F34" s="10">
        <f t="shared" si="1"/>
        <v>0</v>
      </c>
      <c r="G34" s="15">
        <f t="shared" si="1"/>
        <v>0</v>
      </c>
      <c r="H34" s="43">
        <f t="shared" si="1"/>
        <v>0</v>
      </c>
      <c r="I34" s="10">
        <f t="shared" si="1"/>
        <v>0</v>
      </c>
      <c r="J34" s="10">
        <f t="shared" si="2"/>
        <v>0</v>
      </c>
      <c r="K34" s="121">
        <f t="shared" si="3"/>
        <v>52755.331991951709</v>
      </c>
    </row>
    <row r="35" spans="1:11" x14ac:dyDescent="0.25">
      <c r="A35" s="51">
        <f>'A) Base RI'!A34</f>
        <v>5434</v>
      </c>
      <c r="B35" s="34" t="str">
        <f>'A) Base RI'!B34</f>
        <v>Saint-George</v>
      </c>
      <c r="C35" s="15">
        <f>'A) Base RI'!AN34</f>
        <v>1031</v>
      </c>
      <c r="D35" s="10">
        <f t="shared" si="1"/>
        <v>1000</v>
      </c>
      <c r="E35" s="15">
        <f t="shared" si="1"/>
        <v>31</v>
      </c>
      <c r="F35" s="10">
        <f t="shared" si="1"/>
        <v>0</v>
      </c>
      <c r="G35" s="15">
        <f t="shared" si="1"/>
        <v>0</v>
      </c>
      <c r="H35" s="43">
        <f t="shared" si="1"/>
        <v>0</v>
      </c>
      <c r="I35" s="10">
        <f t="shared" si="1"/>
        <v>0</v>
      </c>
      <c r="J35" s="10">
        <f t="shared" si="2"/>
        <v>0</v>
      </c>
      <c r="K35" s="121">
        <f t="shared" si="3"/>
        <v>109511.77062374246</v>
      </c>
    </row>
    <row r="36" spans="1:11" x14ac:dyDescent="0.25">
      <c r="A36" s="51">
        <f>'A) Base RI'!A35</f>
        <v>5435</v>
      </c>
      <c r="B36" s="34" t="str">
        <f>'A) Base RI'!B35</f>
        <v>Saint-Livres</v>
      </c>
      <c r="C36" s="15">
        <f>'A) Base RI'!AN35</f>
        <v>683</v>
      </c>
      <c r="D36" s="10">
        <f t="shared" si="1"/>
        <v>683</v>
      </c>
      <c r="E36" s="15">
        <f t="shared" si="1"/>
        <v>0</v>
      </c>
      <c r="F36" s="10">
        <f t="shared" si="1"/>
        <v>0</v>
      </c>
      <c r="G36" s="15">
        <f t="shared" si="1"/>
        <v>0</v>
      </c>
      <c r="H36" s="43">
        <f t="shared" si="1"/>
        <v>0</v>
      </c>
      <c r="I36" s="10">
        <f t="shared" si="1"/>
        <v>0</v>
      </c>
      <c r="J36" s="10">
        <f t="shared" si="2"/>
        <v>0</v>
      </c>
      <c r="K36" s="121">
        <f t="shared" si="3"/>
        <v>67475.45271629779</v>
      </c>
    </row>
    <row r="37" spans="1:11" x14ac:dyDescent="0.25">
      <c r="A37" s="51">
        <f>'A) Base RI'!A36</f>
        <v>5436</v>
      </c>
      <c r="B37" s="34" t="str">
        <f>'A) Base RI'!B36</f>
        <v>Saint-Oyens</v>
      </c>
      <c r="C37" s="15">
        <f>'A) Base RI'!AN36</f>
        <v>366</v>
      </c>
      <c r="D37" s="10">
        <f t="shared" si="1"/>
        <v>366</v>
      </c>
      <c r="E37" s="15">
        <f t="shared" si="1"/>
        <v>0</v>
      </c>
      <c r="F37" s="10">
        <f t="shared" si="1"/>
        <v>0</v>
      </c>
      <c r="G37" s="15">
        <f t="shared" si="1"/>
        <v>0</v>
      </c>
      <c r="H37" s="43">
        <f t="shared" si="1"/>
        <v>0</v>
      </c>
      <c r="I37" s="10">
        <f t="shared" si="1"/>
        <v>0</v>
      </c>
      <c r="J37" s="10">
        <f t="shared" si="2"/>
        <v>0</v>
      </c>
      <c r="K37" s="121">
        <f t="shared" si="3"/>
        <v>36158.148893360158</v>
      </c>
    </row>
    <row r="38" spans="1:11" x14ac:dyDescent="0.25">
      <c r="A38" s="51">
        <f>'A) Base RI'!A37</f>
        <v>5437</v>
      </c>
      <c r="B38" s="34" t="str">
        <f>'A) Base RI'!B37</f>
        <v>Saubraz</v>
      </c>
      <c r="C38" s="15">
        <f>'A) Base RI'!AN37</f>
        <v>420</v>
      </c>
      <c r="D38" s="10">
        <f t="shared" si="1"/>
        <v>420</v>
      </c>
      <c r="E38" s="15">
        <f t="shared" si="1"/>
        <v>0</v>
      </c>
      <c r="F38" s="10">
        <f t="shared" si="1"/>
        <v>0</v>
      </c>
      <c r="G38" s="15">
        <f t="shared" si="1"/>
        <v>0</v>
      </c>
      <c r="H38" s="43">
        <f t="shared" si="1"/>
        <v>0</v>
      </c>
      <c r="I38" s="10">
        <f t="shared" si="1"/>
        <v>0</v>
      </c>
      <c r="J38" s="10">
        <f t="shared" si="2"/>
        <v>0</v>
      </c>
      <c r="K38" s="121">
        <f t="shared" si="3"/>
        <v>41492.957746478874</v>
      </c>
    </row>
    <row r="39" spans="1:11" x14ac:dyDescent="0.25">
      <c r="A39" s="51">
        <f>'A) Base RI'!A38</f>
        <v>5451</v>
      </c>
      <c r="B39" s="34" t="str">
        <f>'A) Base RI'!B38</f>
        <v>Avenches</v>
      </c>
      <c r="C39" s="15">
        <f>'A) Base RI'!AN38</f>
        <v>4210</v>
      </c>
      <c r="D39" s="10">
        <f t="shared" si="1"/>
        <v>1000</v>
      </c>
      <c r="E39" s="15">
        <f t="shared" si="1"/>
        <v>2000</v>
      </c>
      <c r="F39" s="10">
        <f t="shared" si="1"/>
        <v>1210</v>
      </c>
      <c r="G39" s="15">
        <f t="shared" si="1"/>
        <v>0</v>
      </c>
      <c r="H39" s="43">
        <f t="shared" si="1"/>
        <v>0</v>
      </c>
      <c r="I39" s="10">
        <f t="shared" si="1"/>
        <v>0</v>
      </c>
      <c r="J39" s="10">
        <f t="shared" si="2"/>
        <v>0</v>
      </c>
      <c r="K39" s="121">
        <f t="shared" si="3"/>
        <v>1388038.2293762574</v>
      </c>
    </row>
    <row r="40" spans="1:11" x14ac:dyDescent="0.25">
      <c r="A40" s="51">
        <f>'A) Base RI'!A39</f>
        <v>5456</v>
      </c>
      <c r="B40" s="34" t="str">
        <f>'A) Base RI'!B39</f>
        <v>Cudrefin</v>
      </c>
      <c r="C40" s="15">
        <f>'A) Base RI'!AN39</f>
        <v>1589</v>
      </c>
      <c r="D40" s="10">
        <f t="shared" si="1"/>
        <v>1000</v>
      </c>
      <c r="E40" s="15">
        <f t="shared" si="1"/>
        <v>589</v>
      </c>
      <c r="F40" s="10">
        <f t="shared" si="1"/>
        <v>0</v>
      </c>
      <c r="G40" s="15">
        <f t="shared" si="1"/>
        <v>0</v>
      </c>
      <c r="H40" s="43">
        <f t="shared" si="1"/>
        <v>0</v>
      </c>
      <c r="I40" s="10">
        <f t="shared" si="1"/>
        <v>0</v>
      </c>
      <c r="J40" s="10">
        <f t="shared" si="2"/>
        <v>0</v>
      </c>
      <c r="K40" s="121">
        <f t="shared" si="3"/>
        <v>302454.02414486918</v>
      </c>
    </row>
    <row r="41" spans="1:11" x14ac:dyDescent="0.25">
      <c r="A41" s="51">
        <f>'A) Base RI'!A40</f>
        <v>5458</v>
      </c>
      <c r="B41" s="34" t="str">
        <f>'A) Base RI'!B40</f>
        <v>Faoug</v>
      </c>
      <c r="C41" s="15">
        <f>'A) Base RI'!AN40</f>
        <v>893</v>
      </c>
      <c r="D41" s="10">
        <f t="shared" si="1"/>
        <v>893</v>
      </c>
      <c r="E41" s="15">
        <f t="shared" si="1"/>
        <v>0</v>
      </c>
      <c r="F41" s="10">
        <f t="shared" si="1"/>
        <v>0</v>
      </c>
      <c r="G41" s="15">
        <f t="shared" si="1"/>
        <v>0</v>
      </c>
      <c r="H41" s="43">
        <f t="shared" si="1"/>
        <v>0</v>
      </c>
      <c r="I41" s="10">
        <f t="shared" si="1"/>
        <v>0</v>
      </c>
      <c r="J41" s="10">
        <f t="shared" si="2"/>
        <v>0</v>
      </c>
      <c r="K41" s="121">
        <f t="shared" si="3"/>
        <v>88221.931589537227</v>
      </c>
    </row>
    <row r="42" spans="1:11" x14ac:dyDescent="0.25">
      <c r="A42" s="51">
        <f>'A) Base RI'!A41</f>
        <v>5464</v>
      </c>
      <c r="B42" s="34" t="str">
        <f>'A) Base RI'!B41</f>
        <v>Vully-les-Lacs</v>
      </c>
      <c r="C42" s="15">
        <f>'A) Base RI'!AN41</f>
        <v>3080</v>
      </c>
      <c r="D42" s="10">
        <f t="shared" si="1"/>
        <v>1000</v>
      </c>
      <c r="E42" s="15">
        <f t="shared" si="1"/>
        <v>2000</v>
      </c>
      <c r="F42" s="10">
        <f t="shared" si="1"/>
        <v>80</v>
      </c>
      <c r="G42" s="15">
        <f t="shared" si="1"/>
        <v>0</v>
      </c>
      <c r="H42" s="43">
        <f t="shared" si="1"/>
        <v>0</v>
      </c>
      <c r="I42" s="10">
        <f t="shared" si="1"/>
        <v>0</v>
      </c>
      <c r="J42" s="10">
        <f t="shared" si="2"/>
        <v>0</v>
      </c>
      <c r="K42" s="121">
        <f t="shared" si="3"/>
        <v>829859.15492957749</v>
      </c>
    </row>
    <row r="43" spans="1:11" x14ac:dyDescent="0.25">
      <c r="A43" s="51">
        <f>'A) Base RI'!A42</f>
        <v>5471</v>
      </c>
      <c r="B43" s="34" t="str">
        <f>'A) Base RI'!B42</f>
        <v>Bettens</v>
      </c>
      <c r="C43" s="15">
        <f>'A) Base RI'!AN42</f>
        <v>574</v>
      </c>
      <c r="D43" s="10">
        <f t="shared" si="1"/>
        <v>574</v>
      </c>
      <c r="E43" s="15">
        <f t="shared" si="1"/>
        <v>0</v>
      </c>
      <c r="F43" s="10">
        <f t="shared" si="1"/>
        <v>0</v>
      </c>
      <c r="G43" s="15">
        <f t="shared" si="1"/>
        <v>0</v>
      </c>
      <c r="H43" s="43">
        <f t="shared" si="1"/>
        <v>0</v>
      </c>
      <c r="I43" s="10">
        <f t="shared" si="1"/>
        <v>0</v>
      </c>
      <c r="J43" s="10">
        <f t="shared" si="2"/>
        <v>0</v>
      </c>
      <c r="K43" s="121">
        <f t="shared" si="3"/>
        <v>56707.042253521126</v>
      </c>
    </row>
    <row r="44" spans="1:11" x14ac:dyDescent="0.25">
      <c r="A44" s="51">
        <f>'A) Base RI'!A43</f>
        <v>5472</v>
      </c>
      <c r="B44" s="34" t="str">
        <f>'A) Base RI'!B43</f>
        <v>Bournens</v>
      </c>
      <c r="C44" s="15">
        <f>'A) Base RI'!AN43</f>
        <v>419</v>
      </c>
      <c r="D44" s="10">
        <f t="shared" si="1"/>
        <v>419</v>
      </c>
      <c r="E44" s="15">
        <f t="shared" si="1"/>
        <v>0</v>
      </c>
      <c r="F44" s="10">
        <f t="shared" si="1"/>
        <v>0</v>
      </c>
      <c r="G44" s="15">
        <f t="shared" si="1"/>
        <v>0</v>
      </c>
      <c r="H44" s="43">
        <f t="shared" si="1"/>
        <v>0</v>
      </c>
      <c r="I44" s="10">
        <f t="shared" si="1"/>
        <v>0</v>
      </c>
      <c r="J44" s="10">
        <f t="shared" si="2"/>
        <v>0</v>
      </c>
      <c r="K44" s="121">
        <f t="shared" si="3"/>
        <v>41394.164989939636</v>
      </c>
    </row>
    <row r="45" spans="1:11" x14ac:dyDescent="0.25">
      <c r="A45" s="51">
        <f>'A) Base RI'!A44</f>
        <v>5473</v>
      </c>
      <c r="B45" s="34" t="str">
        <f>'A) Base RI'!B44</f>
        <v>Boussens</v>
      </c>
      <c r="C45" s="15">
        <f>'A) Base RI'!AN44</f>
        <v>982</v>
      </c>
      <c r="D45" s="10">
        <f t="shared" si="1"/>
        <v>982</v>
      </c>
      <c r="E45" s="15">
        <f t="shared" si="1"/>
        <v>0</v>
      </c>
      <c r="F45" s="10">
        <f t="shared" si="1"/>
        <v>0</v>
      </c>
      <c r="G45" s="15">
        <f t="shared" si="1"/>
        <v>0</v>
      </c>
      <c r="H45" s="43">
        <f t="shared" si="1"/>
        <v>0</v>
      </c>
      <c r="I45" s="10">
        <f t="shared" si="1"/>
        <v>0</v>
      </c>
      <c r="J45" s="10">
        <f t="shared" si="2"/>
        <v>0</v>
      </c>
      <c r="K45" s="121">
        <f t="shared" si="3"/>
        <v>97014.486921529169</v>
      </c>
    </row>
    <row r="46" spans="1:11" x14ac:dyDescent="0.25">
      <c r="A46" s="51">
        <f>'A) Base RI'!A45</f>
        <v>5474</v>
      </c>
      <c r="B46" s="34" t="str">
        <f>'A) Base RI'!B45</f>
        <v>La Chaux (Cossonay)</v>
      </c>
      <c r="C46" s="15">
        <f>'A) Base RI'!AN45</f>
        <v>420</v>
      </c>
      <c r="D46" s="10">
        <f t="shared" si="1"/>
        <v>420</v>
      </c>
      <c r="E46" s="15">
        <f t="shared" si="1"/>
        <v>0</v>
      </c>
      <c r="F46" s="10">
        <f t="shared" si="1"/>
        <v>0</v>
      </c>
      <c r="G46" s="15">
        <f t="shared" si="1"/>
        <v>0</v>
      </c>
      <c r="H46" s="43">
        <f t="shared" si="1"/>
        <v>0</v>
      </c>
      <c r="I46" s="10">
        <f t="shared" si="1"/>
        <v>0</v>
      </c>
      <c r="J46" s="10">
        <f t="shared" si="2"/>
        <v>0</v>
      </c>
      <c r="K46" s="121">
        <f t="shared" si="3"/>
        <v>41492.957746478874</v>
      </c>
    </row>
    <row r="47" spans="1:11" x14ac:dyDescent="0.25">
      <c r="A47" s="51">
        <f>'A) Base RI'!A46</f>
        <v>5475</v>
      </c>
      <c r="B47" s="34" t="str">
        <f>'A) Base RI'!B46</f>
        <v>Chavannes-le-Veyron</v>
      </c>
      <c r="C47" s="15">
        <f>'A) Base RI'!AN46</f>
        <v>141</v>
      </c>
      <c r="D47" s="10">
        <f t="shared" si="1"/>
        <v>141</v>
      </c>
      <c r="E47" s="15">
        <f t="shared" si="1"/>
        <v>0</v>
      </c>
      <c r="F47" s="10">
        <f t="shared" si="1"/>
        <v>0</v>
      </c>
      <c r="G47" s="15">
        <f t="shared" si="1"/>
        <v>0</v>
      </c>
      <c r="H47" s="43">
        <f t="shared" si="1"/>
        <v>0</v>
      </c>
      <c r="I47" s="10">
        <f t="shared" si="1"/>
        <v>0</v>
      </c>
      <c r="J47" s="10">
        <f t="shared" si="2"/>
        <v>0</v>
      </c>
      <c r="K47" s="121">
        <f t="shared" si="3"/>
        <v>13929.778672032193</v>
      </c>
    </row>
    <row r="48" spans="1:11" x14ac:dyDescent="0.25">
      <c r="A48" s="51">
        <f>'A) Base RI'!A47</f>
        <v>5476</v>
      </c>
      <c r="B48" s="34" t="str">
        <f>'A) Base RI'!B47</f>
        <v>Chevilly</v>
      </c>
      <c r="C48" s="15">
        <f>'A) Base RI'!AN47</f>
        <v>298</v>
      </c>
      <c r="D48" s="10">
        <f t="shared" si="1"/>
        <v>298</v>
      </c>
      <c r="E48" s="15">
        <f t="shared" si="1"/>
        <v>0</v>
      </c>
      <c r="F48" s="10">
        <f t="shared" si="1"/>
        <v>0</v>
      </c>
      <c r="G48" s="15">
        <f t="shared" si="1"/>
        <v>0</v>
      </c>
      <c r="H48" s="43">
        <f t="shared" si="1"/>
        <v>0</v>
      </c>
      <c r="I48" s="10">
        <f t="shared" si="1"/>
        <v>0</v>
      </c>
      <c r="J48" s="10">
        <f t="shared" si="2"/>
        <v>0</v>
      </c>
      <c r="K48" s="121">
        <f t="shared" si="3"/>
        <v>29440.241448692152</v>
      </c>
    </row>
    <row r="49" spans="1:11" x14ac:dyDescent="0.25">
      <c r="A49" s="51">
        <f>'A) Base RI'!A48</f>
        <v>5477</v>
      </c>
      <c r="B49" s="34" t="str">
        <f>'A) Base RI'!B48</f>
        <v>Cossonay</v>
      </c>
      <c r="C49" s="15">
        <f>'A) Base RI'!AN48</f>
        <v>3808</v>
      </c>
      <c r="D49" s="10">
        <f t="shared" si="1"/>
        <v>1000</v>
      </c>
      <c r="E49" s="15">
        <f t="shared" si="1"/>
        <v>2000</v>
      </c>
      <c r="F49" s="10">
        <f t="shared" si="1"/>
        <v>808</v>
      </c>
      <c r="G49" s="15">
        <f t="shared" si="1"/>
        <v>0</v>
      </c>
      <c r="H49" s="43">
        <f t="shared" si="1"/>
        <v>0</v>
      </c>
      <c r="I49" s="10">
        <f t="shared" si="1"/>
        <v>0</v>
      </c>
      <c r="J49" s="10">
        <f t="shared" si="2"/>
        <v>0</v>
      </c>
      <c r="K49" s="121">
        <f t="shared" si="3"/>
        <v>1189464.7887323943</v>
      </c>
    </row>
    <row r="50" spans="1:11" x14ac:dyDescent="0.25">
      <c r="A50" s="51">
        <f>'A) Base RI'!A49</f>
        <v>5478</v>
      </c>
      <c r="B50" s="34" t="str">
        <f>'A) Base RI'!B49</f>
        <v>Cottens</v>
      </c>
      <c r="C50" s="15">
        <f>'A) Base RI'!AN49</f>
        <v>477</v>
      </c>
      <c r="D50" s="10">
        <f t="shared" si="1"/>
        <v>477</v>
      </c>
      <c r="E50" s="15">
        <f t="shared" si="1"/>
        <v>0</v>
      </c>
      <c r="F50" s="10">
        <f t="shared" si="1"/>
        <v>0</v>
      </c>
      <c r="G50" s="15">
        <f t="shared" si="1"/>
        <v>0</v>
      </c>
      <c r="H50" s="43">
        <f t="shared" si="1"/>
        <v>0</v>
      </c>
      <c r="I50" s="10">
        <f t="shared" si="1"/>
        <v>0</v>
      </c>
      <c r="J50" s="10">
        <f t="shared" si="2"/>
        <v>0</v>
      </c>
      <c r="K50" s="121">
        <f t="shared" si="3"/>
        <v>47124.144869215292</v>
      </c>
    </row>
    <row r="51" spans="1:11" x14ac:dyDescent="0.25">
      <c r="A51" s="51">
        <f>'A) Base RI'!A50</f>
        <v>5479</v>
      </c>
      <c r="B51" s="34" t="str">
        <f>'A) Base RI'!B50</f>
        <v>Cuarnens</v>
      </c>
      <c r="C51" s="15">
        <f>'A) Base RI'!AN50</f>
        <v>479</v>
      </c>
      <c r="D51" s="10">
        <f t="shared" si="1"/>
        <v>479</v>
      </c>
      <c r="E51" s="15">
        <f t="shared" si="1"/>
        <v>0</v>
      </c>
      <c r="F51" s="10">
        <f t="shared" si="1"/>
        <v>0</v>
      </c>
      <c r="G51" s="15">
        <f t="shared" si="1"/>
        <v>0</v>
      </c>
      <c r="H51" s="43">
        <f t="shared" si="1"/>
        <v>0</v>
      </c>
      <c r="I51" s="10">
        <f t="shared" si="1"/>
        <v>0</v>
      </c>
      <c r="J51" s="10">
        <f t="shared" si="2"/>
        <v>0</v>
      </c>
      <c r="K51" s="121">
        <f t="shared" si="3"/>
        <v>47321.730382293761</v>
      </c>
    </row>
    <row r="52" spans="1:11" x14ac:dyDescent="0.25">
      <c r="A52" s="51">
        <f>'A) Base RI'!A51</f>
        <v>5480</v>
      </c>
      <c r="B52" s="34" t="str">
        <f>'A) Base RI'!B51</f>
        <v>Daillens</v>
      </c>
      <c r="C52" s="15">
        <f>'A) Base RI'!AN51</f>
        <v>998</v>
      </c>
      <c r="D52" s="10">
        <f t="shared" si="1"/>
        <v>998</v>
      </c>
      <c r="E52" s="15">
        <f t="shared" si="1"/>
        <v>0</v>
      </c>
      <c r="F52" s="10">
        <f t="shared" si="1"/>
        <v>0</v>
      </c>
      <c r="G52" s="15">
        <f t="shared" si="1"/>
        <v>0</v>
      </c>
      <c r="H52" s="43">
        <f t="shared" si="1"/>
        <v>0</v>
      </c>
      <c r="I52" s="10">
        <f t="shared" si="1"/>
        <v>0</v>
      </c>
      <c r="J52" s="10">
        <f t="shared" si="2"/>
        <v>0</v>
      </c>
      <c r="K52" s="121">
        <f t="shared" si="3"/>
        <v>98595.171026156939</v>
      </c>
    </row>
    <row r="53" spans="1:11" x14ac:dyDescent="0.25">
      <c r="A53" s="51">
        <f>'A) Base RI'!A52</f>
        <v>5481</v>
      </c>
      <c r="B53" s="34" t="str">
        <f>'A) Base RI'!B52</f>
        <v>Dizy</v>
      </c>
      <c r="C53" s="15">
        <f>'A) Base RI'!AN52</f>
        <v>229</v>
      </c>
      <c r="D53" s="10">
        <f t="shared" si="1"/>
        <v>229</v>
      </c>
      <c r="E53" s="15">
        <f t="shared" si="1"/>
        <v>0</v>
      </c>
      <c r="F53" s="10">
        <f t="shared" si="1"/>
        <v>0</v>
      </c>
      <c r="G53" s="15">
        <f t="shared" si="1"/>
        <v>0</v>
      </c>
      <c r="H53" s="43">
        <f t="shared" si="1"/>
        <v>0</v>
      </c>
      <c r="I53" s="10">
        <f t="shared" si="1"/>
        <v>0</v>
      </c>
      <c r="J53" s="10">
        <f t="shared" si="2"/>
        <v>0</v>
      </c>
      <c r="K53" s="121">
        <f t="shared" si="3"/>
        <v>22623.541247484911</v>
      </c>
    </row>
    <row r="54" spans="1:11" x14ac:dyDescent="0.25">
      <c r="A54" s="51">
        <f>'A) Base RI'!A53</f>
        <v>5482</v>
      </c>
      <c r="B54" s="34" t="str">
        <f>'A) Base RI'!B53</f>
        <v>Eclépens</v>
      </c>
      <c r="C54" s="15">
        <f>'A) Base RI'!AN53</f>
        <v>1091</v>
      </c>
      <c r="D54" s="10">
        <f t="shared" si="1"/>
        <v>1000</v>
      </c>
      <c r="E54" s="15">
        <f t="shared" si="1"/>
        <v>91</v>
      </c>
      <c r="F54" s="10">
        <f t="shared" si="1"/>
        <v>0</v>
      </c>
      <c r="G54" s="15">
        <f t="shared" si="1"/>
        <v>0</v>
      </c>
      <c r="H54" s="43">
        <f t="shared" si="1"/>
        <v>0</v>
      </c>
      <c r="I54" s="10">
        <f t="shared" si="1"/>
        <v>0</v>
      </c>
      <c r="J54" s="10">
        <f t="shared" si="2"/>
        <v>0</v>
      </c>
      <c r="K54" s="121">
        <f t="shared" si="3"/>
        <v>130258.24949698189</v>
      </c>
    </row>
    <row r="55" spans="1:11" x14ac:dyDescent="0.25">
      <c r="A55" s="51">
        <f>'A) Base RI'!A54</f>
        <v>5483</v>
      </c>
      <c r="B55" s="34" t="str">
        <f>'A) Base RI'!B54</f>
        <v>Ferreyres</v>
      </c>
      <c r="C55" s="15">
        <f>'A) Base RI'!AN54</f>
        <v>322</v>
      </c>
      <c r="D55" s="10">
        <f t="shared" si="1"/>
        <v>322</v>
      </c>
      <c r="E55" s="15">
        <f t="shared" si="1"/>
        <v>0</v>
      </c>
      <c r="F55" s="10">
        <f t="shared" si="1"/>
        <v>0</v>
      </c>
      <c r="G55" s="15">
        <f t="shared" si="1"/>
        <v>0</v>
      </c>
      <c r="H55" s="43">
        <f t="shared" si="1"/>
        <v>0</v>
      </c>
      <c r="I55" s="10">
        <f t="shared" si="1"/>
        <v>0</v>
      </c>
      <c r="J55" s="10">
        <f t="shared" si="2"/>
        <v>0</v>
      </c>
      <c r="K55" s="121">
        <f t="shared" si="3"/>
        <v>31811.267605633802</v>
      </c>
    </row>
    <row r="56" spans="1:11" x14ac:dyDescent="0.25">
      <c r="A56" s="51">
        <f>'A) Base RI'!A55</f>
        <v>5484</v>
      </c>
      <c r="B56" s="34" t="str">
        <f>'A) Base RI'!B55</f>
        <v>Gollion</v>
      </c>
      <c r="C56" s="15">
        <f>'A) Base RI'!AN55</f>
        <v>918</v>
      </c>
      <c r="D56" s="10">
        <f t="shared" si="1"/>
        <v>918</v>
      </c>
      <c r="E56" s="15">
        <f t="shared" si="1"/>
        <v>0</v>
      </c>
      <c r="F56" s="10">
        <f t="shared" si="1"/>
        <v>0</v>
      </c>
      <c r="G56" s="15">
        <f t="shared" si="1"/>
        <v>0</v>
      </c>
      <c r="H56" s="43">
        <f t="shared" si="1"/>
        <v>0</v>
      </c>
      <c r="I56" s="10">
        <f t="shared" si="1"/>
        <v>0</v>
      </c>
      <c r="J56" s="10">
        <f t="shared" si="2"/>
        <v>0</v>
      </c>
      <c r="K56" s="121">
        <f t="shared" si="3"/>
        <v>90691.750503018106</v>
      </c>
    </row>
    <row r="57" spans="1:11" x14ac:dyDescent="0.25">
      <c r="A57" s="51">
        <f>'A) Base RI'!A56</f>
        <v>5485</v>
      </c>
      <c r="B57" s="34" t="str">
        <f>'A) Base RI'!B56</f>
        <v>Grancy</v>
      </c>
      <c r="C57" s="15">
        <f>'A) Base RI'!AN56</f>
        <v>403</v>
      </c>
      <c r="D57" s="10">
        <f t="shared" si="1"/>
        <v>403</v>
      </c>
      <c r="E57" s="15">
        <f t="shared" si="1"/>
        <v>0</v>
      </c>
      <c r="F57" s="10">
        <f t="shared" si="1"/>
        <v>0</v>
      </c>
      <c r="G57" s="15">
        <f t="shared" si="1"/>
        <v>0</v>
      </c>
      <c r="H57" s="43">
        <f t="shared" si="1"/>
        <v>0</v>
      </c>
      <c r="I57" s="10">
        <f t="shared" si="1"/>
        <v>0</v>
      </c>
      <c r="J57" s="10">
        <f t="shared" si="2"/>
        <v>0</v>
      </c>
      <c r="K57" s="121">
        <f t="shared" si="3"/>
        <v>39813.480885311874</v>
      </c>
    </row>
    <row r="58" spans="1:11" x14ac:dyDescent="0.25">
      <c r="A58" s="51">
        <f>'A) Base RI'!A57</f>
        <v>5486</v>
      </c>
      <c r="B58" s="34" t="str">
        <f>'A) Base RI'!B57</f>
        <v>L'Isle</v>
      </c>
      <c r="C58" s="15">
        <f>'A) Base RI'!AN57</f>
        <v>1005</v>
      </c>
      <c r="D58" s="10">
        <f t="shared" si="1"/>
        <v>1000</v>
      </c>
      <c r="E58" s="15">
        <f t="shared" si="1"/>
        <v>5</v>
      </c>
      <c r="F58" s="10">
        <f t="shared" si="1"/>
        <v>0</v>
      </c>
      <c r="G58" s="15">
        <f t="shared" si="1"/>
        <v>0</v>
      </c>
      <c r="H58" s="43">
        <f t="shared" si="1"/>
        <v>0</v>
      </c>
      <c r="I58" s="10">
        <f t="shared" si="1"/>
        <v>0</v>
      </c>
      <c r="J58" s="10">
        <f t="shared" si="2"/>
        <v>0</v>
      </c>
      <c r="K58" s="121">
        <f t="shared" si="3"/>
        <v>100521.62977867204</v>
      </c>
    </row>
    <row r="59" spans="1:11" x14ac:dyDescent="0.25">
      <c r="A59" s="51">
        <f>'A) Base RI'!A58</f>
        <v>5487</v>
      </c>
      <c r="B59" s="34" t="str">
        <f>'A) Base RI'!B58</f>
        <v>Lussery-Villars</v>
      </c>
      <c r="C59" s="15">
        <f>'A) Base RI'!AN58</f>
        <v>459</v>
      </c>
      <c r="D59" s="10">
        <f t="shared" si="1"/>
        <v>459</v>
      </c>
      <c r="E59" s="15">
        <f t="shared" si="1"/>
        <v>0</v>
      </c>
      <c r="F59" s="10">
        <f t="shared" si="1"/>
        <v>0</v>
      </c>
      <c r="G59" s="15">
        <f t="shared" si="1"/>
        <v>0</v>
      </c>
      <c r="H59" s="43">
        <f t="shared" si="1"/>
        <v>0</v>
      </c>
      <c r="I59" s="10">
        <f t="shared" si="1"/>
        <v>0</v>
      </c>
      <c r="J59" s="10">
        <f t="shared" si="2"/>
        <v>0</v>
      </c>
      <c r="K59" s="121">
        <f t="shared" si="3"/>
        <v>45345.875251509053</v>
      </c>
    </row>
    <row r="60" spans="1:11" x14ac:dyDescent="0.25">
      <c r="A60" s="51">
        <f>'A) Base RI'!A59</f>
        <v>5488</v>
      </c>
      <c r="B60" s="34" t="str">
        <f>'A) Base RI'!B59</f>
        <v>Mauraz</v>
      </c>
      <c r="C60" s="15">
        <f>'A) Base RI'!AN59</f>
        <v>60</v>
      </c>
      <c r="D60" s="10">
        <f t="shared" si="1"/>
        <v>60</v>
      </c>
      <c r="E60" s="15">
        <f t="shared" si="1"/>
        <v>0</v>
      </c>
      <c r="F60" s="10">
        <f t="shared" si="1"/>
        <v>0</v>
      </c>
      <c r="G60" s="15">
        <f t="shared" si="1"/>
        <v>0</v>
      </c>
      <c r="H60" s="43">
        <f t="shared" si="1"/>
        <v>0</v>
      </c>
      <c r="I60" s="10">
        <f t="shared" si="1"/>
        <v>0</v>
      </c>
      <c r="J60" s="10">
        <f t="shared" si="2"/>
        <v>0</v>
      </c>
      <c r="K60" s="121">
        <f t="shared" si="3"/>
        <v>5927.5653923541249</v>
      </c>
    </row>
    <row r="61" spans="1:11" x14ac:dyDescent="0.25">
      <c r="A61" s="51">
        <f>'A) Base RI'!A60</f>
        <v>5489</v>
      </c>
      <c r="B61" s="34" t="str">
        <f>'A) Base RI'!B60</f>
        <v>Mex</v>
      </c>
      <c r="C61" s="15">
        <f>'A) Base RI'!AN60</f>
        <v>718</v>
      </c>
      <c r="D61" s="10">
        <f t="shared" si="1"/>
        <v>718</v>
      </c>
      <c r="E61" s="15">
        <f t="shared" si="1"/>
        <v>0</v>
      </c>
      <c r="F61" s="10">
        <f t="shared" si="1"/>
        <v>0</v>
      </c>
      <c r="G61" s="15">
        <f t="shared" si="1"/>
        <v>0</v>
      </c>
      <c r="H61" s="43">
        <f t="shared" si="1"/>
        <v>0</v>
      </c>
      <c r="I61" s="10">
        <f t="shared" si="1"/>
        <v>0</v>
      </c>
      <c r="J61" s="10">
        <f t="shared" si="2"/>
        <v>0</v>
      </c>
      <c r="K61" s="121">
        <f t="shared" si="3"/>
        <v>70933.199195171022</v>
      </c>
    </row>
    <row r="62" spans="1:11" x14ac:dyDescent="0.25">
      <c r="A62" s="51">
        <f>'A) Base RI'!A61</f>
        <v>5490</v>
      </c>
      <c r="B62" s="34" t="str">
        <f>'A) Base RI'!B61</f>
        <v>Moiry</v>
      </c>
      <c r="C62" s="15">
        <f>'A) Base RI'!AN61</f>
        <v>316</v>
      </c>
      <c r="D62" s="10">
        <f t="shared" si="1"/>
        <v>316</v>
      </c>
      <c r="E62" s="15">
        <f t="shared" si="1"/>
        <v>0</v>
      </c>
      <c r="F62" s="10">
        <f t="shared" si="1"/>
        <v>0</v>
      </c>
      <c r="G62" s="15">
        <f t="shared" si="1"/>
        <v>0</v>
      </c>
      <c r="H62" s="43">
        <f t="shared" si="1"/>
        <v>0</v>
      </c>
      <c r="I62" s="10">
        <f t="shared" si="1"/>
        <v>0</v>
      </c>
      <c r="J62" s="10">
        <f t="shared" si="2"/>
        <v>0</v>
      </c>
      <c r="K62" s="121">
        <f t="shared" si="3"/>
        <v>31218.511066398391</v>
      </c>
    </row>
    <row r="63" spans="1:11" x14ac:dyDescent="0.25">
      <c r="A63" s="51">
        <f>'A) Base RI'!A62</f>
        <v>5491</v>
      </c>
      <c r="B63" s="34" t="str">
        <f>'A) Base RI'!B62</f>
        <v>Mont-la-Ville</v>
      </c>
      <c r="C63" s="15">
        <f>'A) Base RI'!AN62</f>
        <v>417</v>
      </c>
      <c r="D63" s="10">
        <f t="shared" si="1"/>
        <v>417</v>
      </c>
      <c r="E63" s="15">
        <f t="shared" si="1"/>
        <v>0</v>
      </c>
      <c r="F63" s="10">
        <f t="shared" si="1"/>
        <v>0</v>
      </c>
      <c r="G63" s="15">
        <f t="shared" si="1"/>
        <v>0</v>
      </c>
      <c r="H63" s="43">
        <f t="shared" si="1"/>
        <v>0</v>
      </c>
      <c r="I63" s="10">
        <f t="shared" si="1"/>
        <v>0</v>
      </c>
      <c r="J63" s="10">
        <f t="shared" si="2"/>
        <v>0</v>
      </c>
      <c r="K63" s="121">
        <f t="shared" si="3"/>
        <v>41196.579476861167</v>
      </c>
    </row>
    <row r="64" spans="1:11" x14ac:dyDescent="0.25">
      <c r="A64" s="51">
        <f>'A) Base RI'!A63</f>
        <v>5492</v>
      </c>
      <c r="B64" s="34" t="str">
        <f>'A) Base RI'!B63</f>
        <v>Montricher</v>
      </c>
      <c r="C64" s="15">
        <f>'A) Base RI'!AN63</f>
        <v>986</v>
      </c>
      <c r="D64" s="10">
        <f t="shared" ref="D64:I106" si="4">IF($C64&gt;D$4,IF($C64&lt;D$5,$C64-D$4,D$5-D$4),0)</f>
        <v>986</v>
      </c>
      <c r="E64" s="15">
        <f t="shared" si="4"/>
        <v>0</v>
      </c>
      <c r="F64" s="10">
        <f t="shared" si="4"/>
        <v>0</v>
      </c>
      <c r="G64" s="15">
        <f t="shared" si="4"/>
        <v>0</v>
      </c>
      <c r="H64" s="43">
        <f t="shared" si="4"/>
        <v>0</v>
      </c>
      <c r="I64" s="10">
        <f t="shared" si="4"/>
        <v>0</v>
      </c>
      <c r="J64" s="10">
        <f t="shared" si="2"/>
        <v>0</v>
      </c>
      <c r="K64" s="121">
        <f t="shared" si="3"/>
        <v>97409.657947686122</v>
      </c>
    </row>
    <row r="65" spans="1:11" x14ac:dyDescent="0.25">
      <c r="A65" s="51">
        <f>'A) Base RI'!A64</f>
        <v>5493</v>
      </c>
      <c r="B65" s="34" t="str">
        <f>'A) Base RI'!B64</f>
        <v>Orny</v>
      </c>
      <c r="C65" s="15">
        <f>'A) Base RI'!AN64</f>
        <v>356</v>
      </c>
      <c r="D65" s="10">
        <f t="shared" si="4"/>
        <v>356</v>
      </c>
      <c r="E65" s="15">
        <f t="shared" si="4"/>
        <v>0</v>
      </c>
      <c r="F65" s="10">
        <f t="shared" si="4"/>
        <v>0</v>
      </c>
      <c r="G65" s="15">
        <f t="shared" si="4"/>
        <v>0</v>
      </c>
      <c r="H65" s="43">
        <f t="shared" si="4"/>
        <v>0</v>
      </c>
      <c r="I65" s="10">
        <f t="shared" si="4"/>
        <v>0</v>
      </c>
      <c r="J65" s="10">
        <f t="shared" si="2"/>
        <v>0</v>
      </c>
      <c r="K65" s="121">
        <f t="shared" si="3"/>
        <v>35170.221327967804</v>
      </c>
    </row>
    <row r="66" spans="1:11" x14ac:dyDescent="0.25">
      <c r="A66" s="51">
        <f>'A) Base RI'!A65</f>
        <v>5494</v>
      </c>
      <c r="B66" s="34" t="str">
        <f>'A) Base RI'!B65</f>
        <v>Pampigny</v>
      </c>
      <c r="C66" s="15">
        <f>'A) Base RI'!AN65</f>
        <v>1124</v>
      </c>
      <c r="D66" s="10">
        <f t="shared" si="4"/>
        <v>1000</v>
      </c>
      <c r="E66" s="15">
        <f t="shared" si="4"/>
        <v>124</v>
      </c>
      <c r="F66" s="10">
        <f t="shared" si="4"/>
        <v>0</v>
      </c>
      <c r="G66" s="15">
        <f t="shared" si="4"/>
        <v>0</v>
      </c>
      <c r="H66" s="43">
        <f t="shared" si="4"/>
        <v>0</v>
      </c>
      <c r="I66" s="10">
        <f t="shared" si="4"/>
        <v>0</v>
      </c>
      <c r="J66" s="10">
        <f t="shared" si="2"/>
        <v>0</v>
      </c>
      <c r="K66" s="121">
        <f t="shared" si="3"/>
        <v>141668.81287726358</v>
      </c>
    </row>
    <row r="67" spans="1:11" x14ac:dyDescent="0.25">
      <c r="A67" s="51">
        <f>'A) Base RI'!A66</f>
        <v>5495</v>
      </c>
      <c r="B67" s="34" t="str">
        <f>'A) Base RI'!B66</f>
        <v>Penthalaz</v>
      </c>
      <c r="C67" s="15">
        <f>'A) Base RI'!AN66</f>
        <v>3282</v>
      </c>
      <c r="D67" s="10">
        <f t="shared" si="4"/>
        <v>1000</v>
      </c>
      <c r="E67" s="15">
        <f t="shared" si="4"/>
        <v>2000</v>
      </c>
      <c r="F67" s="10">
        <f t="shared" si="4"/>
        <v>282</v>
      </c>
      <c r="G67" s="15">
        <f t="shared" si="4"/>
        <v>0</v>
      </c>
      <c r="H67" s="43">
        <f t="shared" si="4"/>
        <v>0</v>
      </c>
      <c r="I67" s="10">
        <f t="shared" si="4"/>
        <v>0</v>
      </c>
      <c r="J67" s="10">
        <f t="shared" si="2"/>
        <v>0</v>
      </c>
      <c r="K67" s="121">
        <f t="shared" si="3"/>
        <v>929639.8390342053</v>
      </c>
    </row>
    <row r="68" spans="1:11" x14ac:dyDescent="0.25">
      <c r="A68" s="51">
        <f>'A) Base RI'!A67</f>
        <v>5496</v>
      </c>
      <c r="B68" s="34" t="str">
        <f>'A) Base RI'!B67</f>
        <v>Penthaz</v>
      </c>
      <c r="C68" s="15">
        <f>'A) Base RI'!AN67</f>
        <v>1726</v>
      </c>
      <c r="D68" s="10">
        <f t="shared" si="4"/>
        <v>1000</v>
      </c>
      <c r="E68" s="15">
        <f t="shared" si="4"/>
        <v>726</v>
      </c>
      <c r="F68" s="10">
        <f t="shared" si="4"/>
        <v>0</v>
      </c>
      <c r="G68" s="15">
        <f t="shared" si="4"/>
        <v>0</v>
      </c>
      <c r="H68" s="43">
        <f t="shared" si="4"/>
        <v>0</v>
      </c>
      <c r="I68" s="10">
        <f t="shared" si="4"/>
        <v>0</v>
      </c>
      <c r="J68" s="10">
        <f t="shared" si="2"/>
        <v>0</v>
      </c>
      <c r="K68" s="121">
        <f t="shared" si="3"/>
        <v>349825.15090543259</v>
      </c>
    </row>
    <row r="69" spans="1:11" x14ac:dyDescent="0.25">
      <c r="A69" s="51">
        <f>'A) Base RI'!A68</f>
        <v>5497</v>
      </c>
      <c r="B69" s="34" t="str">
        <f>'A) Base RI'!B68</f>
        <v>Pompaples</v>
      </c>
      <c r="C69" s="15">
        <f>'A) Base RI'!AN68</f>
        <v>854</v>
      </c>
      <c r="D69" s="10">
        <f t="shared" si="4"/>
        <v>854</v>
      </c>
      <c r="E69" s="15">
        <f t="shared" si="4"/>
        <v>0</v>
      </c>
      <c r="F69" s="10">
        <f t="shared" si="4"/>
        <v>0</v>
      </c>
      <c r="G69" s="15">
        <f t="shared" si="4"/>
        <v>0</v>
      </c>
      <c r="H69" s="43">
        <f t="shared" si="4"/>
        <v>0</v>
      </c>
      <c r="I69" s="10">
        <f t="shared" si="4"/>
        <v>0</v>
      </c>
      <c r="J69" s="10">
        <f t="shared" si="2"/>
        <v>0</v>
      </c>
      <c r="K69" s="121">
        <f t="shared" si="3"/>
        <v>84369.014084507042</v>
      </c>
    </row>
    <row r="70" spans="1:11" x14ac:dyDescent="0.25">
      <c r="A70" s="51">
        <f>'A) Base RI'!A69</f>
        <v>5498</v>
      </c>
      <c r="B70" s="34" t="str">
        <f>'A) Base RI'!B69</f>
        <v>La Sarraz</v>
      </c>
      <c r="C70" s="15">
        <f>'A) Base RI'!AN69</f>
        <v>2609</v>
      </c>
      <c r="D70" s="10">
        <f t="shared" si="4"/>
        <v>1000</v>
      </c>
      <c r="E70" s="15">
        <f t="shared" si="4"/>
        <v>1609</v>
      </c>
      <c r="F70" s="10">
        <f t="shared" si="4"/>
        <v>0</v>
      </c>
      <c r="G70" s="15">
        <f t="shared" si="4"/>
        <v>0</v>
      </c>
      <c r="H70" s="43">
        <f t="shared" si="4"/>
        <v>0</v>
      </c>
      <c r="I70" s="10">
        <f t="shared" si="4"/>
        <v>0</v>
      </c>
      <c r="J70" s="10">
        <f t="shared" si="2"/>
        <v>0</v>
      </c>
      <c r="K70" s="121">
        <f t="shared" si="3"/>
        <v>655144.16498993966</v>
      </c>
    </row>
    <row r="71" spans="1:11" x14ac:dyDescent="0.25">
      <c r="A71" s="51">
        <f>'A) Base RI'!A70</f>
        <v>5499</v>
      </c>
      <c r="B71" s="34" t="str">
        <f>'A) Base RI'!B70</f>
        <v>Senarclens</v>
      </c>
      <c r="C71" s="15">
        <f>'A) Base RI'!AN70</f>
        <v>505</v>
      </c>
      <c r="D71" s="10">
        <f t="shared" si="4"/>
        <v>505</v>
      </c>
      <c r="E71" s="15">
        <f t="shared" si="4"/>
        <v>0</v>
      </c>
      <c r="F71" s="10">
        <f t="shared" si="4"/>
        <v>0</v>
      </c>
      <c r="G71" s="15">
        <f t="shared" si="4"/>
        <v>0</v>
      </c>
      <c r="H71" s="43">
        <f t="shared" si="4"/>
        <v>0</v>
      </c>
      <c r="I71" s="10">
        <f t="shared" si="4"/>
        <v>0</v>
      </c>
      <c r="J71" s="10">
        <f t="shared" si="2"/>
        <v>0</v>
      </c>
      <c r="K71" s="121">
        <f t="shared" si="3"/>
        <v>49890.342052313885</v>
      </c>
    </row>
    <row r="72" spans="1:11" x14ac:dyDescent="0.25">
      <c r="A72" s="51">
        <f>'A) Base RI'!A71</f>
        <v>5500</v>
      </c>
      <c r="B72" s="34" t="str">
        <f>'A) Base RI'!B71</f>
        <v>Sévery</v>
      </c>
      <c r="C72" s="15">
        <f>'A) Base RI'!AN71</f>
        <v>233</v>
      </c>
      <c r="D72" s="10">
        <f t="shared" si="4"/>
        <v>233</v>
      </c>
      <c r="E72" s="15">
        <f t="shared" si="4"/>
        <v>0</v>
      </c>
      <c r="F72" s="10">
        <f t="shared" si="4"/>
        <v>0</v>
      </c>
      <c r="G72" s="15">
        <f t="shared" si="4"/>
        <v>0</v>
      </c>
      <c r="H72" s="43">
        <f t="shared" si="4"/>
        <v>0</v>
      </c>
      <c r="I72" s="10">
        <f t="shared" si="4"/>
        <v>0</v>
      </c>
      <c r="J72" s="10">
        <f t="shared" si="2"/>
        <v>0</v>
      </c>
      <c r="K72" s="121">
        <f t="shared" si="3"/>
        <v>23018.71227364185</v>
      </c>
    </row>
    <row r="73" spans="1:11" x14ac:dyDescent="0.25">
      <c r="A73" s="51">
        <f>'A) Base RI'!A72</f>
        <v>5501</v>
      </c>
      <c r="B73" s="34" t="str">
        <f>'A) Base RI'!B72</f>
        <v>Sullens</v>
      </c>
      <c r="C73" s="15">
        <f>'A) Base RI'!AN72</f>
        <v>1005</v>
      </c>
      <c r="D73" s="10">
        <f t="shared" si="4"/>
        <v>1000</v>
      </c>
      <c r="E73" s="15">
        <f t="shared" si="4"/>
        <v>5</v>
      </c>
      <c r="F73" s="10">
        <f t="shared" si="4"/>
        <v>0</v>
      </c>
      <c r="G73" s="15">
        <f t="shared" si="4"/>
        <v>0</v>
      </c>
      <c r="H73" s="43">
        <f t="shared" si="4"/>
        <v>0</v>
      </c>
      <c r="I73" s="10">
        <f t="shared" si="4"/>
        <v>0</v>
      </c>
      <c r="J73" s="10">
        <f t="shared" ref="J73:J136" si="5">IF(C73&gt;$J$4,C73-$J$4,0)</f>
        <v>0</v>
      </c>
      <c r="K73" s="121">
        <f t="shared" ref="K73:K136" si="6">(D73*D$7)+(E73*E$7)+(F73*F$7)+(G73*G$7)+(H73*H$7)+(I73*I$7)+(J73*J$7)</f>
        <v>100521.62977867204</v>
      </c>
    </row>
    <row r="74" spans="1:11" x14ac:dyDescent="0.25">
      <c r="A74" s="51">
        <f>'A) Base RI'!A73</f>
        <v>5503</v>
      </c>
      <c r="B74" s="34" t="str">
        <f>'A) Base RI'!B73</f>
        <v>Vufflens-la-Ville</v>
      </c>
      <c r="C74" s="15">
        <f>'A) Base RI'!AN73</f>
        <v>1284</v>
      </c>
      <c r="D74" s="10">
        <f t="shared" si="4"/>
        <v>1000</v>
      </c>
      <c r="E74" s="15">
        <f t="shared" si="4"/>
        <v>284</v>
      </c>
      <c r="F74" s="10">
        <f t="shared" si="4"/>
        <v>0</v>
      </c>
      <c r="G74" s="15">
        <f t="shared" si="4"/>
        <v>0</v>
      </c>
      <c r="H74" s="43">
        <f t="shared" si="4"/>
        <v>0</v>
      </c>
      <c r="I74" s="10">
        <f t="shared" si="4"/>
        <v>0</v>
      </c>
      <c r="J74" s="10">
        <f t="shared" si="5"/>
        <v>0</v>
      </c>
      <c r="K74" s="121">
        <f t="shared" si="6"/>
        <v>196992.75653923542</v>
      </c>
    </row>
    <row r="75" spans="1:11" x14ac:dyDescent="0.25">
      <c r="A75" s="51">
        <f>'A) Base RI'!A74</f>
        <v>5511</v>
      </c>
      <c r="B75" s="34" t="str">
        <f>'A) Base RI'!B74</f>
        <v>Assens</v>
      </c>
      <c r="C75" s="15">
        <f>'A) Base RI'!AN74</f>
        <v>1070</v>
      </c>
      <c r="D75" s="10">
        <f t="shared" si="4"/>
        <v>1000</v>
      </c>
      <c r="E75" s="15">
        <f t="shared" si="4"/>
        <v>70</v>
      </c>
      <c r="F75" s="10">
        <f t="shared" si="4"/>
        <v>0</v>
      </c>
      <c r="G75" s="15">
        <f t="shared" si="4"/>
        <v>0</v>
      </c>
      <c r="H75" s="43">
        <f t="shared" si="4"/>
        <v>0</v>
      </c>
      <c r="I75" s="10">
        <f t="shared" si="4"/>
        <v>0</v>
      </c>
      <c r="J75" s="10">
        <f t="shared" si="5"/>
        <v>0</v>
      </c>
      <c r="K75" s="121">
        <f t="shared" si="6"/>
        <v>122996.98189134808</v>
      </c>
    </row>
    <row r="76" spans="1:11" x14ac:dyDescent="0.25">
      <c r="A76" s="51">
        <f>'A) Base RI'!A75</f>
        <v>5512</v>
      </c>
      <c r="B76" s="34" t="str">
        <f>'A) Base RI'!B75</f>
        <v>Bercher</v>
      </c>
      <c r="C76" s="15">
        <f>'A) Base RI'!AN75</f>
        <v>1221</v>
      </c>
      <c r="D76" s="10">
        <f t="shared" si="4"/>
        <v>1000</v>
      </c>
      <c r="E76" s="15">
        <f t="shared" si="4"/>
        <v>221</v>
      </c>
      <c r="F76" s="10">
        <f t="shared" si="4"/>
        <v>0</v>
      </c>
      <c r="G76" s="15">
        <f t="shared" si="4"/>
        <v>0</v>
      </c>
      <c r="H76" s="43">
        <f t="shared" si="4"/>
        <v>0</v>
      </c>
      <c r="I76" s="10">
        <f t="shared" si="4"/>
        <v>0</v>
      </c>
      <c r="J76" s="10">
        <f t="shared" si="5"/>
        <v>0</v>
      </c>
      <c r="K76" s="121">
        <f t="shared" si="6"/>
        <v>175208.953722334</v>
      </c>
    </row>
    <row r="77" spans="1:11" x14ac:dyDescent="0.25">
      <c r="A77" s="51">
        <f>'A) Base RI'!A76</f>
        <v>5513</v>
      </c>
      <c r="B77" s="34" t="str">
        <f>'A) Base RI'!B76</f>
        <v>Bioley-Orjulaz</v>
      </c>
      <c r="C77" s="15">
        <f>'A) Base RI'!AN76</f>
        <v>499</v>
      </c>
      <c r="D77" s="10">
        <f t="shared" si="4"/>
        <v>499</v>
      </c>
      <c r="E77" s="15">
        <f t="shared" si="4"/>
        <v>0</v>
      </c>
      <c r="F77" s="10">
        <f t="shared" si="4"/>
        <v>0</v>
      </c>
      <c r="G77" s="15">
        <f t="shared" si="4"/>
        <v>0</v>
      </c>
      <c r="H77" s="43">
        <f t="shared" si="4"/>
        <v>0</v>
      </c>
      <c r="I77" s="10">
        <f t="shared" si="4"/>
        <v>0</v>
      </c>
      <c r="J77" s="10">
        <f t="shared" si="5"/>
        <v>0</v>
      </c>
      <c r="K77" s="121">
        <f t="shared" si="6"/>
        <v>49297.585513078469</v>
      </c>
    </row>
    <row r="78" spans="1:11" x14ac:dyDescent="0.25">
      <c r="A78" s="51">
        <f>'A) Base RI'!A77</f>
        <v>5514</v>
      </c>
      <c r="B78" s="34" t="str">
        <f>'A) Base RI'!B77</f>
        <v>Bottens</v>
      </c>
      <c r="C78" s="15">
        <f>'A) Base RI'!AN77</f>
        <v>1263</v>
      </c>
      <c r="D78" s="10">
        <f t="shared" si="4"/>
        <v>1000</v>
      </c>
      <c r="E78" s="15">
        <f t="shared" si="4"/>
        <v>263</v>
      </c>
      <c r="F78" s="10">
        <f t="shared" si="4"/>
        <v>0</v>
      </c>
      <c r="G78" s="15">
        <f t="shared" si="4"/>
        <v>0</v>
      </c>
      <c r="H78" s="43">
        <f t="shared" si="4"/>
        <v>0</v>
      </c>
      <c r="I78" s="10">
        <f t="shared" si="4"/>
        <v>0</v>
      </c>
      <c r="J78" s="10">
        <f t="shared" si="5"/>
        <v>0</v>
      </c>
      <c r="K78" s="121">
        <f t="shared" si="6"/>
        <v>189731.48893360159</v>
      </c>
    </row>
    <row r="79" spans="1:11" x14ac:dyDescent="0.25">
      <c r="A79" s="51">
        <f>'A) Base RI'!A78</f>
        <v>5515</v>
      </c>
      <c r="B79" s="34" t="str">
        <f>'A) Base RI'!B78</f>
        <v>Bretigny-sur-Morrens</v>
      </c>
      <c r="C79" s="15">
        <f>'A) Base RI'!AN78</f>
        <v>825</v>
      </c>
      <c r="D79" s="10">
        <f t="shared" si="4"/>
        <v>825</v>
      </c>
      <c r="E79" s="15">
        <f t="shared" si="4"/>
        <v>0</v>
      </c>
      <c r="F79" s="10">
        <f t="shared" si="4"/>
        <v>0</v>
      </c>
      <c r="G79" s="15">
        <f t="shared" si="4"/>
        <v>0</v>
      </c>
      <c r="H79" s="43">
        <f t="shared" si="4"/>
        <v>0</v>
      </c>
      <c r="I79" s="10">
        <f t="shared" si="4"/>
        <v>0</v>
      </c>
      <c r="J79" s="10">
        <f t="shared" si="5"/>
        <v>0</v>
      </c>
      <c r="K79" s="121">
        <f t="shared" si="6"/>
        <v>81504.02414486921</v>
      </c>
    </row>
    <row r="80" spans="1:11" x14ac:dyDescent="0.25">
      <c r="A80" s="51">
        <f>'A) Base RI'!A79</f>
        <v>5516</v>
      </c>
      <c r="B80" s="34" t="str">
        <f>'A) Base RI'!B79</f>
        <v>Cugy</v>
      </c>
      <c r="C80" s="15">
        <f>'A) Base RI'!AN79</f>
        <v>2744</v>
      </c>
      <c r="D80" s="10">
        <f t="shared" si="4"/>
        <v>1000</v>
      </c>
      <c r="E80" s="15">
        <f t="shared" si="4"/>
        <v>1744</v>
      </c>
      <c r="F80" s="10">
        <f t="shared" si="4"/>
        <v>0</v>
      </c>
      <c r="G80" s="15">
        <f t="shared" si="4"/>
        <v>0</v>
      </c>
      <c r="H80" s="43">
        <f t="shared" si="4"/>
        <v>0</v>
      </c>
      <c r="I80" s="10">
        <f t="shared" si="4"/>
        <v>0</v>
      </c>
      <c r="J80" s="10">
        <f t="shared" si="5"/>
        <v>0</v>
      </c>
      <c r="K80" s="121">
        <f t="shared" si="6"/>
        <v>701823.74245472834</v>
      </c>
    </row>
    <row r="81" spans="1:11" x14ac:dyDescent="0.25">
      <c r="A81" s="51">
        <f>'A) Base RI'!A80</f>
        <v>5518</v>
      </c>
      <c r="B81" s="34" t="str">
        <f>'A) Base RI'!B80</f>
        <v>Echallens</v>
      </c>
      <c r="C81" s="15">
        <f>'A) Base RI'!AN80</f>
        <v>5728</v>
      </c>
      <c r="D81" s="10">
        <f t="shared" si="4"/>
        <v>1000</v>
      </c>
      <c r="E81" s="15">
        <f t="shared" si="4"/>
        <v>2000</v>
      </c>
      <c r="F81" s="10">
        <f t="shared" si="4"/>
        <v>2000</v>
      </c>
      <c r="G81" s="15">
        <f t="shared" si="4"/>
        <v>728</v>
      </c>
      <c r="H81" s="43">
        <f t="shared" si="4"/>
        <v>0</v>
      </c>
      <c r="I81" s="10">
        <f t="shared" si="4"/>
        <v>0</v>
      </c>
      <c r="J81" s="10">
        <f t="shared" si="5"/>
        <v>0</v>
      </c>
      <c r="K81" s="121">
        <f t="shared" si="6"/>
        <v>2209796.3782696174</v>
      </c>
    </row>
    <row r="82" spans="1:11" x14ac:dyDescent="0.25">
      <c r="A82" s="51">
        <f>'A) Base RI'!A81</f>
        <v>5520</v>
      </c>
      <c r="B82" s="34" t="str">
        <f>'A) Base RI'!B81</f>
        <v>Essertines-sur-Yverdon</v>
      </c>
      <c r="C82" s="15">
        <f>'A) Base RI'!AN81</f>
        <v>981</v>
      </c>
      <c r="D82" s="10">
        <f t="shared" si="4"/>
        <v>981</v>
      </c>
      <c r="E82" s="15">
        <f t="shared" si="4"/>
        <v>0</v>
      </c>
      <c r="F82" s="10">
        <f t="shared" si="4"/>
        <v>0</v>
      </c>
      <c r="G82" s="15">
        <f t="shared" si="4"/>
        <v>0</v>
      </c>
      <c r="H82" s="43">
        <f t="shared" si="4"/>
        <v>0</v>
      </c>
      <c r="I82" s="10">
        <f t="shared" si="4"/>
        <v>0</v>
      </c>
      <c r="J82" s="10">
        <f t="shared" si="5"/>
        <v>0</v>
      </c>
      <c r="K82" s="121">
        <f t="shared" si="6"/>
        <v>96915.694164989938</v>
      </c>
    </row>
    <row r="83" spans="1:11" x14ac:dyDescent="0.25">
      <c r="A83" s="51">
        <f>'A) Base RI'!A82</f>
        <v>5521</v>
      </c>
      <c r="B83" s="34" t="str">
        <f>'A) Base RI'!B82</f>
        <v>Etagnières</v>
      </c>
      <c r="C83" s="15">
        <f>'A) Base RI'!AN82</f>
        <v>1119</v>
      </c>
      <c r="D83" s="10">
        <f t="shared" si="4"/>
        <v>1000</v>
      </c>
      <c r="E83" s="15">
        <f t="shared" si="4"/>
        <v>119</v>
      </c>
      <c r="F83" s="10">
        <f t="shared" si="4"/>
        <v>0</v>
      </c>
      <c r="G83" s="15">
        <f t="shared" si="4"/>
        <v>0</v>
      </c>
      <c r="H83" s="43">
        <f t="shared" si="4"/>
        <v>0</v>
      </c>
      <c r="I83" s="10">
        <f t="shared" si="4"/>
        <v>0</v>
      </c>
      <c r="J83" s="10">
        <f t="shared" si="5"/>
        <v>0</v>
      </c>
      <c r="K83" s="121">
        <f t="shared" si="6"/>
        <v>139939.93963782696</v>
      </c>
    </row>
    <row r="84" spans="1:11" x14ac:dyDescent="0.25">
      <c r="A84" s="51">
        <f>'A) Base RI'!A83</f>
        <v>5522</v>
      </c>
      <c r="B84" s="34" t="str">
        <f>'A) Base RI'!B83</f>
        <v>Fey</v>
      </c>
      <c r="C84" s="15">
        <f>'A) Base RI'!AN83</f>
        <v>703</v>
      </c>
      <c r="D84" s="10">
        <f t="shared" si="4"/>
        <v>703</v>
      </c>
      <c r="E84" s="15">
        <f t="shared" si="4"/>
        <v>0</v>
      </c>
      <c r="F84" s="10">
        <f t="shared" si="4"/>
        <v>0</v>
      </c>
      <c r="G84" s="15">
        <f t="shared" si="4"/>
        <v>0</v>
      </c>
      <c r="H84" s="43">
        <f t="shared" si="4"/>
        <v>0</v>
      </c>
      <c r="I84" s="10">
        <f t="shared" si="4"/>
        <v>0</v>
      </c>
      <c r="J84" s="10">
        <f t="shared" si="5"/>
        <v>0</v>
      </c>
      <c r="K84" s="121">
        <f t="shared" si="6"/>
        <v>69451.307847082498</v>
      </c>
    </row>
    <row r="85" spans="1:11" x14ac:dyDescent="0.25">
      <c r="A85" s="51">
        <f>'A) Base RI'!A84</f>
        <v>5523</v>
      </c>
      <c r="B85" s="34" t="str">
        <f>'A) Base RI'!B84</f>
        <v>Froideville</v>
      </c>
      <c r="C85" s="15">
        <f>'A) Base RI'!AN84</f>
        <v>2561</v>
      </c>
      <c r="D85" s="10">
        <f t="shared" si="4"/>
        <v>1000</v>
      </c>
      <c r="E85" s="15">
        <f t="shared" si="4"/>
        <v>1561</v>
      </c>
      <c r="F85" s="10">
        <f t="shared" si="4"/>
        <v>0</v>
      </c>
      <c r="G85" s="15">
        <f t="shared" si="4"/>
        <v>0</v>
      </c>
      <c r="H85" s="43">
        <f t="shared" si="4"/>
        <v>0</v>
      </c>
      <c r="I85" s="10">
        <f t="shared" si="4"/>
        <v>0</v>
      </c>
      <c r="J85" s="10">
        <f t="shared" si="5"/>
        <v>0</v>
      </c>
      <c r="K85" s="121">
        <f t="shared" si="6"/>
        <v>638546.98189134803</v>
      </c>
    </row>
    <row r="86" spans="1:11" x14ac:dyDescent="0.25">
      <c r="A86" s="51">
        <f>'A) Base RI'!A85</f>
        <v>5527</v>
      </c>
      <c r="B86" s="34" t="str">
        <f>'A) Base RI'!B85</f>
        <v>Morrens</v>
      </c>
      <c r="C86" s="15">
        <f>'A) Base RI'!AN85</f>
        <v>1092</v>
      </c>
      <c r="D86" s="10">
        <f t="shared" si="4"/>
        <v>1000</v>
      </c>
      <c r="E86" s="15">
        <f t="shared" si="4"/>
        <v>92</v>
      </c>
      <c r="F86" s="10">
        <f t="shared" si="4"/>
        <v>0</v>
      </c>
      <c r="G86" s="15">
        <f t="shared" si="4"/>
        <v>0</v>
      </c>
      <c r="H86" s="43">
        <f t="shared" si="4"/>
        <v>0</v>
      </c>
      <c r="I86" s="10">
        <f t="shared" si="4"/>
        <v>0</v>
      </c>
      <c r="J86" s="10">
        <f t="shared" si="5"/>
        <v>0</v>
      </c>
      <c r="K86" s="121">
        <f t="shared" si="6"/>
        <v>130604.02414486921</v>
      </c>
    </row>
    <row r="87" spans="1:11" x14ac:dyDescent="0.25">
      <c r="A87" s="51">
        <f>'A) Base RI'!A86</f>
        <v>5529</v>
      </c>
      <c r="B87" s="34" t="str">
        <f>'A) Base RI'!B86</f>
        <v>Oulens-sous-Echallens</v>
      </c>
      <c r="C87" s="15">
        <f>'A) Base RI'!AN86</f>
        <v>577</v>
      </c>
      <c r="D87" s="10">
        <f t="shared" si="4"/>
        <v>577</v>
      </c>
      <c r="E87" s="15">
        <f t="shared" si="4"/>
        <v>0</v>
      </c>
      <c r="F87" s="10">
        <f t="shared" si="4"/>
        <v>0</v>
      </c>
      <c r="G87" s="15">
        <f t="shared" si="4"/>
        <v>0</v>
      </c>
      <c r="H87" s="43">
        <f t="shared" si="4"/>
        <v>0</v>
      </c>
      <c r="I87" s="10">
        <f t="shared" si="4"/>
        <v>0</v>
      </c>
      <c r="J87" s="10">
        <f t="shared" si="5"/>
        <v>0</v>
      </c>
      <c r="K87" s="121">
        <f t="shared" si="6"/>
        <v>57003.420523138833</v>
      </c>
    </row>
    <row r="88" spans="1:11" x14ac:dyDescent="0.25">
      <c r="A88" s="51">
        <f>'A) Base RI'!A87</f>
        <v>5530</v>
      </c>
      <c r="B88" s="34" t="str">
        <f>'A) Base RI'!B87</f>
        <v>Pailly</v>
      </c>
      <c r="C88" s="15">
        <f>'A) Base RI'!AN87</f>
        <v>543</v>
      </c>
      <c r="D88" s="10">
        <f t="shared" si="4"/>
        <v>543</v>
      </c>
      <c r="E88" s="15">
        <f t="shared" si="4"/>
        <v>0</v>
      </c>
      <c r="F88" s="10">
        <f t="shared" si="4"/>
        <v>0</v>
      </c>
      <c r="G88" s="15">
        <f t="shared" si="4"/>
        <v>0</v>
      </c>
      <c r="H88" s="43">
        <f t="shared" si="4"/>
        <v>0</v>
      </c>
      <c r="I88" s="10">
        <f t="shared" si="4"/>
        <v>0</v>
      </c>
      <c r="J88" s="10">
        <f t="shared" si="5"/>
        <v>0</v>
      </c>
      <c r="K88" s="121">
        <f t="shared" si="6"/>
        <v>53644.466800804832</v>
      </c>
    </row>
    <row r="89" spans="1:11" x14ac:dyDescent="0.25">
      <c r="A89" s="51">
        <f>'A) Base RI'!A88</f>
        <v>5531</v>
      </c>
      <c r="B89" s="34" t="str">
        <f>'A) Base RI'!B88</f>
        <v>Penthéréaz</v>
      </c>
      <c r="C89" s="15">
        <f>'A) Base RI'!AN88</f>
        <v>418</v>
      </c>
      <c r="D89" s="10">
        <f t="shared" si="4"/>
        <v>418</v>
      </c>
      <c r="E89" s="15">
        <f t="shared" si="4"/>
        <v>0</v>
      </c>
      <c r="F89" s="10">
        <f t="shared" si="4"/>
        <v>0</v>
      </c>
      <c r="G89" s="15">
        <f t="shared" si="4"/>
        <v>0</v>
      </c>
      <c r="H89" s="43">
        <f t="shared" si="4"/>
        <v>0</v>
      </c>
      <c r="I89" s="10">
        <f t="shared" si="4"/>
        <v>0</v>
      </c>
      <c r="J89" s="10">
        <f t="shared" si="5"/>
        <v>0</v>
      </c>
      <c r="K89" s="121">
        <f t="shared" si="6"/>
        <v>41295.372233400405</v>
      </c>
    </row>
    <row r="90" spans="1:11" x14ac:dyDescent="0.25">
      <c r="A90" s="51">
        <f>'A) Base RI'!A89</f>
        <v>5533</v>
      </c>
      <c r="B90" s="34" t="str">
        <f>'A) Base RI'!B89</f>
        <v>Poliez-Pittet</v>
      </c>
      <c r="C90" s="15">
        <f>'A) Base RI'!AN89</f>
        <v>849</v>
      </c>
      <c r="D90" s="10">
        <f t="shared" si="4"/>
        <v>849</v>
      </c>
      <c r="E90" s="15">
        <f t="shared" si="4"/>
        <v>0</v>
      </c>
      <c r="F90" s="10">
        <f t="shared" si="4"/>
        <v>0</v>
      </c>
      <c r="G90" s="15">
        <f t="shared" si="4"/>
        <v>0</v>
      </c>
      <c r="H90" s="43">
        <f t="shared" si="4"/>
        <v>0</v>
      </c>
      <c r="I90" s="10">
        <f t="shared" si="4"/>
        <v>0</v>
      </c>
      <c r="J90" s="10">
        <f t="shared" si="5"/>
        <v>0</v>
      </c>
      <c r="K90" s="121">
        <f t="shared" si="6"/>
        <v>83875.050301810872</v>
      </c>
    </row>
    <row r="91" spans="1:11" x14ac:dyDescent="0.25">
      <c r="A91" s="51">
        <f>'A) Base RI'!A90</f>
        <v>5534</v>
      </c>
      <c r="B91" s="34" t="str">
        <f>'A) Base RI'!B90</f>
        <v>Rueyres</v>
      </c>
      <c r="C91" s="15">
        <f>'A) Base RI'!AN90</f>
        <v>257</v>
      </c>
      <c r="D91" s="10">
        <f t="shared" si="4"/>
        <v>257</v>
      </c>
      <c r="E91" s="15">
        <f t="shared" si="4"/>
        <v>0</v>
      </c>
      <c r="F91" s="10">
        <f t="shared" si="4"/>
        <v>0</v>
      </c>
      <c r="G91" s="15">
        <f t="shared" si="4"/>
        <v>0</v>
      </c>
      <c r="H91" s="43">
        <f t="shared" si="4"/>
        <v>0</v>
      </c>
      <c r="I91" s="10">
        <f t="shared" si="4"/>
        <v>0</v>
      </c>
      <c r="J91" s="10">
        <f t="shared" si="5"/>
        <v>0</v>
      </c>
      <c r="K91" s="121">
        <f t="shared" si="6"/>
        <v>25389.7384305835</v>
      </c>
    </row>
    <row r="92" spans="1:11" x14ac:dyDescent="0.25">
      <c r="A92" s="51">
        <f>'A) Base RI'!A91</f>
        <v>5535</v>
      </c>
      <c r="B92" s="34" t="str">
        <f>'A) Base RI'!B91</f>
        <v>Saint-Barthélemy</v>
      </c>
      <c r="C92" s="15">
        <f>'A) Base RI'!AN91</f>
        <v>769</v>
      </c>
      <c r="D92" s="10">
        <f t="shared" si="4"/>
        <v>769</v>
      </c>
      <c r="E92" s="15">
        <f t="shared" si="4"/>
        <v>0</v>
      </c>
      <c r="F92" s="10">
        <f t="shared" si="4"/>
        <v>0</v>
      </c>
      <c r="G92" s="15">
        <f t="shared" si="4"/>
        <v>0</v>
      </c>
      <c r="H92" s="43">
        <f t="shared" si="4"/>
        <v>0</v>
      </c>
      <c r="I92" s="10">
        <f t="shared" si="4"/>
        <v>0</v>
      </c>
      <c r="J92" s="10">
        <f t="shared" si="5"/>
        <v>0</v>
      </c>
      <c r="K92" s="121">
        <f t="shared" si="6"/>
        <v>75971.629778672039</v>
      </c>
    </row>
    <row r="93" spans="1:11" x14ac:dyDescent="0.25">
      <c r="A93" s="51">
        <f>'A) Base RI'!A92</f>
        <v>5537</v>
      </c>
      <c r="B93" s="34" t="str">
        <f>'A) Base RI'!B92</f>
        <v>Villars-le-Terroir</v>
      </c>
      <c r="C93" s="15">
        <f>'A) Base RI'!AN92</f>
        <v>1150</v>
      </c>
      <c r="D93" s="10">
        <f t="shared" si="4"/>
        <v>1000</v>
      </c>
      <c r="E93" s="15">
        <f t="shared" si="4"/>
        <v>150</v>
      </c>
      <c r="F93" s="10">
        <f t="shared" si="4"/>
        <v>0</v>
      </c>
      <c r="G93" s="15">
        <f t="shared" si="4"/>
        <v>0</v>
      </c>
      <c r="H93" s="43">
        <f t="shared" si="4"/>
        <v>0</v>
      </c>
      <c r="I93" s="10">
        <f t="shared" si="4"/>
        <v>0</v>
      </c>
      <c r="J93" s="10">
        <f t="shared" si="5"/>
        <v>0</v>
      </c>
      <c r="K93" s="121">
        <f t="shared" si="6"/>
        <v>150658.953722334</v>
      </c>
    </row>
    <row r="94" spans="1:11" x14ac:dyDescent="0.25">
      <c r="A94" s="51">
        <f>'A) Base RI'!A93</f>
        <v>5539</v>
      </c>
      <c r="B94" s="34" t="str">
        <f>'A) Base RI'!B93</f>
        <v>Vuarrens</v>
      </c>
      <c r="C94" s="15">
        <f>'A) Base RI'!AN93</f>
        <v>1003</v>
      </c>
      <c r="D94" s="10">
        <f t="shared" si="4"/>
        <v>1000</v>
      </c>
      <c r="E94" s="15">
        <f t="shared" si="4"/>
        <v>3</v>
      </c>
      <c r="F94" s="10">
        <f t="shared" si="4"/>
        <v>0</v>
      </c>
      <c r="G94" s="15">
        <f t="shared" si="4"/>
        <v>0</v>
      </c>
      <c r="H94" s="43">
        <f t="shared" si="4"/>
        <v>0</v>
      </c>
      <c r="I94" s="10">
        <f t="shared" si="4"/>
        <v>0</v>
      </c>
      <c r="J94" s="10">
        <f t="shared" si="5"/>
        <v>0</v>
      </c>
      <c r="K94" s="121">
        <f t="shared" si="6"/>
        <v>99830.080482897392</v>
      </c>
    </row>
    <row r="95" spans="1:11" x14ac:dyDescent="0.25">
      <c r="A95" s="51">
        <f>'A) Base RI'!A94</f>
        <v>5540</v>
      </c>
      <c r="B95" s="34" t="str">
        <f>'A) Base RI'!B94</f>
        <v>Montilliez</v>
      </c>
      <c r="C95" s="15">
        <f>'A) Base RI'!AN94</f>
        <v>1731</v>
      </c>
      <c r="D95" s="10">
        <f t="shared" si="4"/>
        <v>1000</v>
      </c>
      <c r="E95" s="15">
        <f t="shared" si="4"/>
        <v>731</v>
      </c>
      <c r="F95" s="10">
        <f t="shared" si="4"/>
        <v>0</v>
      </c>
      <c r="G95" s="15">
        <f t="shared" si="4"/>
        <v>0</v>
      </c>
      <c r="H95" s="43">
        <f t="shared" si="4"/>
        <v>0</v>
      </c>
      <c r="I95" s="10">
        <f t="shared" si="4"/>
        <v>0</v>
      </c>
      <c r="J95" s="10">
        <f t="shared" si="5"/>
        <v>0</v>
      </c>
      <c r="K95" s="121">
        <f t="shared" si="6"/>
        <v>351554.02414486918</v>
      </c>
    </row>
    <row r="96" spans="1:11" x14ac:dyDescent="0.25">
      <c r="A96" s="51">
        <f>'A) Base RI'!A95</f>
        <v>5541</v>
      </c>
      <c r="B96" s="34" t="str">
        <f>'A) Base RI'!B95</f>
        <v>Goumoëns</v>
      </c>
      <c r="C96" s="15">
        <f>'A) Base RI'!AN95</f>
        <v>1110</v>
      </c>
      <c r="D96" s="10">
        <f t="shared" si="4"/>
        <v>1000</v>
      </c>
      <c r="E96" s="15">
        <f t="shared" si="4"/>
        <v>110</v>
      </c>
      <c r="F96" s="10">
        <f t="shared" si="4"/>
        <v>0</v>
      </c>
      <c r="G96" s="15">
        <f t="shared" si="4"/>
        <v>0</v>
      </c>
      <c r="H96" s="43">
        <f t="shared" si="4"/>
        <v>0</v>
      </c>
      <c r="I96" s="10">
        <f t="shared" si="4"/>
        <v>0</v>
      </c>
      <c r="J96" s="10">
        <f t="shared" si="5"/>
        <v>0</v>
      </c>
      <c r="K96" s="121">
        <f t="shared" si="6"/>
        <v>136827.96780684104</v>
      </c>
    </row>
    <row r="97" spans="1:11" x14ac:dyDescent="0.25">
      <c r="A97" s="51">
        <f>'A) Base RI'!A96</f>
        <v>5551</v>
      </c>
      <c r="B97" s="34" t="str">
        <f>'A) Base RI'!B96</f>
        <v>Bonvillars</v>
      </c>
      <c r="C97" s="15">
        <f>'A) Base RI'!AN96</f>
        <v>495</v>
      </c>
      <c r="D97" s="10">
        <f t="shared" si="4"/>
        <v>495</v>
      </c>
      <c r="E97" s="15">
        <f t="shared" si="4"/>
        <v>0</v>
      </c>
      <c r="F97" s="10">
        <f t="shared" si="4"/>
        <v>0</v>
      </c>
      <c r="G97" s="15">
        <f t="shared" si="4"/>
        <v>0</v>
      </c>
      <c r="H97" s="43">
        <f t="shared" si="4"/>
        <v>0</v>
      </c>
      <c r="I97" s="10">
        <f t="shared" si="4"/>
        <v>0</v>
      </c>
      <c r="J97" s="10">
        <f t="shared" si="5"/>
        <v>0</v>
      </c>
      <c r="K97" s="121">
        <f t="shared" si="6"/>
        <v>48902.414486921531</v>
      </c>
    </row>
    <row r="98" spans="1:11" x14ac:dyDescent="0.25">
      <c r="A98" s="51">
        <f>'A) Base RI'!A97</f>
        <v>5552</v>
      </c>
      <c r="B98" s="34" t="str">
        <f>'A) Base RI'!B97</f>
        <v>Bullet</v>
      </c>
      <c r="C98" s="15">
        <f>'A) Base RI'!AN97</f>
        <v>644</v>
      </c>
      <c r="D98" s="10">
        <f t="shared" si="4"/>
        <v>644</v>
      </c>
      <c r="E98" s="15">
        <f t="shared" si="4"/>
        <v>0</v>
      </c>
      <c r="F98" s="10">
        <f t="shared" si="4"/>
        <v>0</v>
      </c>
      <c r="G98" s="15">
        <f t="shared" si="4"/>
        <v>0</v>
      </c>
      <c r="H98" s="43">
        <f t="shared" si="4"/>
        <v>0</v>
      </c>
      <c r="I98" s="10">
        <f t="shared" si="4"/>
        <v>0</v>
      </c>
      <c r="J98" s="10">
        <f t="shared" si="5"/>
        <v>0</v>
      </c>
      <c r="K98" s="121">
        <f t="shared" si="6"/>
        <v>63622.535211267605</v>
      </c>
    </row>
    <row r="99" spans="1:11" x14ac:dyDescent="0.25">
      <c r="A99" s="51">
        <f>'A) Base RI'!A98</f>
        <v>5553</v>
      </c>
      <c r="B99" s="34" t="str">
        <f>'A) Base RI'!B98</f>
        <v>Champagne</v>
      </c>
      <c r="C99" s="15">
        <f>'A) Base RI'!AN98</f>
        <v>1027</v>
      </c>
      <c r="D99" s="10">
        <f t="shared" si="4"/>
        <v>1000</v>
      </c>
      <c r="E99" s="15">
        <f t="shared" si="4"/>
        <v>27</v>
      </c>
      <c r="F99" s="10">
        <f t="shared" si="4"/>
        <v>0</v>
      </c>
      <c r="G99" s="15">
        <f t="shared" si="4"/>
        <v>0</v>
      </c>
      <c r="H99" s="43">
        <f t="shared" si="4"/>
        <v>0</v>
      </c>
      <c r="I99" s="10">
        <f t="shared" si="4"/>
        <v>0</v>
      </c>
      <c r="J99" s="10">
        <f t="shared" si="5"/>
        <v>0</v>
      </c>
      <c r="K99" s="121">
        <f t="shared" si="6"/>
        <v>108128.67203219316</v>
      </c>
    </row>
    <row r="100" spans="1:11" x14ac:dyDescent="0.25">
      <c r="A100" s="51">
        <f>'A) Base RI'!A99</f>
        <v>5554</v>
      </c>
      <c r="B100" s="34" t="str">
        <f>'A) Base RI'!B99</f>
        <v>Concise</v>
      </c>
      <c r="C100" s="15">
        <f>'A) Base RI'!AN99</f>
        <v>969</v>
      </c>
      <c r="D100" s="10">
        <f t="shared" si="4"/>
        <v>969</v>
      </c>
      <c r="E100" s="15">
        <f t="shared" si="4"/>
        <v>0</v>
      </c>
      <c r="F100" s="10">
        <f t="shared" si="4"/>
        <v>0</v>
      </c>
      <c r="G100" s="15">
        <f t="shared" si="4"/>
        <v>0</v>
      </c>
      <c r="H100" s="43">
        <f t="shared" si="4"/>
        <v>0</v>
      </c>
      <c r="I100" s="10">
        <f t="shared" si="4"/>
        <v>0</v>
      </c>
      <c r="J100" s="10">
        <f t="shared" si="5"/>
        <v>0</v>
      </c>
      <c r="K100" s="121">
        <f t="shared" si="6"/>
        <v>95730.181086519122</v>
      </c>
    </row>
    <row r="101" spans="1:11" x14ac:dyDescent="0.25">
      <c r="A101" s="51">
        <f>'A) Base RI'!A100</f>
        <v>5555</v>
      </c>
      <c r="B101" s="34" t="str">
        <f>'A) Base RI'!B100</f>
        <v>Corcelles-près-Concise</v>
      </c>
      <c r="C101" s="15">
        <f>'A) Base RI'!AN100</f>
        <v>377</v>
      </c>
      <c r="D101" s="10">
        <f t="shared" si="4"/>
        <v>377</v>
      </c>
      <c r="E101" s="15">
        <f t="shared" si="4"/>
        <v>0</v>
      </c>
      <c r="F101" s="10">
        <f t="shared" si="4"/>
        <v>0</v>
      </c>
      <c r="G101" s="15">
        <f t="shared" si="4"/>
        <v>0</v>
      </c>
      <c r="H101" s="43">
        <f t="shared" si="4"/>
        <v>0</v>
      </c>
      <c r="I101" s="10">
        <f t="shared" si="4"/>
        <v>0</v>
      </c>
      <c r="J101" s="10">
        <f t="shared" si="5"/>
        <v>0</v>
      </c>
      <c r="K101" s="121">
        <f t="shared" si="6"/>
        <v>37244.86921529175</v>
      </c>
    </row>
    <row r="102" spans="1:11" x14ac:dyDescent="0.25">
      <c r="A102" s="51">
        <f>'A) Base RI'!A101</f>
        <v>5556</v>
      </c>
      <c r="B102" s="34" t="str">
        <f>'A) Base RI'!B101</f>
        <v>Fiez</v>
      </c>
      <c r="C102" s="15">
        <f>'A) Base RI'!AN101</f>
        <v>425</v>
      </c>
      <c r="D102" s="10">
        <f t="shared" si="4"/>
        <v>425</v>
      </c>
      <c r="E102" s="15">
        <f t="shared" si="4"/>
        <v>0</v>
      </c>
      <c r="F102" s="10">
        <f t="shared" si="4"/>
        <v>0</v>
      </c>
      <c r="G102" s="15">
        <f t="shared" si="4"/>
        <v>0</v>
      </c>
      <c r="H102" s="43">
        <f t="shared" si="4"/>
        <v>0</v>
      </c>
      <c r="I102" s="10">
        <f t="shared" si="4"/>
        <v>0</v>
      </c>
      <c r="J102" s="10">
        <f t="shared" si="5"/>
        <v>0</v>
      </c>
      <c r="K102" s="121">
        <f t="shared" si="6"/>
        <v>41986.921529175052</v>
      </c>
    </row>
    <row r="103" spans="1:11" x14ac:dyDescent="0.25">
      <c r="A103" s="51">
        <f>'A) Base RI'!A102</f>
        <v>5557</v>
      </c>
      <c r="B103" s="34" t="str">
        <f>'A) Base RI'!B102</f>
        <v>Fontaines-sur-Grandson</v>
      </c>
      <c r="C103" s="15">
        <f>'A) Base RI'!AN102</f>
        <v>210</v>
      </c>
      <c r="D103" s="10">
        <f t="shared" si="4"/>
        <v>210</v>
      </c>
      <c r="E103" s="15">
        <f t="shared" si="4"/>
        <v>0</v>
      </c>
      <c r="F103" s="10">
        <f t="shared" si="4"/>
        <v>0</v>
      </c>
      <c r="G103" s="15">
        <f t="shared" si="4"/>
        <v>0</v>
      </c>
      <c r="H103" s="43">
        <f t="shared" si="4"/>
        <v>0</v>
      </c>
      <c r="I103" s="10">
        <f t="shared" si="4"/>
        <v>0</v>
      </c>
      <c r="J103" s="10">
        <f t="shared" si="5"/>
        <v>0</v>
      </c>
      <c r="K103" s="121">
        <f t="shared" si="6"/>
        <v>20746.478873239437</v>
      </c>
    </row>
    <row r="104" spans="1:11" x14ac:dyDescent="0.25">
      <c r="A104" s="51">
        <f>'A) Base RI'!A103</f>
        <v>5559</v>
      </c>
      <c r="B104" s="34" t="str">
        <f>'A) Base RI'!B103</f>
        <v>Giez</v>
      </c>
      <c r="C104" s="15">
        <f>'A) Base RI'!AN103</f>
        <v>421</v>
      </c>
      <c r="D104" s="10">
        <f t="shared" si="4"/>
        <v>421</v>
      </c>
      <c r="E104" s="15">
        <f t="shared" si="4"/>
        <v>0</v>
      </c>
      <c r="F104" s="10">
        <f t="shared" si="4"/>
        <v>0</v>
      </c>
      <c r="G104" s="15">
        <f t="shared" si="4"/>
        <v>0</v>
      </c>
      <c r="H104" s="43">
        <f t="shared" si="4"/>
        <v>0</v>
      </c>
      <c r="I104" s="10">
        <f t="shared" si="4"/>
        <v>0</v>
      </c>
      <c r="J104" s="10">
        <f t="shared" si="5"/>
        <v>0</v>
      </c>
      <c r="K104" s="121">
        <f t="shared" si="6"/>
        <v>41591.750503018106</v>
      </c>
    </row>
    <row r="105" spans="1:11" x14ac:dyDescent="0.25">
      <c r="A105" s="51">
        <f>'A) Base RI'!A104</f>
        <v>5560</v>
      </c>
      <c r="B105" s="34" t="str">
        <f>'A) Base RI'!B104</f>
        <v>Grandevent</v>
      </c>
      <c r="C105" s="15">
        <f>'A) Base RI'!AN104</f>
        <v>229</v>
      </c>
      <c r="D105" s="10">
        <f t="shared" si="4"/>
        <v>229</v>
      </c>
      <c r="E105" s="15">
        <f t="shared" si="4"/>
        <v>0</v>
      </c>
      <c r="F105" s="10">
        <f t="shared" si="4"/>
        <v>0</v>
      </c>
      <c r="G105" s="15">
        <f t="shared" si="4"/>
        <v>0</v>
      </c>
      <c r="H105" s="43">
        <f t="shared" si="4"/>
        <v>0</v>
      </c>
      <c r="I105" s="10">
        <f t="shared" si="4"/>
        <v>0</v>
      </c>
      <c r="J105" s="10">
        <f t="shared" si="5"/>
        <v>0</v>
      </c>
      <c r="K105" s="121">
        <f t="shared" si="6"/>
        <v>22623.541247484911</v>
      </c>
    </row>
    <row r="106" spans="1:11" x14ac:dyDescent="0.25">
      <c r="A106" s="51">
        <f>'A) Base RI'!A105</f>
        <v>5561</v>
      </c>
      <c r="B106" s="34" t="str">
        <f>'A) Base RI'!B105</f>
        <v>Grandson</v>
      </c>
      <c r="C106" s="15">
        <f>'A) Base RI'!AN105</f>
        <v>3284</v>
      </c>
      <c r="D106" s="10">
        <f t="shared" si="4"/>
        <v>1000</v>
      </c>
      <c r="E106" s="15">
        <f t="shared" si="4"/>
        <v>2000</v>
      </c>
      <c r="F106" s="10">
        <f t="shared" si="4"/>
        <v>284</v>
      </c>
      <c r="G106" s="15">
        <f t="shared" ref="E106:I157" si="7">IF($C106&gt;G$4,IF($C106&lt;G$5,$C106-G$4,G$5-G$4),0)</f>
        <v>0</v>
      </c>
      <c r="H106" s="43">
        <f t="shared" si="7"/>
        <v>0</v>
      </c>
      <c r="I106" s="10">
        <f t="shared" si="7"/>
        <v>0</v>
      </c>
      <c r="J106" s="10">
        <f t="shared" si="5"/>
        <v>0</v>
      </c>
      <c r="K106" s="121">
        <f t="shared" si="6"/>
        <v>930627.76659959764</v>
      </c>
    </row>
    <row r="107" spans="1:11" x14ac:dyDescent="0.25">
      <c r="A107" s="51">
        <f>'A) Base RI'!A106</f>
        <v>5562</v>
      </c>
      <c r="B107" s="34" t="str">
        <f>'A) Base RI'!B106</f>
        <v>Mauborget</v>
      </c>
      <c r="C107" s="15">
        <f>'A) Base RI'!AN106</f>
        <v>119</v>
      </c>
      <c r="D107" s="10">
        <f t="shared" ref="D107:D170" si="8">IF($C107&gt;D$4,IF($C107&lt;D$5,$C107-D$4,D$5-D$4),0)</f>
        <v>119</v>
      </c>
      <c r="E107" s="15">
        <f t="shared" si="7"/>
        <v>0</v>
      </c>
      <c r="F107" s="10">
        <f t="shared" si="7"/>
        <v>0</v>
      </c>
      <c r="G107" s="15">
        <f t="shared" si="7"/>
        <v>0</v>
      </c>
      <c r="H107" s="43">
        <f t="shared" si="7"/>
        <v>0</v>
      </c>
      <c r="I107" s="10">
        <f t="shared" si="7"/>
        <v>0</v>
      </c>
      <c r="J107" s="10">
        <f t="shared" si="5"/>
        <v>0</v>
      </c>
      <c r="K107" s="121">
        <f t="shared" si="6"/>
        <v>11756.338028169013</v>
      </c>
    </row>
    <row r="108" spans="1:11" x14ac:dyDescent="0.25">
      <c r="A108" s="51">
        <f>'A) Base RI'!A107</f>
        <v>5563</v>
      </c>
      <c r="B108" s="34" t="str">
        <f>'A) Base RI'!B107</f>
        <v>Mutrux</v>
      </c>
      <c r="C108" s="15">
        <f>'A) Base RI'!AN107</f>
        <v>163</v>
      </c>
      <c r="D108" s="10">
        <f t="shared" si="8"/>
        <v>163</v>
      </c>
      <c r="E108" s="15">
        <f t="shared" si="7"/>
        <v>0</v>
      </c>
      <c r="F108" s="10">
        <f t="shared" si="7"/>
        <v>0</v>
      </c>
      <c r="G108" s="15">
        <f t="shared" si="7"/>
        <v>0</v>
      </c>
      <c r="H108" s="43">
        <f t="shared" si="7"/>
        <v>0</v>
      </c>
      <c r="I108" s="10">
        <f t="shared" si="7"/>
        <v>0</v>
      </c>
      <c r="J108" s="10">
        <f t="shared" si="5"/>
        <v>0</v>
      </c>
      <c r="K108" s="121">
        <f t="shared" si="6"/>
        <v>16103.219315895372</v>
      </c>
    </row>
    <row r="109" spans="1:11" x14ac:dyDescent="0.25">
      <c r="A109" s="51">
        <f>'A) Base RI'!A108</f>
        <v>5564</v>
      </c>
      <c r="B109" s="34" t="str">
        <f>'A) Base RI'!B108</f>
        <v>Novalles</v>
      </c>
      <c r="C109" s="15">
        <f>'A) Base RI'!AN108</f>
        <v>101</v>
      </c>
      <c r="D109" s="10">
        <f t="shared" si="8"/>
        <v>101</v>
      </c>
      <c r="E109" s="15">
        <f t="shared" si="7"/>
        <v>0</v>
      </c>
      <c r="F109" s="10">
        <f t="shared" si="7"/>
        <v>0</v>
      </c>
      <c r="G109" s="15">
        <f t="shared" si="7"/>
        <v>0</v>
      </c>
      <c r="H109" s="43">
        <f t="shared" si="7"/>
        <v>0</v>
      </c>
      <c r="I109" s="10">
        <f t="shared" si="7"/>
        <v>0</v>
      </c>
      <c r="J109" s="10">
        <f t="shared" si="5"/>
        <v>0</v>
      </c>
      <c r="K109" s="121">
        <f t="shared" si="6"/>
        <v>9978.0684104627762</v>
      </c>
    </row>
    <row r="110" spans="1:11" x14ac:dyDescent="0.25">
      <c r="A110" s="51">
        <f>'A) Base RI'!A109</f>
        <v>5565</v>
      </c>
      <c r="B110" s="34" t="str">
        <f>'A) Base RI'!B109</f>
        <v>Onnens</v>
      </c>
      <c r="C110" s="15">
        <f>'A) Base RI'!AN109</f>
        <v>477</v>
      </c>
      <c r="D110" s="10">
        <f t="shared" si="8"/>
        <v>477</v>
      </c>
      <c r="E110" s="15">
        <f t="shared" si="7"/>
        <v>0</v>
      </c>
      <c r="F110" s="10">
        <f t="shared" si="7"/>
        <v>0</v>
      </c>
      <c r="G110" s="15">
        <f t="shared" si="7"/>
        <v>0</v>
      </c>
      <c r="H110" s="43">
        <f t="shared" si="7"/>
        <v>0</v>
      </c>
      <c r="I110" s="10">
        <f t="shared" si="7"/>
        <v>0</v>
      </c>
      <c r="J110" s="10">
        <f t="shared" si="5"/>
        <v>0</v>
      </c>
      <c r="K110" s="121">
        <f t="shared" si="6"/>
        <v>47124.144869215292</v>
      </c>
    </row>
    <row r="111" spans="1:11" x14ac:dyDescent="0.25">
      <c r="A111" s="51">
        <f>'A) Base RI'!A110</f>
        <v>5566</v>
      </c>
      <c r="B111" s="34" t="str">
        <f>'A) Base RI'!B110</f>
        <v>Provence</v>
      </c>
      <c r="C111" s="15">
        <f>'A) Base RI'!AN110</f>
        <v>388</v>
      </c>
      <c r="D111" s="10">
        <f t="shared" si="8"/>
        <v>388</v>
      </c>
      <c r="E111" s="15">
        <f t="shared" si="7"/>
        <v>0</v>
      </c>
      <c r="F111" s="10">
        <f t="shared" si="7"/>
        <v>0</v>
      </c>
      <c r="G111" s="15">
        <f t="shared" si="7"/>
        <v>0</v>
      </c>
      <c r="H111" s="43">
        <f t="shared" si="7"/>
        <v>0</v>
      </c>
      <c r="I111" s="10">
        <f t="shared" si="7"/>
        <v>0</v>
      </c>
      <c r="J111" s="10">
        <f t="shared" si="5"/>
        <v>0</v>
      </c>
      <c r="K111" s="121">
        <f t="shared" si="6"/>
        <v>38331.589537223343</v>
      </c>
    </row>
    <row r="112" spans="1:11" x14ac:dyDescent="0.25">
      <c r="A112" s="51">
        <f>'A) Base RI'!A111</f>
        <v>5568</v>
      </c>
      <c r="B112" s="34" t="str">
        <f>'A) Base RI'!B111</f>
        <v>Sainte-Croix</v>
      </c>
      <c r="C112" s="15">
        <f>'A) Base RI'!AN111</f>
        <v>4919</v>
      </c>
      <c r="D112" s="10">
        <f t="shared" si="8"/>
        <v>1000</v>
      </c>
      <c r="E112" s="15">
        <f t="shared" si="7"/>
        <v>2000</v>
      </c>
      <c r="F112" s="10">
        <f t="shared" si="7"/>
        <v>1919</v>
      </c>
      <c r="G112" s="15">
        <f t="shared" si="7"/>
        <v>0</v>
      </c>
      <c r="H112" s="43">
        <f t="shared" si="7"/>
        <v>0</v>
      </c>
      <c r="I112" s="10">
        <f t="shared" si="7"/>
        <v>0</v>
      </c>
      <c r="J112" s="10">
        <f t="shared" si="5"/>
        <v>0</v>
      </c>
      <c r="K112" s="121">
        <f t="shared" si="6"/>
        <v>1738258.551307847</v>
      </c>
    </row>
    <row r="113" spans="1:11" x14ac:dyDescent="0.25">
      <c r="A113" s="51">
        <f>'A) Base RI'!A112</f>
        <v>5571</v>
      </c>
      <c r="B113" s="34" t="str">
        <f>'A) Base RI'!B112</f>
        <v>Tévenon</v>
      </c>
      <c r="C113" s="15">
        <f>'A) Base RI'!AN112</f>
        <v>843</v>
      </c>
      <c r="D113" s="10">
        <f t="shared" si="8"/>
        <v>843</v>
      </c>
      <c r="E113" s="15">
        <f t="shared" si="7"/>
        <v>0</v>
      </c>
      <c r="F113" s="10">
        <f t="shared" si="7"/>
        <v>0</v>
      </c>
      <c r="G113" s="15">
        <f t="shared" si="7"/>
        <v>0</v>
      </c>
      <c r="H113" s="43">
        <f t="shared" si="7"/>
        <v>0</v>
      </c>
      <c r="I113" s="10">
        <f t="shared" si="7"/>
        <v>0</v>
      </c>
      <c r="J113" s="10">
        <f t="shared" si="5"/>
        <v>0</v>
      </c>
      <c r="K113" s="121">
        <f t="shared" si="6"/>
        <v>83282.293762575457</v>
      </c>
    </row>
    <row r="114" spans="1:11" x14ac:dyDescent="0.25">
      <c r="A114" s="51">
        <f>'A) Base RI'!A113</f>
        <v>5581</v>
      </c>
      <c r="B114" s="34" t="str">
        <f>'A) Base RI'!B113</f>
        <v>Belmont-sur-Lausanne</v>
      </c>
      <c r="C114" s="15">
        <f>'A) Base RI'!AN113</f>
        <v>3662</v>
      </c>
      <c r="D114" s="10">
        <f t="shared" si="8"/>
        <v>1000</v>
      </c>
      <c r="E114" s="15">
        <f t="shared" si="7"/>
        <v>2000</v>
      </c>
      <c r="F114" s="10">
        <f t="shared" si="7"/>
        <v>662</v>
      </c>
      <c r="G114" s="15">
        <f t="shared" si="7"/>
        <v>0</v>
      </c>
      <c r="H114" s="43">
        <f t="shared" si="7"/>
        <v>0</v>
      </c>
      <c r="I114" s="10">
        <f t="shared" si="7"/>
        <v>0</v>
      </c>
      <c r="J114" s="10">
        <f t="shared" si="5"/>
        <v>0</v>
      </c>
      <c r="K114" s="121">
        <f t="shared" si="6"/>
        <v>1117346.0764587526</v>
      </c>
    </row>
    <row r="115" spans="1:11" x14ac:dyDescent="0.25">
      <c r="A115" s="51">
        <f>'A) Base RI'!A114</f>
        <v>5582</v>
      </c>
      <c r="B115" s="34" t="str">
        <f>'A) Base RI'!B114</f>
        <v>Cheseaux-sur-Lausanne</v>
      </c>
      <c r="C115" s="15">
        <f>'A) Base RI'!AN114</f>
        <v>4357</v>
      </c>
      <c r="D115" s="10">
        <f t="shared" si="8"/>
        <v>1000</v>
      </c>
      <c r="E115" s="15">
        <f t="shared" si="7"/>
        <v>2000</v>
      </c>
      <c r="F115" s="10">
        <f t="shared" si="7"/>
        <v>1357</v>
      </c>
      <c r="G115" s="15">
        <f t="shared" si="7"/>
        <v>0</v>
      </c>
      <c r="H115" s="43">
        <f t="shared" si="7"/>
        <v>0</v>
      </c>
      <c r="I115" s="10">
        <f t="shared" si="7"/>
        <v>0</v>
      </c>
      <c r="J115" s="10">
        <f t="shared" si="5"/>
        <v>0</v>
      </c>
      <c r="K115" s="121">
        <f t="shared" si="6"/>
        <v>1460650.9054325954</v>
      </c>
    </row>
    <row r="116" spans="1:11" x14ac:dyDescent="0.25">
      <c r="A116" s="51">
        <f>'A) Base RI'!A115</f>
        <v>5583</v>
      </c>
      <c r="B116" s="34" t="str">
        <f>'A) Base RI'!B115</f>
        <v>Crissier</v>
      </c>
      <c r="C116" s="15">
        <f>'A) Base RI'!AN115</f>
        <v>8008</v>
      </c>
      <c r="D116" s="10">
        <f t="shared" si="8"/>
        <v>1000</v>
      </c>
      <c r="E116" s="15">
        <f t="shared" si="7"/>
        <v>2000</v>
      </c>
      <c r="F116" s="10">
        <f t="shared" si="7"/>
        <v>2000</v>
      </c>
      <c r="G116" s="15">
        <f t="shared" si="7"/>
        <v>3008</v>
      </c>
      <c r="H116" s="43">
        <f t="shared" si="7"/>
        <v>0</v>
      </c>
      <c r="I116" s="10">
        <f t="shared" si="7"/>
        <v>0</v>
      </c>
      <c r="J116" s="10">
        <f t="shared" si="5"/>
        <v>0</v>
      </c>
      <c r="K116" s="121">
        <f t="shared" si="6"/>
        <v>3561281.287726358</v>
      </c>
    </row>
    <row r="117" spans="1:11" x14ac:dyDescent="0.25">
      <c r="A117" s="51">
        <f>'A) Base RI'!A116</f>
        <v>5584</v>
      </c>
      <c r="B117" s="34" t="str">
        <f>'A) Base RI'!B116</f>
        <v>Epalinges</v>
      </c>
      <c r="C117" s="15">
        <f>'A) Base RI'!AN116</f>
        <v>9335</v>
      </c>
      <c r="D117" s="10">
        <f t="shared" si="8"/>
        <v>1000</v>
      </c>
      <c r="E117" s="15">
        <f t="shared" si="7"/>
        <v>2000</v>
      </c>
      <c r="F117" s="10">
        <f t="shared" si="7"/>
        <v>2000</v>
      </c>
      <c r="G117" s="15">
        <f t="shared" si="7"/>
        <v>4000</v>
      </c>
      <c r="H117" s="43">
        <f t="shared" si="7"/>
        <v>335</v>
      </c>
      <c r="I117" s="10">
        <f t="shared" si="7"/>
        <v>0</v>
      </c>
      <c r="J117" s="10">
        <f t="shared" si="5"/>
        <v>0</v>
      </c>
      <c r="K117" s="121">
        <f t="shared" si="6"/>
        <v>4430608.14889336</v>
      </c>
    </row>
    <row r="118" spans="1:11" x14ac:dyDescent="0.25">
      <c r="A118" s="51">
        <f>'A) Base RI'!A117</f>
        <v>5585</v>
      </c>
      <c r="B118" s="34" t="str">
        <f>'A) Base RI'!B117</f>
        <v>Jouxtens-Mézery</v>
      </c>
      <c r="C118" s="15">
        <f>'A) Base RI'!AN117</f>
        <v>1469</v>
      </c>
      <c r="D118" s="10">
        <f t="shared" si="8"/>
        <v>1000</v>
      </c>
      <c r="E118" s="15">
        <f t="shared" si="7"/>
        <v>469</v>
      </c>
      <c r="F118" s="10">
        <f t="shared" si="7"/>
        <v>0</v>
      </c>
      <c r="G118" s="15">
        <f t="shared" si="7"/>
        <v>0</v>
      </c>
      <c r="H118" s="43">
        <f t="shared" si="7"/>
        <v>0</v>
      </c>
      <c r="I118" s="10">
        <f t="shared" si="7"/>
        <v>0</v>
      </c>
      <c r="J118" s="10">
        <f t="shared" si="5"/>
        <v>0</v>
      </c>
      <c r="K118" s="121">
        <f t="shared" si="6"/>
        <v>260961.06639839034</v>
      </c>
    </row>
    <row r="119" spans="1:11" x14ac:dyDescent="0.25">
      <c r="A119" s="51">
        <f>'A) Base RI'!A118</f>
        <v>5586</v>
      </c>
      <c r="B119" s="34" t="str">
        <f>'A) Base RI'!B118</f>
        <v>Lausanne</v>
      </c>
      <c r="C119" s="15">
        <f>'A) Base RI'!AN118</f>
        <v>139624</v>
      </c>
      <c r="D119" s="10">
        <f t="shared" si="8"/>
        <v>1000</v>
      </c>
      <c r="E119" s="15">
        <f t="shared" si="7"/>
        <v>2000</v>
      </c>
      <c r="F119" s="10">
        <f t="shared" si="7"/>
        <v>2000</v>
      </c>
      <c r="G119" s="15">
        <f t="shared" si="7"/>
        <v>4000</v>
      </c>
      <c r="H119" s="43">
        <f t="shared" si="7"/>
        <v>3000</v>
      </c>
      <c r="I119" s="10">
        <f t="shared" si="7"/>
        <v>3000</v>
      </c>
      <c r="J119" s="10">
        <f t="shared" si="5"/>
        <v>124624</v>
      </c>
      <c r="K119" s="121">
        <f t="shared" si="6"/>
        <v>138907752.91750503</v>
      </c>
    </row>
    <row r="120" spans="1:11" x14ac:dyDescent="0.25">
      <c r="A120" s="51">
        <f>'A) Base RI'!A119</f>
        <v>5587</v>
      </c>
      <c r="B120" s="34" t="str">
        <f>'A) Base RI'!B119</f>
        <v>Le Mont-sur-Lausanne</v>
      </c>
      <c r="C120" s="15">
        <f>'A) Base RI'!AN119</f>
        <v>8093</v>
      </c>
      <c r="D120" s="10">
        <f t="shared" si="8"/>
        <v>1000</v>
      </c>
      <c r="E120" s="15">
        <f t="shared" si="7"/>
        <v>2000</v>
      </c>
      <c r="F120" s="10">
        <f t="shared" si="7"/>
        <v>2000</v>
      </c>
      <c r="G120" s="15">
        <f t="shared" si="7"/>
        <v>3093</v>
      </c>
      <c r="H120" s="43">
        <f t="shared" si="7"/>
        <v>0</v>
      </c>
      <c r="I120" s="10">
        <f t="shared" si="7"/>
        <v>0</v>
      </c>
      <c r="J120" s="10">
        <f t="shared" si="5"/>
        <v>0</v>
      </c>
      <c r="K120" s="121">
        <f t="shared" si="6"/>
        <v>3611665.5935613681</v>
      </c>
    </row>
    <row r="121" spans="1:11" x14ac:dyDescent="0.25">
      <c r="A121" s="51">
        <f>'A) Base RI'!A120</f>
        <v>5588</v>
      </c>
      <c r="B121" s="34" t="str">
        <f>'A) Base RI'!B120</f>
        <v>Paudex</v>
      </c>
      <c r="C121" s="15">
        <f>'A) Base RI'!AN120</f>
        <v>1480</v>
      </c>
      <c r="D121" s="10">
        <f t="shared" si="8"/>
        <v>1000</v>
      </c>
      <c r="E121" s="15">
        <f t="shared" si="7"/>
        <v>480</v>
      </c>
      <c r="F121" s="10">
        <f t="shared" si="7"/>
        <v>0</v>
      </c>
      <c r="G121" s="15">
        <f t="shared" si="7"/>
        <v>0</v>
      </c>
      <c r="H121" s="43">
        <f t="shared" si="7"/>
        <v>0</v>
      </c>
      <c r="I121" s="10">
        <f t="shared" si="7"/>
        <v>0</v>
      </c>
      <c r="J121" s="10">
        <f t="shared" si="5"/>
        <v>0</v>
      </c>
      <c r="K121" s="121">
        <f t="shared" si="6"/>
        <v>264764.58752515086</v>
      </c>
    </row>
    <row r="122" spans="1:11" x14ac:dyDescent="0.25">
      <c r="A122" s="51">
        <f>'A) Base RI'!A121</f>
        <v>5589</v>
      </c>
      <c r="B122" s="34" t="str">
        <f>'A) Base RI'!B121</f>
        <v>Prilly</v>
      </c>
      <c r="C122" s="15">
        <f>'A) Base RI'!AN121</f>
        <v>12105</v>
      </c>
      <c r="D122" s="10">
        <f t="shared" si="8"/>
        <v>1000</v>
      </c>
      <c r="E122" s="15">
        <f t="shared" si="7"/>
        <v>2000</v>
      </c>
      <c r="F122" s="10">
        <f t="shared" si="7"/>
        <v>2000</v>
      </c>
      <c r="G122" s="15">
        <f t="shared" si="7"/>
        <v>4000</v>
      </c>
      <c r="H122" s="43">
        <f t="shared" si="7"/>
        <v>3000</v>
      </c>
      <c r="I122" s="10">
        <f t="shared" si="7"/>
        <v>105</v>
      </c>
      <c r="J122" s="10">
        <f t="shared" si="5"/>
        <v>0</v>
      </c>
      <c r="K122" s="121">
        <f t="shared" si="6"/>
        <v>6772243.4607645869</v>
      </c>
    </row>
    <row r="123" spans="1:11" x14ac:dyDescent="0.25">
      <c r="A123" s="51">
        <f>'A) Base RI'!A122</f>
        <v>5590</v>
      </c>
      <c r="B123" s="34" t="str">
        <f>'A) Base RI'!B122</f>
        <v>Pully</v>
      </c>
      <c r="C123" s="15">
        <f>'A) Base RI'!AN122</f>
        <v>18194</v>
      </c>
      <c r="D123" s="10">
        <f t="shared" si="8"/>
        <v>1000</v>
      </c>
      <c r="E123" s="15">
        <f t="shared" si="7"/>
        <v>2000</v>
      </c>
      <c r="F123" s="10">
        <f t="shared" si="7"/>
        <v>2000</v>
      </c>
      <c r="G123" s="15">
        <f t="shared" si="7"/>
        <v>4000</v>
      </c>
      <c r="H123" s="43">
        <f t="shared" si="7"/>
        <v>3000</v>
      </c>
      <c r="I123" s="10">
        <f t="shared" si="7"/>
        <v>3000</v>
      </c>
      <c r="J123" s="10">
        <f t="shared" si="5"/>
        <v>3194</v>
      </c>
      <c r="K123" s="121">
        <f t="shared" si="6"/>
        <v>12945506.438631788</v>
      </c>
    </row>
    <row r="124" spans="1:11" x14ac:dyDescent="0.25">
      <c r="A124" s="51">
        <f>'A) Base RI'!A123</f>
        <v>5591</v>
      </c>
      <c r="B124" s="34" t="str">
        <f>'A) Base RI'!B123</f>
        <v>Renens</v>
      </c>
      <c r="C124" s="15">
        <f>'A) Base RI'!AN123</f>
        <v>21114</v>
      </c>
      <c r="D124" s="10">
        <f t="shared" si="8"/>
        <v>1000</v>
      </c>
      <c r="E124" s="15">
        <f t="shared" si="7"/>
        <v>2000</v>
      </c>
      <c r="F124" s="10">
        <f t="shared" si="7"/>
        <v>2000</v>
      </c>
      <c r="G124" s="15">
        <f t="shared" si="7"/>
        <v>4000</v>
      </c>
      <c r="H124" s="43">
        <f t="shared" si="7"/>
        <v>3000</v>
      </c>
      <c r="I124" s="10">
        <f t="shared" si="7"/>
        <v>3000</v>
      </c>
      <c r="J124" s="10">
        <f t="shared" si="5"/>
        <v>6114</v>
      </c>
      <c r="K124" s="121">
        <f t="shared" si="6"/>
        <v>15974492.354124747</v>
      </c>
    </row>
    <row r="125" spans="1:11" x14ac:dyDescent="0.25">
      <c r="A125" s="51">
        <f>'A) Base RI'!A124</f>
        <v>5592</v>
      </c>
      <c r="B125" s="34" t="str">
        <f>'A) Base RI'!B124</f>
        <v>Romanel-sur-Lausanne</v>
      </c>
      <c r="C125" s="15">
        <f>'A) Base RI'!AN124</f>
        <v>3300</v>
      </c>
      <c r="D125" s="10">
        <f t="shared" si="8"/>
        <v>1000</v>
      </c>
      <c r="E125" s="15">
        <f t="shared" si="7"/>
        <v>2000</v>
      </c>
      <c r="F125" s="10">
        <f t="shared" si="7"/>
        <v>300</v>
      </c>
      <c r="G125" s="15">
        <f t="shared" si="7"/>
        <v>0</v>
      </c>
      <c r="H125" s="43">
        <f t="shared" si="7"/>
        <v>0</v>
      </c>
      <c r="I125" s="10">
        <f t="shared" si="7"/>
        <v>0</v>
      </c>
      <c r="J125" s="10">
        <f t="shared" si="5"/>
        <v>0</v>
      </c>
      <c r="K125" s="121">
        <f t="shared" si="6"/>
        <v>938531.18712273636</v>
      </c>
    </row>
    <row r="126" spans="1:11" x14ac:dyDescent="0.25">
      <c r="A126" s="51">
        <f>'A) Base RI'!A125</f>
        <v>5601</v>
      </c>
      <c r="B126" s="34" t="str">
        <f>'A) Base RI'!B125</f>
        <v>Chexbres</v>
      </c>
      <c r="C126" s="15">
        <f>'A) Base RI'!AN125</f>
        <v>2250</v>
      </c>
      <c r="D126" s="10">
        <f t="shared" si="8"/>
        <v>1000</v>
      </c>
      <c r="E126" s="15">
        <f t="shared" si="7"/>
        <v>1250</v>
      </c>
      <c r="F126" s="10">
        <f t="shared" si="7"/>
        <v>0</v>
      </c>
      <c r="G126" s="15">
        <f t="shared" si="7"/>
        <v>0</v>
      </c>
      <c r="H126" s="43">
        <f t="shared" si="7"/>
        <v>0</v>
      </c>
      <c r="I126" s="10">
        <f t="shared" si="7"/>
        <v>0</v>
      </c>
      <c r="J126" s="10">
        <f t="shared" si="5"/>
        <v>0</v>
      </c>
      <c r="K126" s="121">
        <f t="shared" si="6"/>
        <v>531011.06639839034</v>
      </c>
    </row>
    <row r="127" spans="1:11" x14ac:dyDescent="0.25">
      <c r="A127" s="51">
        <f>'A) Base RI'!A126</f>
        <v>5604</v>
      </c>
      <c r="B127" s="34" t="str">
        <f>'A) Base RI'!B126</f>
        <v>Forel (Lavaux)</v>
      </c>
      <c r="C127" s="15">
        <f>'A) Base RI'!AN126</f>
        <v>2084</v>
      </c>
      <c r="D127" s="10">
        <f t="shared" si="8"/>
        <v>1000</v>
      </c>
      <c r="E127" s="15">
        <f t="shared" si="7"/>
        <v>1084</v>
      </c>
      <c r="F127" s="10">
        <f t="shared" si="7"/>
        <v>0</v>
      </c>
      <c r="G127" s="15">
        <f t="shared" si="7"/>
        <v>0</v>
      </c>
      <c r="H127" s="43">
        <f t="shared" si="7"/>
        <v>0</v>
      </c>
      <c r="I127" s="10">
        <f t="shared" si="7"/>
        <v>0</v>
      </c>
      <c r="J127" s="10">
        <f t="shared" si="5"/>
        <v>0</v>
      </c>
      <c r="K127" s="121">
        <f t="shared" si="6"/>
        <v>473612.47484909452</v>
      </c>
    </row>
    <row r="128" spans="1:11" x14ac:dyDescent="0.25">
      <c r="A128" s="51">
        <f>'A) Base RI'!A127</f>
        <v>5606</v>
      </c>
      <c r="B128" s="34" t="str">
        <f>'A) Base RI'!B127</f>
        <v>Lutry</v>
      </c>
      <c r="C128" s="15">
        <f>'A) Base RI'!AN127</f>
        <v>10001</v>
      </c>
      <c r="D128" s="10">
        <f t="shared" si="8"/>
        <v>1000</v>
      </c>
      <c r="E128" s="15">
        <f t="shared" si="7"/>
        <v>2000</v>
      </c>
      <c r="F128" s="10">
        <f t="shared" si="7"/>
        <v>2000</v>
      </c>
      <c r="G128" s="15">
        <f t="shared" si="7"/>
        <v>4000</v>
      </c>
      <c r="H128" s="43">
        <f t="shared" si="7"/>
        <v>1001</v>
      </c>
      <c r="I128" s="10">
        <f t="shared" si="7"/>
        <v>0</v>
      </c>
      <c r="J128" s="10">
        <f t="shared" si="5"/>
        <v>0</v>
      </c>
      <c r="K128" s="121">
        <f t="shared" si="6"/>
        <v>4989873.9436619719</v>
      </c>
    </row>
    <row r="129" spans="1:11" x14ac:dyDescent="0.25">
      <c r="A129" s="51">
        <f>'A) Base RI'!A128</f>
        <v>5607</v>
      </c>
      <c r="B129" s="34" t="str">
        <f>'A) Base RI'!B128</f>
        <v>Puidoux</v>
      </c>
      <c r="C129" s="15">
        <f>'A) Base RI'!AN128</f>
        <v>2904</v>
      </c>
      <c r="D129" s="10">
        <f t="shared" si="8"/>
        <v>1000</v>
      </c>
      <c r="E129" s="15">
        <f t="shared" si="7"/>
        <v>1904</v>
      </c>
      <c r="F129" s="10">
        <f t="shared" si="7"/>
        <v>0</v>
      </c>
      <c r="G129" s="15">
        <f t="shared" si="7"/>
        <v>0</v>
      </c>
      <c r="H129" s="43">
        <f t="shared" si="7"/>
        <v>0</v>
      </c>
      <c r="I129" s="10">
        <f t="shared" si="7"/>
        <v>0</v>
      </c>
      <c r="J129" s="10">
        <f t="shared" si="5"/>
        <v>0</v>
      </c>
      <c r="K129" s="121">
        <f t="shared" si="6"/>
        <v>757147.68611670006</v>
      </c>
    </row>
    <row r="130" spans="1:11" x14ac:dyDescent="0.25">
      <c r="A130" s="51">
        <f>'A) Base RI'!A129</f>
        <v>5609</v>
      </c>
      <c r="B130" s="34" t="str">
        <f>'A) Base RI'!B129</f>
        <v>Rivaz</v>
      </c>
      <c r="C130" s="15">
        <f>'A) Base RI'!AN129</f>
        <v>351</v>
      </c>
      <c r="D130" s="10">
        <f t="shared" si="8"/>
        <v>351</v>
      </c>
      <c r="E130" s="15">
        <f t="shared" si="7"/>
        <v>0</v>
      </c>
      <c r="F130" s="10">
        <f t="shared" si="7"/>
        <v>0</v>
      </c>
      <c r="G130" s="15">
        <f t="shared" si="7"/>
        <v>0</v>
      </c>
      <c r="H130" s="43">
        <f t="shared" si="7"/>
        <v>0</v>
      </c>
      <c r="I130" s="10">
        <f t="shared" si="7"/>
        <v>0</v>
      </c>
      <c r="J130" s="10">
        <f t="shared" si="5"/>
        <v>0</v>
      </c>
      <c r="K130" s="121">
        <f t="shared" si="6"/>
        <v>34676.257545271626</v>
      </c>
    </row>
    <row r="131" spans="1:11" x14ac:dyDescent="0.25">
      <c r="A131" s="51">
        <f>'A) Base RI'!A130</f>
        <v>5610</v>
      </c>
      <c r="B131" s="34" t="str">
        <f>'A) Base RI'!B130</f>
        <v>St-Saphorin (Lavaux)</v>
      </c>
      <c r="C131" s="15">
        <f>'A) Base RI'!AN130</f>
        <v>389</v>
      </c>
      <c r="D131" s="10">
        <f t="shared" si="8"/>
        <v>389</v>
      </c>
      <c r="E131" s="15">
        <f t="shared" si="7"/>
        <v>0</v>
      </c>
      <c r="F131" s="10">
        <f t="shared" si="7"/>
        <v>0</v>
      </c>
      <c r="G131" s="15">
        <f t="shared" si="7"/>
        <v>0</v>
      </c>
      <c r="H131" s="43">
        <f t="shared" si="7"/>
        <v>0</v>
      </c>
      <c r="I131" s="10">
        <f t="shared" si="7"/>
        <v>0</v>
      </c>
      <c r="J131" s="10">
        <f t="shared" si="5"/>
        <v>0</v>
      </c>
      <c r="K131" s="121">
        <f t="shared" si="6"/>
        <v>38430.382293762574</v>
      </c>
    </row>
    <row r="132" spans="1:11" x14ac:dyDescent="0.25">
      <c r="A132" s="51">
        <f>'A) Base RI'!A131</f>
        <v>5611</v>
      </c>
      <c r="B132" s="34" t="str">
        <f>'A) Base RI'!B131</f>
        <v>Savigny</v>
      </c>
      <c r="C132" s="15">
        <f>'A) Base RI'!AN131</f>
        <v>3352</v>
      </c>
      <c r="D132" s="10">
        <f t="shared" si="8"/>
        <v>1000</v>
      </c>
      <c r="E132" s="15">
        <f t="shared" si="7"/>
        <v>2000</v>
      </c>
      <c r="F132" s="10">
        <f t="shared" si="7"/>
        <v>352</v>
      </c>
      <c r="G132" s="15">
        <f t="shared" si="7"/>
        <v>0</v>
      </c>
      <c r="H132" s="43">
        <f t="shared" si="7"/>
        <v>0</v>
      </c>
      <c r="I132" s="10">
        <f t="shared" si="7"/>
        <v>0</v>
      </c>
      <c r="J132" s="10">
        <f t="shared" si="5"/>
        <v>0</v>
      </c>
      <c r="K132" s="121">
        <f t="shared" si="6"/>
        <v>964217.30382293765</v>
      </c>
    </row>
    <row r="133" spans="1:11" x14ac:dyDescent="0.25">
      <c r="A133" s="51">
        <f>'A) Base RI'!A132</f>
        <v>5613</v>
      </c>
      <c r="B133" s="34" t="str">
        <f>'A) Base RI'!B132</f>
        <v>Bourg-en-Lavaux</v>
      </c>
      <c r="C133" s="15">
        <f>'A) Base RI'!AN132</f>
        <v>5288</v>
      </c>
      <c r="D133" s="10">
        <f t="shared" si="8"/>
        <v>1000</v>
      </c>
      <c r="E133" s="15">
        <f t="shared" si="7"/>
        <v>2000</v>
      </c>
      <c r="F133" s="10">
        <f t="shared" si="7"/>
        <v>2000</v>
      </c>
      <c r="G133" s="15">
        <f t="shared" si="7"/>
        <v>288</v>
      </c>
      <c r="H133" s="43">
        <f t="shared" si="7"/>
        <v>0</v>
      </c>
      <c r="I133" s="10">
        <f t="shared" si="7"/>
        <v>0</v>
      </c>
      <c r="J133" s="10">
        <f t="shared" si="5"/>
        <v>0</v>
      </c>
      <c r="K133" s="121">
        <f t="shared" si="6"/>
        <v>1948983.5010060361</v>
      </c>
    </row>
    <row r="134" spans="1:11" x14ac:dyDescent="0.25">
      <c r="A134" s="51">
        <f>'A) Base RI'!A133</f>
        <v>5621</v>
      </c>
      <c r="B134" s="34" t="str">
        <f>'A) Base RI'!B133</f>
        <v>Aclens</v>
      </c>
      <c r="C134" s="15">
        <f>'A) Base RI'!AN133</f>
        <v>545</v>
      </c>
      <c r="D134" s="10">
        <f t="shared" si="8"/>
        <v>545</v>
      </c>
      <c r="E134" s="15">
        <f t="shared" si="7"/>
        <v>0</v>
      </c>
      <c r="F134" s="10">
        <f t="shared" si="7"/>
        <v>0</v>
      </c>
      <c r="G134" s="15">
        <f t="shared" si="7"/>
        <v>0</v>
      </c>
      <c r="H134" s="43">
        <f t="shared" si="7"/>
        <v>0</v>
      </c>
      <c r="I134" s="10">
        <f t="shared" si="7"/>
        <v>0</v>
      </c>
      <c r="J134" s="10">
        <f t="shared" si="5"/>
        <v>0</v>
      </c>
      <c r="K134" s="121">
        <f t="shared" si="6"/>
        <v>53842.052313883301</v>
      </c>
    </row>
    <row r="135" spans="1:11" x14ac:dyDescent="0.25">
      <c r="A135" s="51">
        <f>'A) Base RI'!A134</f>
        <v>5622</v>
      </c>
      <c r="B135" s="34" t="str">
        <f>'A) Base RI'!B134</f>
        <v>Bremblens</v>
      </c>
      <c r="C135" s="15">
        <f>'A) Base RI'!AN134</f>
        <v>547</v>
      </c>
      <c r="D135" s="10">
        <f t="shared" si="8"/>
        <v>547</v>
      </c>
      <c r="E135" s="15">
        <f t="shared" si="7"/>
        <v>0</v>
      </c>
      <c r="F135" s="10">
        <f t="shared" si="7"/>
        <v>0</v>
      </c>
      <c r="G135" s="15">
        <f t="shared" si="7"/>
        <v>0</v>
      </c>
      <c r="H135" s="43">
        <f t="shared" si="7"/>
        <v>0</v>
      </c>
      <c r="I135" s="10">
        <f t="shared" si="7"/>
        <v>0</v>
      </c>
      <c r="J135" s="10">
        <f t="shared" si="5"/>
        <v>0</v>
      </c>
      <c r="K135" s="121">
        <f t="shared" si="6"/>
        <v>54039.637826961771</v>
      </c>
    </row>
    <row r="136" spans="1:11" x14ac:dyDescent="0.25">
      <c r="A136" s="51">
        <f>'A) Base RI'!A135</f>
        <v>5623</v>
      </c>
      <c r="B136" s="34" t="str">
        <f>'A) Base RI'!B135</f>
        <v>Buchillon</v>
      </c>
      <c r="C136" s="15">
        <f>'A) Base RI'!AN135</f>
        <v>638</v>
      </c>
      <c r="D136" s="10">
        <f t="shared" si="8"/>
        <v>638</v>
      </c>
      <c r="E136" s="15">
        <f t="shared" si="7"/>
        <v>0</v>
      </c>
      <c r="F136" s="10">
        <f t="shared" si="7"/>
        <v>0</v>
      </c>
      <c r="G136" s="15">
        <f t="shared" si="7"/>
        <v>0</v>
      </c>
      <c r="H136" s="43">
        <f t="shared" si="7"/>
        <v>0</v>
      </c>
      <c r="I136" s="10">
        <f t="shared" si="7"/>
        <v>0</v>
      </c>
      <c r="J136" s="10">
        <f t="shared" si="5"/>
        <v>0</v>
      </c>
      <c r="K136" s="121">
        <f t="shared" si="6"/>
        <v>63029.778672032196</v>
      </c>
    </row>
    <row r="137" spans="1:11" x14ac:dyDescent="0.25">
      <c r="A137" s="51">
        <f>'A) Base RI'!A136</f>
        <v>5624</v>
      </c>
      <c r="B137" s="34" t="str">
        <f>'A) Base RI'!B136</f>
        <v>Bussigny</v>
      </c>
      <c r="C137" s="15">
        <f>'A) Base RI'!AN136</f>
        <v>8677</v>
      </c>
      <c r="D137" s="10">
        <f t="shared" si="8"/>
        <v>1000</v>
      </c>
      <c r="E137" s="15">
        <f t="shared" si="7"/>
        <v>2000</v>
      </c>
      <c r="F137" s="10">
        <f t="shared" si="7"/>
        <v>2000</v>
      </c>
      <c r="G137" s="15">
        <f t="shared" si="7"/>
        <v>3677</v>
      </c>
      <c r="H137" s="43">
        <f t="shared" si="7"/>
        <v>0</v>
      </c>
      <c r="I137" s="10">
        <f t="shared" si="7"/>
        <v>0</v>
      </c>
      <c r="J137" s="10">
        <f t="shared" ref="J137:J200" si="9">IF(C137&gt;$J$4,C137-$J$4,0)</f>
        <v>0</v>
      </c>
      <c r="K137" s="121">
        <f t="shared" ref="K137:K200" si="10">(D137*D$7)+(E137*E$7)+(F137*F$7)+(G137*G$7)+(H137*H$7)+(I137*I$7)+(J137*J$7)</f>
        <v>3957835.4124748488</v>
      </c>
    </row>
    <row r="138" spans="1:11" x14ac:dyDescent="0.25">
      <c r="A138" s="51">
        <f>'A) Base RI'!A137</f>
        <v>5625</v>
      </c>
      <c r="B138" s="34" t="str">
        <f>'A) Base RI'!B137</f>
        <v>Bussy-Chardonney</v>
      </c>
      <c r="C138" s="15">
        <f>'A) Base RI'!AN137</f>
        <v>371</v>
      </c>
      <c r="D138" s="10">
        <f t="shared" si="8"/>
        <v>371</v>
      </c>
      <c r="E138" s="15">
        <f t="shared" si="7"/>
        <v>0</v>
      </c>
      <c r="F138" s="10">
        <f t="shared" si="7"/>
        <v>0</v>
      </c>
      <c r="G138" s="15">
        <f t="shared" si="7"/>
        <v>0</v>
      </c>
      <c r="H138" s="43">
        <f t="shared" si="7"/>
        <v>0</v>
      </c>
      <c r="I138" s="10">
        <f t="shared" si="7"/>
        <v>0</v>
      </c>
      <c r="J138" s="10">
        <f t="shared" si="9"/>
        <v>0</v>
      </c>
      <c r="K138" s="121">
        <f t="shared" si="10"/>
        <v>36652.112676056335</v>
      </c>
    </row>
    <row r="139" spans="1:11" x14ac:dyDescent="0.25">
      <c r="A139" s="51">
        <f>'A) Base RI'!A138</f>
        <v>5627</v>
      </c>
      <c r="B139" s="34" t="str">
        <f>'A) Base RI'!B138</f>
        <v>Chavannes-près-Renens</v>
      </c>
      <c r="C139" s="15">
        <f>'A) Base RI'!AN138</f>
        <v>7653</v>
      </c>
      <c r="D139" s="10">
        <f t="shared" si="8"/>
        <v>1000</v>
      </c>
      <c r="E139" s="15">
        <f t="shared" si="7"/>
        <v>2000</v>
      </c>
      <c r="F139" s="10">
        <f t="shared" si="7"/>
        <v>2000</v>
      </c>
      <c r="G139" s="15">
        <f t="shared" si="7"/>
        <v>2653</v>
      </c>
      <c r="H139" s="43">
        <f t="shared" si="7"/>
        <v>0</v>
      </c>
      <c r="I139" s="10">
        <f t="shared" si="7"/>
        <v>0</v>
      </c>
      <c r="J139" s="10">
        <f t="shared" si="9"/>
        <v>0</v>
      </c>
      <c r="K139" s="121">
        <f t="shared" si="10"/>
        <v>3350852.7162977867</v>
      </c>
    </row>
    <row r="140" spans="1:11" x14ac:dyDescent="0.25">
      <c r="A140" s="51">
        <f>'A) Base RI'!A139</f>
        <v>5628</v>
      </c>
      <c r="B140" s="34" t="str">
        <f>'A) Base RI'!B139</f>
        <v>Chigny</v>
      </c>
      <c r="C140" s="15">
        <f>'A) Base RI'!AN139</f>
        <v>338</v>
      </c>
      <c r="D140" s="10">
        <f t="shared" si="8"/>
        <v>338</v>
      </c>
      <c r="E140" s="15">
        <f t="shared" si="7"/>
        <v>0</v>
      </c>
      <c r="F140" s="10">
        <f t="shared" si="7"/>
        <v>0</v>
      </c>
      <c r="G140" s="15">
        <f t="shared" si="7"/>
        <v>0</v>
      </c>
      <c r="H140" s="43">
        <f t="shared" si="7"/>
        <v>0</v>
      </c>
      <c r="I140" s="10">
        <f t="shared" si="7"/>
        <v>0</v>
      </c>
      <c r="J140" s="10">
        <f t="shared" si="9"/>
        <v>0</v>
      </c>
      <c r="K140" s="121">
        <f t="shared" si="10"/>
        <v>33391.951710261572</v>
      </c>
    </row>
    <row r="141" spans="1:11" x14ac:dyDescent="0.25">
      <c r="A141" s="51">
        <f>'A) Base RI'!A140</f>
        <v>5629</v>
      </c>
      <c r="B141" s="34" t="str">
        <f>'A) Base RI'!B140</f>
        <v>Clarmont</v>
      </c>
      <c r="C141" s="15">
        <f>'A) Base RI'!AN140</f>
        <v>189</v>
      </c>
      <c r="D141" s="10">
        <f t="shared" si="8"/>
        <v>189</v>
      </c>
      <c r="E141" s="15">
        <f t="shared" si="7"/>
        <v>0</v>
      </c>
      <c r="F141" s="10">
        <f t="shared" si="7"/>
        <v>0</v>
      </c>
      <c r="G141" s="15">
        <f t="shared" si="7"/>
        <v>0</v>
      </c>
      <c r="H141" s="43">
        <f t="shared" si="7"/>
        <v>0</v>
      </c>
      <c r="I141" s="10">
        <f t="shared" si="7"/>
        <v>0</v>
      </c>
      <c r="J141" s="10">
        <f t="shared" si="9"/>
        <v>0</v>
      </c>
      <c r="K141" s="121">
        <f t="shared" si="10"/>
        <v>18671.830985915494</v>
      </c>
    </row>
    <row r="142" spans="1:11" x14ac:dyDescent="0.25">
      <c r="A142" s="51">
        <f>'A) Base RI'!A141</f>
        <v>5631</v>
      </c>
      <c r="B142" s="34" t="str">
        <f>'A) Base RI'!B141</f>
        <v>Denens</v>
      </c>
      <c r="C142" s="15">
        <f>'A) Base RI'!AN141</f>
        <v>774</v>
      </c>
      <c r="D142" s="10">
        <f t="shared" si="8"/>
        <v>774</v>
      </c>
      <c r="E142" s="15">
        <f t="shared" si="7"/>
        <v>0</v>
      </c>
      <c r="F142" s="10">
        <f t="shared" si="7"/>
        <v>0</v>
      </c>
      <c r="G142" s="15">
        <f t="shared" si="7"/>
        <v>0</v>
      </c>
      <c r="H142" s="43">
        <f t="shared" si="7"/>
        <v>0</v>
      </c>
      <c r="I142" s="10">
        <f t="shared" si="7"/>
        <v>0</v>
      </c>
      <c r="J142" s="10">
        <f t="shared" si="9"/>
        <v>0</v>
      </c>
      <c r="K142" s="121">
        <f t="shared" si="10"/>
        <v>76465.593561368209</v>
      </c>
    </row>
    <row r="143" spans="1:11" x14ac:dyDescent="0.25">
      <c r="A143" s="51">
        <f>'A) Base RI'!A142</f>
        <v>5632</v>
      </c>
      <c r="B143" s="34" t="str">
        <f>'A) Base RI'!B142</f>
        <v>Denges</v>
      </c>
      <c r="C143" s="15">
        <f>'A) Base RI'!AN142</f>
        <v>1614</v>
      </c>
      <c r="D143" s="10">
        <f t="shared" si="8"/>
        <v>1000</v>
      </c>
      <c r="E143" s="15">
        <f t="shared" si="7"/>
        <v>614</v>
      </c>
      <c r="F143" s="10">
        <f t="shared" si="7"/>
        <v>0</v>
      </c>
      <c r="G143" s="15">
        <f t="shared" si="7"/>
        <v>0</v>
      </c>
      <c r="H143" s="43">
        <f t="shared" si="7"/>
        <v>0</v>
      </c>
      <c r="I143" s="10">
        <f t="shared" si="7"/>
        <v>0</v>
      </c>
      <c r="J143" s="10">
        <f t="shared" si="9"/>
        <v>0</v>
      </c>
      <c r="K143" s="121">
        <f t="shared" si="10"/>
        <v>311098.39034205233</v>
      </c>
    </row>
    <row r="144" spans="1:11" x14ac:dyDescent="0.25">
      <c r="A144" s="51">
        <f>'A) Base RI'!A143</f>
        <v>5633</v>
      </c>
      <c r="B144" s="34" t="str">
        <f>'A) Base RI'!B143</f>
        <v>Echandens</v>
      </c>
      <c r="C144" s="15">
        <f>'A) Base RI'!AN143</f>
        <v>2757</v>
      </c>
      <c r="D144" s="10">
        <f t="shared" si="8"/>
        <v>1000</v>
      </c>
      <c r="E144" s="15">
        <f t="shared" si="7"/>
        <v>1757</v>
      </c>
      <c r="F144" s="10">
        <f t="shared" si="7"/>
        <v>0</v>
      </c>
      <c r="G144" s="15">
        <f t="shared" si="7"/>
        <v>0</v>
      </c>
      <c r="H144" s="43">
        <f t="shared" si="7"/>
        <v>0</v>
      </c>
      <c r="I144" s="10">
        <f t="shared" si="7"/>
        <v>0</v>
      </c>
      <c r="J144" s="10">
        <f t="shared" si="9"/>
        <v>0</v>
      </c>
      <c r="K144" s="121">
        <f t="shared" si="10"/>
        <v>706318.81287726341</v>
      </c>
    </row>
    <row r="145" spans="1:11" x14ac:dyDescent="0.25">
      <c r="A145" s="51">
        <f>'A) Base RI'!A144</f>
        <v>5634</v>
      </c>
      <c r="B145" s="34" t="str">
        <f>'A) Base RI'!B144</f>
        <v>Echichens</v>
      </c>
      <c r="C145" s="15">
        <f>'A) Base RI'!AN144</f>
        <v>2712</v>
      </c>
      <c r="D145" s="10">
        <f t="shared" si="8"/>
        <v>1000</v>
      </c>
      <c r="E145" s="15">
        <f t="shared" si="7"/>
        <v>1712</v>
      </c>
      <c r="F145" s="10">
        <f t="shared" si="7"/>
        <v>0</v>
      </c>
      <c r="G145" s="15">
        <f t="shared" si="7"/>
        <v>0</v>
      </c>
      <c r="H145" s="43">
        <f t="shared" si="7"/>
        <v>0</v>
      </c>
      <c r="I145" s="10">
        <f t="shared" si="7"/>
        <v>0</v>
      </c>
      <c r="J145" s="10">
        <f t="shared" si="9"/>
        <v>0</v>
      </c>
      <c r="K145" s="121">
        <f t="shared" si="10"/>
        <v>690758.953722334</v>
      </c>
    </row>
    <row r="146" spans="1:11" x14ac:dyDescent="0.25">
      <c r="A146" s="51">
        <f>'A) Base RI'!A145</f>
        <v>5635</v>
      </c>
      <c r="B146" s="34" t="str">
        <f>'A) Base RI'!B145</f>
        <v>Ecublens</v>
      </c>
      <c r="C146" s="15">
        <f>'A) Base RI'!AN145</f>
        <v>12560</v>
      </c>
      <c r="D146" s="10">
        <f t="shared" si="8"/>
        <v>1000</v>
      </c>
      <c r="E146" s="15">
        <f t="shared" si="7"/>
        <v>2000</v>
      </c>
      <c r="F146" s="10">
        <f t="shared" si="7"/>
        <v>2000</v>
      </c>
      <c r="G146" s="15">
        <f t="shared" si="7"/>
        <v>4000</v>
      </c>
      <c r="H146" s="43">
        <f t="shared" si="7"/>
        <v>3000</v>
      </c>
      <c r="I146" s="10">
        <f t="shared" si="7"/>
        <v>560</v>
      </c>
      <c r="J146" s="10">
        <f t="shared" si="9"/>
        <v>0</v>
      </c>
      <c r="K146" s="121">
        <f t="shared" si="10"/>
        <v>7221750.5030181082</v>
      </c>
    </row>
    <row r="147" spans="1:11" x14ac:dyDescent="0.25">
      <c r="A147" s="51">
        <f>'A) Base RI'!A146</f>
        <v>5636</v>
      </c>
      <c r="B147" s="34" t="str">
        <f>'A) Base RI'!B146</f>
        <v>Etoy</v>
      </c>
      <c r="C147" s="15">
        <f>'A) Base RI'!AN146</f>
        <v>2908</v>
      </c>
      <c r="D147" s="10">
        <f t="shared" si="8"/>
        <v>1000</v>
      </c>
      <c r="E147" s="15">
        <f t="shared" si="7"/>
        <v>1908</v>
      </c>
      <c r="F147" s="10">
        <f t="shared" si="7"/>
        <v>0</v>
      </c>
      <c r="G147" s="15">
        <f t="shared" si="7"/>
        <v>0</v>
      </c>
      <c r="H147" s="43">
        <f t="shared" si="7"/>
        <v>0</v>
      </c>
      <c r="I147" s="10">
        <f t="shared" si="7"/>
        <v>0</v>
      </c>
      <c r="J147" s="10">
        <f t="shared" si="9"/>
        <v>0</v>
      </c>
      <c r="K147" s="121">
        <f t="shared" si="10"/>
        <v>758530.78470824938</v>
      </c>
    </row>
    <row r="148" spans="1:11" x14ac:dyDescent="0.25">
      <c r="A148" s="51">
        <f>'A) Base RI'!A147</f>
        <v>5637</v>
      </c>
      <c r="B148" s="34" t="str">
        <f>'A) Base RI'!B147</f>
        <v>Lavigny</v>
      </c>
      <c r="C148" s="15">
        <f>'A) Base RI'!AN147</f>
        <v>1007</v>
      </c>
      <c r="D148" s="10">
        <f t="shared" si="8"/>
        <v>1000</v>
      </c>
      <c r="E148" s="15">
        <f t="shared" si="7"/>
        <v>7</v>
      </c>
      <c r="F148" s="10">
        <f t="shared" si="7"/>
        <v>0</v>
      </c>
      <c r="G148" s="15">
        <f t="shared" si="7"/>
        <v>0</v>
      </c>
      <c r="H148" s="43">
        <f t="shared" si="7"/>
        <v>0</v>
      </c>
      <c r="I148" s="10">
        <f t="shared" si="7"/>
        <v>0</v>
      </c>
      <c r="J148" s="10">
        <f t="shared" si="9"/>
        <v>0</v>
      </c>
      <c r="K148" s="121">
        <f t="shared" si="10"/>
        <v>101213.17907444669</v>
      </c>
    </row>
    <row r="149" spans="1:11" x14ac:dyDescent="0.25">
      <c r="A149" s="51">
        <f>'A) Base RI'!A148</f>
        <v>5638</v>
      </c>
      <c r="B149" s="34" t="str">
        <f>'A) Base RI'!B148</f>
        <v>Lonay</v>
      </c>
      <c r="C149" s="15">
        <f>'A) Base RI'!AN148</f>
        <v>2492</v>
      </c>
      <c r="D149" s="10">
        <f t="shared" si="8"/>
        <v>1000</v>
      </c>
      <c r="E149" s="15">
        <f t="shared" si="7"/>
        <v>1492</v>
      </c>
      <c r="F149" s="10">
        <f t="shared" si="7"/>
        <v>0</v>
      </c>
      <c r="G149" s="15">
        <f t="shared" si="7"/>
        <v>0</v>
      </c>
      <c r="H149" s="43">
        <f t="shared" si="7"/>
        <v>0</v>
      </c>
      <c r="I149" s="10">
        <f t="shared" si="7"/>
        <v>0</v>
      </c>
      <c r="J149" s="10">
        <f t="shared" si="9"/>
        <v>0</v>
      </c>
      <c r="K149" s="121">
        <f t="shared" si="10"/>
        <v>614688.53118712269</v>
      </c>
    </row>
    <row r="150" spans="1:11" x14ac:dyDescent="0.25">
      <c r="A150" s="51">
        <f>'A) Base RI'!A149</f>
        <v>5639</v>
      </c>
      <c r="B150" s="34" t="str">
        <f>'A) Base RI'!B149</f>
        <v>Lully</v>
      </c>
      <c r="C150" s="15">
        <f>'A) Base RI'!AN149</f>
        <v>795</v>
      </c>
      <c r="D150" s="10">
        <f t="shared" si="8"/>
        <v>795</v>
      </c>
      <c r="E150" s="15">
        <f t="shared" si="7"/>
        <v>0</v>
      </c>
      <c r="F150" s="10">
        <f t="shared" si="7"/>
        <v>0</v>
      </c>
      <c r="G150" s="15">
        <f t="shared" si="7"/>
        <v>0</v>
      </c>
      <c r="H150" s="43">
        <f t="shared" si="7"/>
        <v>0</v>
      </c>
      <c r="I150" s="10">
        <f t="shared" si="7"/>
        <v>0</v>
      </c>
      <c r="J150" s="10">
        <f t="shared" si="9"/>
        <v>0</v>
      </c>
      <c r="K150" s="121">
        <f t="shared" si="10"/>
        <v>78540.241448692148</v>
      </c>
    </row>
    <row r="151" spans="1:11" x14ac:dyDescent="0.25">
      <c r="A151" s="51">
        <f>'A) Base RI'!A150</f>
        <v>5640</v>
      </c>
      <c r="B151" s="34" t="str">
        <f>'A) Base RI'!B150</f>
        <v>Lussy-sur-Morges</v>
      </c>
      <c r="C151" s="15">
        <f>'A) Base RI'!AN150</f>
        <v>667</v>
      </c>
      <c r="D151" s="10">
        <f t="shared" si="8"/>
        <v>667</v>
      </c>
      <c r="E151" s="15">
        <f t="shared" si="7"/>
        <v>0</v>
      </c>
      <c r="F151" s="10">
        <f t="shared" si="7"/>
        <v>0</v>
      </c>
      <c r="G151" s="15">
        <f t="shared" si="7"/>
        <v>0</v>
      </c>
      <c r="H151" s="43">
        <f t="shared" si="7"/>
        <v>0</v>
      </c>
      <c r="I151" s="10">
        <f t="shared" si="7"/>
        <v>0</v>
      </c>
      <c r="J151" s="10">
        <f t="shared" si="9"/>
        <v>0</v>
      </c>
      <c r="K151" s="121">
        <f t="shared" si="10"/>
        <v>65894.768611670021</v>
      </c>
    </row>
    <row r="152" spans="1:11" x14ac:dyDescent="0.25">
      <c r="A152" s="51">
        <f>'A) Base RI'!A151</f>
        <v>5642</v>
      </c>
      <c r="B152" s="34" t="str">
        <f>'A) Base RI'!B151</f>
        <v>Morges</v>
      </c>
      <c r="C152" s="15">
        <f>'A) Base RI'!AN151</f>
        <v>15839</v>
      </c>
      <c r="D152" s="10">
        <f t="shared" si="8"/>
        <v>1000</v>
      </c>
      <c r="E152" s="15">
        <f t="shared" si="7"/>
        <v>2000</v>
      </c>
      <c r="F152" s="10">
        <f t="shared" si="7"/>
        <v>2000</v>
      </c>
      <c r="G152" s="15">
        <f t="shared" si="7"/>
        <v>4000</v>
      </c>
      <c r="H152" s="43">
        <f t="shared" si="7"/>
        <v>3000</v>
      </c>
      <c r="I152" s="10">
        <f t="shared" si="7"/>
        <v>3000</v>
      </c>
      <c r="J152" s="10">
        <f t="shared" si="9"/>
        <v>839</v>
      </c>
      <c r="K152" s="121">
        <f t="shared" si="10"/>
        <v>10502608.551307846</v>
      </c>
    </row>
    <row r="153" spans="1:11" x14ac:dyDescent="0.25">
      <c r="A153" s="51">
        <f>'A) Base RI'!A152</f>
        <v>5643</v>
      </c>
      <c r="B153" s="34" t="str">
        <f>'A) Base RI'!B152</f>
        <v>Préverenges</v>
      </c>
      <c r="C153" s="15">
        <f>'A) Base RI'!AN152</f>
        <v>5291</v>
      </c>
      <c r="D153" s="10">
        <f t="shared" si="8"/>
        <v>1000</v>
      </c>
      <c r="E153" s="15">
        <f t="shared" si="7"/>
        <v>2000</v>
      </c>
      <c r="F153" s="10">
        <f t="shared" si="7"/>
        <v>2000</v>
      </c>
      <c r="G153" s="15">
        <f t="shared" si="7"/>
        <v>291</v>
      </c>
      <c r="H153" s="43">
        <f t="shared" si="7"/>
        <v>0</v>
      </c>
      <c r="I153" s="10">
        <f t="shared" si="7"/>
        <v>0</v>
      </c>
      <c r="J153" s="10">
        <f t="shared" si="9"/>
        <v>0</v>
      </c>
      <c r="K153" s="121">
        <f t="shared" si="10"/>
        <v>1950761.7706237424</v>
      </c>
    </row>
    <row r="154" spans="1:11" x14ac:dyDescent="0.25">
      <c r="A154" s="51">
        <f>'A) Base RI'!A153</f>
        <v>5644</v>
      </c>
      <c r="B154" s="34" t="str">
        <f>'A) Base RI'!B153</f>
        <v>Reverolle</v>
      </c>
      <c r="C154" s="15">
        <f>'A) Base RI'!AN153</f>
        <v>382</v>
      </c>
      <c r="D154" s="10">
        <f t="shared" si="8"/>
        <v>382</v>
      </c>
      <c r="E154" s="15">
        <f t="shared" si="7"/>
        <v>0</v>
      </c>
      <c r="F154" s="10">
        <f t="shared" si="7"/>
        <v>0</v>
      </c>
      <c r="G154" s="15">
        <f t="shared" si="7"/>
        <v>0</v>
      </c>
      <c r="H154" s="43">
        <f t="shared" si="7"/>
        <v>0</v>
      </c>
      <c r="I154" s="10">
        <f t="shared" si="7"/>
        <v>0</v>
      </c>
      <c r="J154" s="10">
        <f t="shared" si="9"/>
        <v>0</v>
      </c>
      <c r="K154" s="121">
        <f t="shared" si="10"/>
        <v>37738.832997987927</v>
      </c>
    </row>
    <row r="155" spans="1:11" x14ac:dyDescent="0.25">
      <c r="A155" s="51">
        <f>'A) Base RI'!A154</f>
        <v>5645</v>
      </c>
      <c r="B155" s="34" t="str">
        <f>'A) Base RI'!B154</f>
        <v>Romanel-sur-Morges</v>
      </c>
      <c r="C155" s="15">
        <f>'A) Base RI'!AN154</f>
        <v>470</v>
      </c>
      <c r="D155" s="10">
        <f t="shared" si="8"/>
        <v>470</v>
      </c>
      <c r="E155" s="15">
        <f t="shared" si="7"/>
        <v>0</v>
      </c>
      <c r="F155" s="10">
        <f t="shared" si="7"/>
        <v>0</v>
      </c>
      <c r="G155" s="15">
        <f t="shared" si="7"/>
        <v>0</v>
      </c>
      <c r="H155" s="43">
        <f t="shared" si="7"/>
        <v>0</v>
      </c>
      <c r="I155" s="10">
        <f t="shared" si="7"/>
        <v>0</v>
      </c>
      <c r="J155" s="10">
        <f t="shared" si="9"/>
        <v>0</v>
      </c>
      <c r="K155" s="121">
        <f t="shared" si="10"/>
        <v>46432.595573440645</v>
      </c>
    </row>
    <row r="156" spans="1:11" x14ac:dyDescent="0.25">
      <c r="A156" s="51">
        <f>'A) Base RI'!A155</f>
        <v>5646</v>
      </c>
      <c r="B156" s="34" t="str">
        <f>'A) Base RI'!B155</f>
        <v>Saint-Prex</v>
      </c>
      <c r="C156" s="15">
        <f>'A) Base RI'!AN155</f>
        <v>5695</v>
      </c>
      <c r="D156" s="10">
        <f t="shared" si="8"/>
        <v>1000</v>
      </c>
      <c r="E156" s="15">
        <f t="shared" si="7"/>
        <v>2000</v>
      </c>
      <c r="F156" s="10">
        <f t="shared" si="7"/>
        <v>2000</v>
      </c>
      <c r="G156" s="15">
        <f t="shared" si="7"/>
        <v>695</v>
      </c>
      <c r="H156" s="43">
        <f t="shared" si="7"/>
        <v>0</v>
      </c>
      <c r="I156" s="10">
        <f t="shared" si="7"/>
        <v>0</v>
      </c>
      <c r="J156" s="10">
        <f t="shared" si="9"/>
        <v>0</v>
      </c>
      <c r="K156" s="121">
        <f t="shared" si="10"/>
        <v>2190235.4124748493</v>
      </c>
    </row>
    <row r="157" spans="1:11" x14ac:dyDescent="0.25">
      <c r="A157" s="51">
        <f>'A) Base RI'!A156</f>
        <v>5648</v>
      </c>
      <c r="B157" s="34" t="str">
        <f>'A) Base RI'!B156</f>
        <v>Saint-Sulpice</v>
      </c>
      <c r="C157" s="15">
        <f>'A) Base RI'!AN156</f>
        <v>4524</v>
      </c>
      <c r="D157" s="10">
        <f t="shared" si="8"/>
        <v>1000</v>
      </c>
      <c r="E157" s="15">
        <f t="shared" si="7"/>
        <v>2000</v>
      </c>
      <c r="F157" s="10">
        <f t="shared" si="7"/>
        <v>1524</v>
      </c>
      <c r="G157" s="15">
        <f t="shared" ref="E157:I208" si="11">IF($C157&gt;G$4,IF($C157&lt;G$5,$C157-G$4,G$5-G$4),0)</f>
        <v>0</v>
      </c>
      <c r="H157" s="43">
        <f t="shared" si="11"/>
        <v>0</v>
      </c>
      <c r="I157" s="10">
        <f t="shared" si="11"/>
        <v>0</v>
      </c>
      <c r="J157" s="10">
        <f t="shared" si="9"/>
        <v>0</v>
      </c>
      <c r="K157" s="121">
        <f t="shared" si="10"/>
        <v>1543142.8571428573</v>
      </c>
    </row>
    <row r="158" spans="1:11" x14ac:dyDescent="0.25">
      <c r="A158" s="51">
        <f>'A) Base RI'!A157</f>
        <v>5649</v>
      </c>
      <c r="B158" s="34" t="str">
        <f>'A) Base RI'!B157</f>
        <v>Tolochenaz</v>
      </c>
      <c r="C158" s="15">
        <f>'A) Base RI'!AN157</f>
        <v>1883</v>
      </c>
      <c r="D158" s="10">
        <f t="shared" si="8"/>
        <v>1000</v>
      </c>
      <c r="E158" s="15">
        <f t="shared" si="11"/>
        <v>883</v>
      </c>
      <c r="F158" s="10">
        <f t="shared" si="11"/>
        <v>0</v>
      </c>
      <c r="G158" s="15">
        <f t="shared" si="11"/>
        <v>0</v>
      </c>
      <c r="H158" s="43">
        <f t="shared" si="11"/>
        <v>0</v>
      </c>
      <c r="I158" s="10">
        <f t="shared" si="11"/>
        <v>0</v>
      </c>
      <c r="J158" s="10">
        <f t="shared" si="9"/>
        <v>0</v>
      </c>
      <c r="K158" s="121">
        <f t="shared" si="10"/>
        <v>404111.77062374243</v>
      </c>
    </row>
    <row r="159" spans="1:11" x14ac:dyDescent="0.25">
      <c r="A159" s="51">
        <f>'A) Base RI'!A158</f>
        <v>5650</v>
      </c>
      <c r="B159" s="34" t="str">
        <f>'A) Base RI'!B158</f>
        <v>Vaux-sur-Morges</v>
      </c>
      <c r="C159" s="15">
        <f>'A) Base RI'!AN158</f>
        <v>199</v>
      </c>
      <c r="D159" s="10">
        <f t="shared" si="8"/>
        <v>199</v>
      </c>
      <c r="E159" s="15">
        <f t="shared" si="11"/>
        <v>0</v>
      </c>
      <c r="F159" s="10">
        <f t="shared" si="11"/>
        <v>0</v>
      </c>
      <c r="G159" s="15">
        <f t="shared" si="11"/>
        <v>0</v>
      </c>
      <c r="H159" s="43">
        <f t="shared" si="11"/>
        <v>0</v>
      </c>
      <c r="I159" s="10">
        <f t="shared" si="11"/>
        <v>0</v>
      </c>
      <c r="J159" s="10">
        <f t="shared" si="9"/>
        <v>0</v>
      </c>
      <c r="K159" s="121">
        <f t="shared" si="10"/>
        <v>19659.758551307848</v>
      </c>
    </row>
    <row r="160" spans="1:11" x14ac:dyDescent="0.25">
      <c r="A160" s="51">
        <f>'A) Base RI'!A159</f>
        <v>5651</v>
      </c>
      <c r="B160" s="34" t="str">
        <f>'A) Base RI'!B159</f>
        <v>Villars-Sainte-Croix</v>
      </c>
      <c r="C160" s="15">
        <f>'A) Base RI'!AN159</f>
        <v>935</v>
      </c>
      <c r="D160" s="10">
        <f t="shared" si="8"/>
        <v>935</v>
      </c>
      <c r="E160" s="15">
        <f t="shared" si="11"/>
        <v>0</v>
      </c>
      <c r="F160" s="10">
        <f t="shared" si="11"/>
        <v>0</v>
      </c>
      <c r="G160" s="15">
        <f t="shared" si="11"/>
        <v>0</v>
      </c>
      <c r="H160" s="43">
        <f t="shared" si="11"/>
        <v>0</v>
      </c>
      <c r="I160" s="10">
        <f t="shared" si="11"/>
        <v>0</v>
      </c>
      <c r="J160" s="10">
        <f t="shared" si="9"/>
        <v>0</v>
      </c>
      <c r="K160" s="121">
        <f t="shared" si="10"/>
        <v>92371.227364185106</v>
      </c>
    </row>
    <row r="161" spans="1:11" x14ac:dyDescent="0.25">
      <c r="A161" s="51">
        <f>'A) Base RI'!A160</f>
        <v>5652</v>
      </c>
      <c r="B161" s="34" t="str">
        <f>'A) Base RI'!B160</f>
        <v>Villars-sous-Yens</v>
      </c>
      <c r="C161" s="15">
        <f>'A) Base RI'!AN160</f>
        <v>614</v>
      </c>
      <c r="D161" s="10">
        <f t="shared" si="8"/>
        <v>614</v>
      </c>
      <c r="E161" s="15">
        <f t="shared" si="11"/>
        <v>0</v>
      </c>
      <c r="F161" s="10">
        <f t="shared" si="11"/>
        <v>0</v>
      </c>
      <c r="G161" s="15">
        <f t="shared" si="11"/>
        <v>0</v>
      </c>
      <c r="H161" s="43">
        <f t="shared" si="11"/>
        <v>0</v>
      </c>
      <c r="I161" s="10">
        <f t="shared" si="11"/>
        <v>0</v>
      </c>
      <c r="J161" s="10">
        <f t="shared" si="9"/>
        <v>0</v>
      </c>
      <c r="K161" s="121">
        <f t="shared" si="10"/>
        <v>60658.752515090542</v>
      </c>
    </row>
    <row r="162" spans="1:11" x14ac:dyDescent="0.25">
      <c r="A162" s="51">
        <f>'A) Base RI'!A161</f>
        <v>5653</v>
      </c>
      <c r="B162" s="34" t="str">
        <f>'A) Base RI'!B161</f>
        <v>Vufflens-le-Château</v>
      </c>
      <c r="C162" s="15">
        <f>'A) Base RI'!AN161</f>
        <v>884</v>
      </c>
      <c r="D162" s="10">
        <f t="shared" si="8"/>
        <v>884</v>
      </c>
      <c r="E162" s="15">
        <f t="shared" si="11"/>
        <v>0</v>
      </c>
      <c r="F162" s="10">
        <f t="shared" si="11"/>
        <v>0</v>
      </c>
      <c r="G162" s="15">
        <f t="shared" si="11"/>
        <v>0</v>
      </c>
      <c r="H162" s="43">
        <f t="shared" si="11"/>
        <v>0</v>
      </c>
      <c r="I162" s="10">
        <f t="shared" si="11"/>
        <v>0</v>
      </c>
      <c r="J162" s="10">
        <f t="shared" si="9"/>
        <v>0</v>
      </c>
      <c r="K162" s="121">
        <f t="shared" si="10"/>
        <v>87332.796780684104</v>
      </c>
    </row>
    <row r="163" spans="1:11" x14ac:dyDescent="0.25">
      <c r="A163" s="51">
        <f>'A) Base RI'!A162</f>
        <v>5654</v>
      </c>
      <c r="B163" s="34" t="str">
        <f>'A) Base RI'!B162</f>
        <v>Vullierens</v>
      </c>
      <c r="C163" s="15">
        <f>'A) Base RI'!AN162</f>
        <v>499</v>
      </c>
      <c r="D163" s="10">
        <f t="shared" si="8"/>
        <v>499</v>
      </c>
      <c r="E163" s="15">
        <f t="shared" si="11"/>
        <v>0</v>
      </c>
      <c r="F163" s="10">
        <f t="shared" si="11"/>
        <v>0</v>
      </c>
      <c r="G163" s="15">
        <f t="shared" si="11"/>
        <v>0</v>
      </c>
      <c r="H163" s="43">
        <f t="shared" si="11"/>
        <v>0</v>
      </c>
      <c r="I163" s="10">
        <f t="shared" si="11"/>
        <v>0</v>
      </c>
      <c r="J163" s="10">
        <f t="shared" si="9"/>
        <v>0</v>
      </c>
      <c r="K163" s="121">
        <f t="shared" si="10"/>
        <v>49297.585513078469</v>
      </c>
    </row>
    <row r="164" spans="1:11" x14ac:dyDescent="0.25">
      <c r="A164" s="51">
        <f>'A) Base RI'!A163</f>
        <v>5655</v>
      </c>
      <c r="B164" s="34" t="str">
        <f>'A) Base RI'!B163</f>
        <v>Yens</v>
      </c>
      <c r="C164" s="15">
        <f>'A) Base RI'!AN163</f>
        <v>1395</v>
      </c>
      <c r="D164" s="10">
        <f t="shared" si="8"/>
        <v>1000</v>
      </c>
      <c r="E164" s="15">
        <f t="shared" si="11"/>
        <v>395</v>
      </c>
      <c r="F164" s="10">
        <f t="shared" si="11"/>
        <v>0</v>
      </c>
      <c r="G164" s="15">
        <f t="shared" si="11"/>
        <v>0</v>
      </c>
      <c r="H164" s="43">
        <f t="shared" si="11"/>
        <v>0</v>
      </c>
      <c r="I164" s="10">
        <f t="shared" si="11"/>
        <v>0</v>
      </c>
      <c r="J164" s="10">
        <f t="shared" si="9"/>
        <v>0</v>
      </c>
      <c r="K164" s="121">
        <f t="shared" si="10"/>
        <v>235373.74245472837</v>
      </c>
    </row>
    <row r="165" spans="1:11" x14ac:dyDescent="0.25">
      <c r="A165" s="51">
        <f>'A) Base RI'!A164</f>
        <v>5661</v>
      </c>
      <c r="B165" s="34" t="str">
        <f>'A) Base RI'!B164</f>
        <v>Boulens</v>
      </c>
      <c r="C165" s="15">
        <f>'A) Base RI'!AN164</f>
        <v>377</v>
      </c>
      <c r="D165" s="10">
        <f t="shared" si="8"/>
        <v>377</v>
      </c>
      <c r="E165" s="15">
        <f t="shared" si="11"/>
        <v>0</v>
      </c>
      <c r="F165" s="10">
        <f t="shared" si="11"/>
        <v>0</v>
      </c>
      <c r="G165" s="15">
        <f t="shared" si="11"/>
        <v>0</v>
      </c>
      <c r="H165" s="43">
        <f t="shared" si="11"/>
        <v>0</v>
      </c>
      <c r="I165" s="10">
        <f t="shared" si="11"/>
        <v>0</v>
      </c>
      <c r="J165" s="10">
        <f t="shared" si="9"/>
        <v>0</v>
      </c>
      <c r="K165" s="121">
        <f t="shared" si="10"/>
        <v>37244.86921529175</v>
      </c>
    </row>
    <row r="166" spans="1:11" x14ac:dyDescent="0.25">
      <c r="A166" s="51">
        <f>'A) Base RI'!A165</f>
        <v>5663</v>
      </c>
      <c r="B166" s="34" t="str">
        <f>'A) Base RI'!B165</f>
        <v>Bussy-sur-Moudon</v>
      </c>
      <c r="C166" s="15">
        <f>'A) Base RI'!AN165</f>
        <v>209</v>
      </c>
      <c r="D166" s="10">
        <f t="shared" si="8"/>
        <v>209</v>
      </c>
      <c r="E166" s="15">
        <f t="shared" si="11"/>
        <v>0</v>
      </c>
      <c r="F166" s="10">
        <f t="shared" si="11"/>
        <v>0</v>
      </c>
      <c r="G166" s="15">
        <f t="shared" si="11"/>
        <v>0</v>
      </c>
      <c r="H166" s="43">
        <f t="shared" si="11"/>
        <v>0</v>
      </c>
      <c r="I166" s="10">
        <f t="shared" si="11"/>
        <v>0</v>
      </c>
      <c r="J166" s="10">
        <f t="shared" si="9"/>
        <v>0</v>
      </c>
      <c r="K166" s="121">
        <f t="shared" si="10"/>
        <v>20647.686116700203</v>
      </c>
    </row>
    <row r="167" spans="1:11" x14ac:dyDescent="0.25">
      <c r="A167" s="51">
        <f>'A) Base RI'!A166</f>
        <v>5665</v>
      </c>
      <c r="B167" s="34" t="str">
        <f>'A) Base RI'!B166</f>
        <v>Chavannes-sur-Moudon</v>
      </c>
      <c r="C167" s="15">
        <f>'A) Base RI'!AN166</f>
        <v>220</v>
      </c>
      <c r="D167" s="10">
        <f t="shared" si="8"/>
        <v>220</v>
      </c>
      <c r="E167" s="15">
        <f t="shared" si="11"/>
        <v>0</v>
      </c>
      <c r="F167" s="10">
        <f t="shared" si="11"/>
        <v>0</v>
      </c>
      <c r="G167" s="15">
        <f t="shared" si="11"/>
        <v>0</v>
      </c>
      <c r="H167" s="43">
        <f t="shared" si="11"/>
        <v>0</v>
      </c>
      <c r="I167" s="10">
        <f t="shared" si="11"/>
        <v>0</v>
      </c>
      <c r="J167" s="10">
        <f t="shared" si="9"/>
        <v>0</v>
      </c>
      <c r="K167" s="121">
        <f t="shared" si="10"/>
        <v>21734.406438631791</v>
      </c>
    </row>
    <row r="168" spans="1:11" x14ac:dyDescent="0.25">
      <c r="A168" s="51">
        <f>'A) Base RI'!A167</f>
        <v>5669</v>
      </c>
      <c r="B168" s="34" t="str">
        <f>'A) Base RI'!B167</f>
        <v>Curtilles</v>
      </c>
      <c r="C168" s="15">
        <f>'A) Base RI'!AN167</f>
        <v>318</v>
      </c>
      <c r="D168" s="10">
        <f t="shared" si="8"/>
        <v>318</v>
      </c>
      <c r="E168" s="15">
        <f t="shared" si="11"/>
        <v>0</v>
      </c>
      <c r="F168" s="10">
        <f t="shared" si="11"/>
        <v>0</v>
      </c>
      <c r="G168" s="15">
        <f t="shared" si="11"/>
        <v>0</v>
      </c>
      <c r="H168" s="43">
        <f t="shared" si="11"/>
        <v>0</v>
      </c>
      <c r="I168" s="10">
        <f t="shared" si="11"/>
        <v>0</v>
      </c>
      <c r="J168" s="10">
        <f t="shared" si="9"/>
        <v>0</v>
      </c>
      <c r="K168" s="121">
        <f t="shared" si="10"/>
        <v>31416.09657947686</v>
      </c>
    </row>
    <row r="169" spans="1:11" x14ac:dyDescent="0.25">
      <c r="A169" s="51">
        <f>'A) Base RI'!A168</f>
        <v>5671</v>
      </c>
      <c r="B169" s="34" t="str">
        <f>'A) Base RI'!B168</f>
        <v>Dompierre</v>
      </c>
      <c r="C169" s="15">
        <f>'A) Base RI'!AN168</f>
        <v>259</v>
      </c>
      <c r="D169" s="10">
        <f t="shared" si="8"/>
        <v>259</v>
      </c>
      <c r="E169" s="15">
        <f t="shared" si="11"/>
        <v>0</v>
      </c>
      <c r="F169" s="10">
        <f t="shared" si="11"/>
        <v>0</v>
      </c>
      <c r="G169" s="15">
        <f t="shared" si="11"/>
        <v>0</v>
      </c>
      <c r="H169" s="43">
        <f t="shared" si="11"/>
        <v>0</v>
      </c>
      <c r="I169" s="10">
        <f t="shared" si="11"/>
        <v>0</v>
      </c>
      <c r="J169" s="10">
        <f t="shared" si="9"/>
        <v>0</v>
      </c>
      <c r="K169" s="121">
        <f t="shared" si="10"/>
        <v>25587.323943661973</v>
      </c>
    </row>
    <row r="170" spans="1:11" x14ac:dyDescent="0.25">
      <c r="A170" s="51">
        <f>'A) Base RI'!A169</f>
        <v>5673</v>
      </c>
      <c r="B170" s="34" t="str">
        <f>'A) Base RI'!B169</f>
        <v>Hermenches</v>
      </c>
      <c r="C170" s="15">
        <f>'A) Base RI'!AN169</f>
        <v>379</v>
      </c>
      <c r="D170" s="10">
        <f t="shared" si="8"/>
        <v>379</v>
      </c>
      <c r="E170" s="15">
        <f t="shared" si="11"/>
        <v>0</v>
      </c>
      <c r="F170" s="10">
        <f t="shared" si="11"/>
        <v>0</v>
      </c>
      <c r="G170" s="15">
        <f t="shared" si="11"/>
        <v>0</v>
      </c>
      <c r="H170" s="43">
        <f t="shared" si="11"/>
        <v>0</v>
      </c>
      <c r="I170" s="10">
        <f t="shared" si="11"/>
        <v>0</v>
      </c>
      <c r="J170" s="10">
        <f t="shared" si="9"/>
        <v>0</v>
      </c>
      <c r="K170" s="121">
        <f t="shared" si="10"/>
        <v>37442.45472837022</v>
      </c>
    </row>
    <row r="171" spans="1:11" x14ac:dyDescent="0.25">
      <c r="A171" s="51">
        <f>'A) Base RI'!A170</f>
        <v>5674</v>
      </c>
      <c r="B171" s="34" t="str">
        <f>'A) Base RI'!B170</f>
        <v>Lovatens</v>
      </c>
      <c r="C171" s="15">
        <f>'A) Base RI'!AN170</f>
        <v>141</v>
      </c>
      <c r="D171" s="10">
        <f t="shared" ref="D171:D234" si="12">IF($C171&gt;D$4,IF($C171&lt;D$5,$C171-D$4,D$5-D$4),0)</f>
        <v>141</v>
      </c>
      <c r="E171" s="15">
        <f t="shared" si="11"/>
        <v>0</v>
      </c>
      <c r="F171" s="10">
        <f t="shared" si="11"/>
        <v>0</v>
      </c>
      <c r="G171" s="15">
        <f t="shared" si="11"/>
        <v>0</v>
      </c>
      <c r="H171" s="43">
        <f t="shared" si="11"/>
        <v>0</v>
      </c>
      <c r="I171" s="10">
        <f t="shared" si="11"/>
        <v>0</v>
      </c>
      <c r="J171" s="10">
        <f t="shared" si="9"/>
        <v>0</v>
      </c>
      <c r="K171" s="121">
        <f t="shared" si="10"/>
        <v>13929.778672032193</v>
      </c>
    </row>
    <row r="172" spans="1:11" x14ac:dyDescent="0.25">
      <c r="A172" s="51">
        <f>'A) Base RI'!A171</f>
        <v>5675</v>
      </c>
      <c r="B172" s="34" t="str">
        <f>'A) Base RI'!B171</f>
        <v>Lucens</v>
      </c>
      <c r="C172" s="15">
        <f>'A) Base RI'!AN171</f>
        <v>4157</v>
      </c>
      <c r="D172" s="10">
        <f t="shared" si="12"/>
        <v>1000</v>
      </c>
      <c r="E172" s="15">
        <f t="shared" si="11"/>
        <v>2000</v>
      </c>
      <c r="F172" s="10">
        <f t="shared" si="11"/>
        <v>1157</v>
      </c>
      <c r="G172" s="15">
        <f t="shared" si="11"/>
        <v>0</v>
      </c>
      <c r="H172" s="43">
        <f t="shared" si="11"/>
        <v>0</v>
      </c>
      <c r="I172" s="10">
        <f t="shared" si="11"/>
        <v>0</v>
      </c>
      <c r="J172" s="10">
        <f t="shared" si="9"/>
        <v>0</v>
      </c>
      <c r="K172" s="121">
        <f t="shared" si="10"/>
        <v>1361858.14889336</v>
      </c>
    </row>
    <row r="173" spans="1:11" x14ac:dyDescent="0.25">
      <c r="A173" s="51">
        <f>'A) Base RI'!A172</f>
        <v>5678</v>
      </c>
      <c r="B173" s="34" t="str">
        <f>'A) Base RI'!B172</f>
        <v>Moudon</v>
      </c>
      <c r="C173" s="15">
        <f>'A) Base RI'!AN172</f>
        <v>6185</v>
      </c>
      <c r="D173" s="10">
        <f t="shared" si="12"/>
        <v>1000</v>
      </c>
      <c r="E173" s="15">
        <f t="shared" si="11"/>
        <v>2000</v>
      </c>
      <c r="F173" s="10">
        <f t="shared" si="11"/>
        <v>2000</v>
      </c>
      <c r="G173" s="15">
        <f t="shared" si="11"/>
        <v>1185</v>
      </c>
      <c r="H173" s="43">
        <f t="shared" si="11"/>
        <v>0</v>
      </c>
      <c r="I173" s="10">
        <f t="shared" si="11"/>
        <v>0</v>
      </c>
      <c r="J173" s="10">
        <f t="shared" si="9"/>
        <v>0</v>
      </c>
      <c r="K173" s="121">
        <f t="shared" si="10"/>
        <v>2480686.1167002013</v>
      </c>
    </row>
    <row r="174" spans="1:11" x14ac:dyDescent="0.25">
      <c r="A174" s="51">
        <f>'A) Base RI'!A173</f>
        <v>5680</v>
      </c>
      <c r="B174" s="34" t="str">
        <f>'A) Base RI'!B173</f>
        <v>Ogens</v>
      </c>
      <c r="C174" s="15">
        <f>'A) Base RI'!AN173</f>
        <v>304</v>
      </c>
      <c r="D174" s="10">
        <f t="shared" si="12"/>
        <v>304</v>
      </c>
      <c r="E174" s="15">
        <f t="shared" si="11"/>
        <v>0</v>
      </c>
      <c r="F174" s="10">
        <f t="shared" si="11"/>
        <v>0</v>
      </c>
      <c r="G174" s="15">
        <f t="shared" si="11"/>
        <v>0</v>
      </c>
      <c r="H174" s="43">
        <f t="shared" si="11"/>
        <v>0</v>
      </c>
      <c r="I174" s="10">
        <f t="shared" si="11"/>
        <v>0</v>
      </c>
      <c r="J174" s="10">
        <f t="shared" si="9"/>
        <v>0</v>
      </c>
      <c r="K174" s="121">
        <f t="shared" si="10"/>
        <v>30032.997987927567</v>
      </c>
    </row>
    <row r="175" spans="1:11" x14ac:dyDescent="0.25">
      <c r="A175" s="51">
        <f>'A) Base RI'!A174</f>
        <v>5683</v>
      </c>
      <c r="B175" s="34" t="str">
        <f>'A) Base RI'!B174</f>
        <v>Prévonloup</v>
      </c>
      <c r="C175" s="15">
        <f>'A) Base RI'!AN174</f>
        <v>160</v>
      </c>
      <c r="D175" s="10">
        <f t="shared" si="12"/>
        <v>160</v>
      </c>
      <c r="E175" s="15">
        <f t="shared" si="11"/>
        <v>0</v>
      </c>
      <c r="F175" s="10">
        <f t="shared" si="11"/>
        <v>0</v>
      </c>
      <c r="G175" s="15">
        <f t="shared" si="11"/>
        <v>0</v>
      </c>
      <c r="H175" s="43">
        <f t="shared" si="11"/>
        <v>0</v>
      </c>
      <c r="I175" s="10">
        <f t="shared" si="11"/>
        <v>0</v>
      </c>
      <c r="J175" s="10">
        <f t="shared" si="9"/>
        <v>0</v>
      </c>
      <c r="K175" s="121">
        <f t="shared" si="10"/>
        <v>15806.841046277666</v>
      </c>
    </row>
    <row r="176" spans="1:11" x14ac:dyDescent="0.25">
      <c r="A176" s="51">
        <f>'A) Base RI'!A175</f>
        <v>5684</v>
      </c>
      <c r="B176" s="34" t="str">
        <f>'A) Base RI'!B175</f>
        <v>Rossenges</v>
      </c>
      <c r="C176" s="15">
        <f>'A) Base RI'!AN175</f>
        <v>63</v>
      </c>
      <c r="D176" s="10">
        <f t="shared" si="12"/>
        <v>63</v>
      </c>
      <c r="E176" s="15">
        <f t="shared" si="11"/>
        <v>0</v>
      </c>
      <c r="F176" s="10">
        <f t="shared" si="11"/>
        <v>0</v>
      </c>
      <c r="G176" s="15">
        <f t="shared" si="11"/>
        <v>0</v>
      </c>
      <c r="H176" s="43">
        <f t="shared" si="11"/>
        <v>0</v>
      </c>
      <c r="I176" s="10">
        <f t="shared" si="11"/>
        <v>0</v>
      </c>
      <c r="J176" s="10">
        <f t="shared" si="9"/>
        <v>0</v>
      </c>
      <c r="K176" s="121">
        <f t="shared" si="10"/>
        <v>6223.9436619718308</v>
      </c>
    </row>
    <row r="177" spans="1:11" x14ac:dyDescent="0.25">
      <c r="A177" s="51">
        <f>'A) Base RI'!A176</f>
        <v>5688</v>
      </c>
      <c r="B177" s="34" t="str">
        <f>'A) Base RI'!B176</f>
        <v>Syens</v>
      </c>
      <c r="C177" s="15">
        <f>'A) Base RI'!AN176</f>
        <v>150</v>
      </c>
      <c r="D177" s="10">
        <f t="shared" si="12"/>
        <v>150</v>
      </c>
      <c r="E177" s="15">
        <f t="shared" si="11"/>
        <v>0</v>
      </c>
      <c r="F177" s="10">
        <f t="shared" si="11"/>
        <v>0</v>
      </c>
      <c r="G177" s="15">
        <f t="shared" si="11"/>
        <v>0</v>
      </c>
      <c r="H177" s="43">
        <f t="shared" si="11"/>
        <v>0</v>
      </c>
      <c r="I177" s="10">
        <f t="shared" si="11"/>
        <v>0</v>
      </c>
      <c r="J177" s="10">
        <f t="shared" si="9"/>
        <v>0</v>
      </c>
      <c r="K177" s="121">
        <f t="shared" si="10"/>
        <v>14818.913480885312</v>
      </c>
    </row>
    <row r="178" spans="1:11" x14ac:dyDescent="0.25">
      <c r="A178" s="51">
        <f>'A) Base RI'!A177</f>
        <v>5690</v>
      </c>
      <c r="B178" s="34" t="str">
        <f>'A) Base RI'!B177</f>
        <v>Villars-le-Comte</v>
      </c>
      <c r="C178" s="15">
        <f>'A) Base RI'!AN177</f>
        <v>142</v>
      </c>
      <c r="D178" s="10">
        <f t="shared" si="12"/>
        <v>142</v>
      </c>
      <c r="E178" s="15">
        <f t="shared" si="11"/>
        <v>0</v>
      </c>
      <c r="F178" s="10">
        <f t="shared" si="11"/>
        <v>0</v>
      </c>
      <c r="G178" s="15">
        <f t="shared" si="11"/>
        <v>0</v>
      </c>
      <c r="H178" s="43">
        <f t="shared" si="11"/>
        <v>0</v>
      </c>
      <c r="I178" s="10">
        <f t="shared" si="11"/>
        <v>0</v>
      </c>
      <c r="J178" s="10">
        <f t="shared" si="9"/>
        <v>0</v>
      </c>
      <c r="K178" s="121">
        <f t="shared" si="10"/>
        <v>14028.571428571429</v>
      </c>
    </row>
    <row r="179" spans="1:11" x14ac:dyDescent="0.25">
      <c r="A179" s="51">
        <f>'A) Base RI'!A178</f>
        <v>5692</v>
      </c>
      <c r="B179" s="34" t="str">
        <f>'A) Base RI'!B178</f>
        <v>Vucherens</v>
      </c>
      <c r="C179" s="15">
        <f>'A) Base RI'!AN178</f>
        <v>583</v>
      </c>
      <c r="D179" s="10">
        <f t="shared" si="12"/>
        <v>583</v>
      </c>
      <c r="E179" s="15">
        <f t="shared" si="11"/>
        <v>0</v>
      </c>
      <c r="F179" s="10">
        <f t="shared" si="11"/>
        <v>0</v>
      </c>
      <c r="G179" s="15">
        <f t="shared" si="11"/>
        <v>0</v>
      </c>
      <c r="H179" s="43">
        <f t="shared" si="11"/>
        <v>0</v>
      </c>
      <c r="I179" s="10">
        <f t="shared" si="11"/>
        <v>0</v>
      </c>
      <c r="J179" s="10">
        <f t="shared" si="9"/>
        <v>0</v>
      </c>
      <c r="K179" s="121">
        <f t="shared" si="10"/>
        <v>57596.177062374249</v>
      </c>
    </row>
    <row r="180" spans="1:11" x14ac:dyDescent="0.25">
      <c r="A180" s="51">
        <f>'A) Base RI'!A179</f>
        <v>5693</v>
      </c>
      <c r="B180" s="34" t="str">
        <f>'A) Base RI'!B179</f>
        <v>Montanaire</v>
      </c>
      <c r="C180" s="15">
        <f>'A) Base RI'!AN179</f>
        <v>2606</v>
      </c>
      <c r="D180" s="10">
        <f t="shared" si="12"/>
        <v>1000</v>
      </c>
      <c r="E180" s="15">
        <f t="shared" si="11"/>
        <v>1606</v>
      </c>
      <c r="F180" s="10">
        <f t="shared" si="11"/>
        <v>0</v>
      </c>
      <c r="G180" s="15">
        <f t="shared" si="11"/>
        <v>0</v>
      </c>
      <c r="H180" s="43">
        <f t="shared" si="11"/>
        <v>0</v>
      </c>
      <c r="I180" s="10">
        <f t="shared" si="11"/>
        <v>0</v>
      </c>
      <c r="J180" s="10">
        <f t="shared" si="9"/>
        <v>0</v>
      </c>
      <c r="K180" s="121">
        <f t="shared" si="10"/>
        <v>654106.84104627767</v>
      </c>
    </row>
    <row r="181" spans="1:11" x14ac:dyDescent="0.25">
      <c r="A181" s="51">
        <f>'A) Base RI'!A180</f>
        <v>5701</v>
      </c>
      <c r="B181" s="34" t="str">
        <f>'A) Base RI'!B180</f>
        <v>Arnex-sur-Nyon</v>
      </c>
      <c r="C181" s="15">
        <f>'A) Base RI'!AN180</f>
        <v>224</v>
      </c>
      <c r="D181" s="10">
        <f t="shared" si="12"/>
        <v>224</v>
      </c>
      <c r="E181" s="15">
        <f t="shared" si="11"/>
        <v>0</v>
      </c>
      <c r="F181" s="10">
        <f t="shared" si="11"/>
        <v>0</v>
      </c>
      <c r="G181" s="15">
        <f t="shared" si="11"/>
        <v>0</v>
      </c>
      <c r="H181" s="43">
        <f t="shared" si="11"/>
        <v>0</v>
      </c>
      <c r="I181" s="10">
        <f t="shared" si="11"/>
        <v>0</v>
      </c>
      <c r="J181" s="10">
        <f t="shared" si="9"/>
        <v>0</v>
      </c>
      <c r="K181" s="121">
        <f t="shared" si="10"/>
        <v>22129.577464788734</v>
      </c>
    </row>
    <row r="182" spans="1:11" x14ac:dyDescent="0.25">
      <c r="A182" s="51">
        <f>'A) Base RI'!A181</f>
        <v>5702</v>
      </c>
      <c r="B182" s="34" t="str">
        <f>'A) Base RI'!B181</f>
        <v>Arzier-Le Muids</v>
      </c>
      <c r="C182" s="15">
        <f>'A) Base RI'!AN181</f>
        <v>2653</v>
      </c>
      <c r="D182" s="10">
        <f t="shared" si="12"/>
        <v>1000</v>
      </c>
      <c r="E182" s="15">
        <f t="shared" si="11"/>
        <v>1653</v>
      </c>
      <c r="F182" s="10">
        <f t="shared" si="11"/>
        <v>0</v>
      </c>
      <c r="G182" s="15">
        <f t="shared" si="11"/>
        <v>0</v>
      </c>
      <c r="H182" s="43">
        <f t="shared" si="11"/>
        <v>0</v>
      </c>
      <c r="I182" s="10">
        <f t="shared" si="11"/>
        <v>0</v>
      </c>
      <c r="J182" s="10">
        <f t="shared" si="9"/>
        <v>0</v>
      </c>
      <c r="K182" s="121">
        <f t="shared" si="10"/>
        <v>670358.24949698173</v>
      </c>
    </row>
    <row r="183" spans="1:11" x14ac:dyDescent="0.25">
      <c r="A183" s="51">
        <f>'A) Base RI'!A182</f>
        <v>5703</v>
      </c>
      <c r="B183" s="34" t="str">
        <f>'A) Base RI'!B182</f>
        <v>Bassins</v>
      </c>
      <c r="C183" s="15">
        <f>'A) Base RI'!AN182</f>
        <v>1356</v>
      </c>
      <c r="D183" s="10">
        <f t="shared" si="12"/>
        <v>1000</v>
      </c>
      <c r="E183" s="15">
        <f t="shared" si="11"/>
        <v>356</v>
      </c>
      <c r="F183" s="10">
        <f t="shared" si="11"/>
        <v>0</v>
      </c>
      <c r="G183" s="15">
        <f t="shared" si="11"/>
        <v>0</v>
      </c>
      <c r="H183" s="43">
        <f t="shared" si="11"/>
        <v>0</v>
      </c>
      <c r="I183" s="10">
        <f t="shared" si="11"/>
        <v>0</v>
      </c>
      <c r="J183" s="10">
        <f t="shared" si="9"/>
        <v>0</v>
      </c>
      <c r="K183" s="121">
        <f t="shared" si="10"/>
        <v>221888.53118712275</v>
      </c>
    </row>
    <row r="184" spans="1:11" x14ac:dyDescent="0.25">
      <c r="A184" s="51">
        <f>'A) Base RI'!A183</f>
        <v>5704</v>
      </c>
      <c r="B184" s="34" t="str">
        <f>'A) Base RI'!B183</f>
        <v>Begnins</v>
      </c>
      <c r="C184" s="15">
        <f>'A) Base RI'!AN183</f>
        <v>1910</v>
      </c>
      <c r="D184" s="10">
        <f t="shared" si="12"/>
        <v>1000</v>
      </c>
      <c r="E184" s="15">
        <f t="shared" si="11"/>
        <v>910</v>
      </c>
      <c r="F184" s="10">
        <f t="shared" si="11"/>
        <v>0</v>
      </c>
      <c r="G184" s="15">
        <f t="shared" si="11"/>
        <v>0</v>
      </c>
      <c r="H184" s="43">
        <f t="shared" si="11"/>
        <v>0</v>
      </c>
      <c r="I184" s="10">
        <f t="shared" si="11"/>
        <v>0</v>
      </c>
      <c r="J184" s="10">
        <f t="shared" si="9"/>
        <v>0</v>
      </c>
      <c r="K184" s="121">
        <f t="shared" si="10"/>
        <v>413447.68611670018</v>
      </c>
    </row>
    <row r="185" spans="1:11" x14ac:dyDescent="0.25">
      <c r="A185" s="51">
        <f>'A) Base RI'!A184</f>
        <v>5705</v>
      </c>
      <c r="B185" s="34" t="str">
        <f>'A) Base RI'!B184</f>
        <v>Bogis-Bossey</v>
      </c>
      <c r="C185" s="15">
        <f>'A) Base RI'!AN184</f>
        <v>893</v>
      </c>
      <c r="D185" s="10">
        <f t="shared" si="12"/>
        <v>893</v>
      </c>
      <c r="E185" s="15">
        <f t="shared" si="11"/>
        <v>0</v>
      </c>
      <c r="F185" s="10">
        <f t="shared" si="11"/>
        <v>0</v>
      </c>
      <c r="G185" s="15">
        <f t="shared" si="11"/>
        <v>0</v>
      </c>
      <c r="H185" s="43">
        <f t="shared" si="11"/>
        <v>0</v>
      </c>
      <c r="I185" s="10">
        <f t="shared" si="11"/>
        <v>0</v>
      </c>
      <c r="J185" s="10">
        <f t="shared" si="9"/>
        <v>0</v>
      </c>
      <c r="K185" s="121">
        <f t="shared" si="10"/>
        <v>88221.931589537227</v>
      </c>
    </row>
    <row r="186" spans="1:11" x14ac:dyDescent="0.25">
      <c r="A186" s="51">
        <f>'A) Base RI'!A185</f>
        <v>5706</v>
      </c>
      <c r="B186" s="34" t="str">
        <f>'A) Base RI'!B185</f>
        <v>Borex</v>
      </c>
      <c r="C186" s="15">
        <f>'A) Base RI'!AN185</f>
        <v>1126</v>
      </c>
      <c r="D186" s="10">
        <f t="shared" si="12"/>
        <v>1000</v>
      </c>
      <c r="E186" s="15">
        <f t="shared" si="11"/>
        <v>126</v>
      </c>
      <c r="F186" s="10">
        <f t="shared" si="11"/>
        <v>0</v>
      </c>
      <c r="G186" s="15">
        <f t="shared" si="11"/>
        <v>0</v>
      </c>
      <c r="H186" s="43">
        <f t="shared" si="11"/>
        <v>0</v>
      </c>
      <c r="I186" s="10">
        <f t="shared" si="11"/>
        <v>0</v>
      </c>
      <c r="J186" s="10">
        <f t="shared" si="9"/>
        <v>0</v>
      </c>
      <c r="K186" s="121">
        <f t="shared" si="10"/>
        <v>142360.36217303824</v>
      </c>
    </row>
    <row r="187" spans="1:11" x14ac:dyDescent="0.25">
      <c r="A187" s="51">
        <f>'A) Base RI'!A186</f>
        <v>5707</v>
      </c>
      <c r="B187" s="34" t="str">
        <f>'A) Base RI'!B186</f>
        <v>Chavannes-de-Bogis</v>
      </c>
      <c r="C187" s="15">
        <f>'A) Base RI'!AN186</f>
        <v>1290</v>
      </c>
      <c r="D187" s="10">
        <f t="shared" si="12"/>
        <v>1000</v>
      </c>
      <c r="E187" s="15">
        <f t="shared" si="11"/>
        <v>290</v>
      </c>
      <c r="F187" s="10">
        <f t="shared" si="11"/>
        <v>0</v>
      </c>
      <c r="G187" s="15">
        <f t="shared" si="11"/>
        <v>0</v>
      </c>
      <c r="H187" s="43">
        <f t="shared" si="11"/>
        <v>0</v>
      </c>
      <c r="I187" s="10">
        <f t="shared" si="11"/>
        <v>0</v>
      </c>
      <c r="J187" s="10">
        <f t="shared" si="9"/>
        <v>0</v>
      </c>
      <c r="K187" s="121">
        <f t="shared" si="10"/>
        <v>199067.40442655934</v>
      </c>
    </row>
    <row r="188" spans="1:11" x14ac:dyDescent="0.25">
      <c r="A188" s="51">
        <f>'A) Base RI'!A187</f>
        <v>5708</v>
      </c>
      <c r="B188" s="34" t="str">
        <f>'A) Base RI'!B187</f>
        <v>Chavannes-des-Bois</v>
      </c>
      <c r="C188" s="15">
        <f>'A) Base RI'!AN187</f>
        <v>942</v>
      </c>
      <c r="D188" s="10">
        <f t="shared" si="12"/>
        <v>942</v>
      </c>
      <c r="E188" s="15">
        <f t="shared" si="11"/>
        <v>0</v>
      </c>
      <c r="F188" s="10">
        <f t="shared" si="11"/>
        <v>0</v>
      </c>
      <c r="G188" s="15">
        <f t="shared" si="11"/>
        <v>0</v>
      </c>
      <c r="H188" s="43">
        <f t="shared" si="11"/>
        <v>0</v>
      </c>
      <c r="I188" s="10">
        <f t="shared" si="11"/>
        <v>0</v>
      </c>
      <c r="J188" s="10">
        <f t="shared" si="9"/>
        <v>0</v>
      </c>
      <c r="K188" s="121">
        <f t="shared" si="10"/>
        <v>93062.776659959753</v>
      </c>
    </row>
    <row r="189" spans="1:11" x14ac:dyDescent="0.25">
      <c r="A189" s="51">
        <f>'A) Base RI'!A188</f>
        <v>5709</v>
      </c>
      <c r="B189" s="34" t="str">
        <f>'A) Base RI'!B188</f>
        <v>Chéserex</v>
      </c>
      <c r="C189" s="15">
        <f>'A) Base RI'!AN188</f>
        <v>1219</v>
      </c>
      <c r="D189" s="10">
        <f t="shared" si="12"/>
        <v>1000</v>
      </c>
      <c r="E189" s="15">
        <f t="shared" si="11"/>
        <v>219</v>
      </c>
      <c r="F189" s="10">
        <f t="shared" si="11"/>
        <v>0</v>
      </c>
      <c r="G189" s="15">
        <f t="shared" si="11"/>
        <v>0</v>
      </c>
      <c r="H189" s="43">
        <f t="shared" si="11"/>
        <v>0</v>
      </c>
      <c r="I189" s="10">
        <f t="shared" si="11"/>
        <v>0</v>
      </c>
      <c r="J189" s="10">
        <f t="shared" si="9"/>
        <v>0</v>
      </c>
      <c r="K189" s="121">
        <f t="shared" si="10"/>
        <v>174517.40442655934</v>
      </c>
    </row>
    <row r="190" spans="1:11" x14ac:dyDescent="0.25">
      <c r="A190" s="51">
        <f>'A) Base RI'!A189</f>
        <v>5710</v>
      </c>
      <c r="B190" s="34" t="str">
        <f>'A) Base RI'!B189</f>
        <v>Coinsins</v>
      </c>
      <c r="C190" s="15">
        <f>'A) Base RI'!AN189</f>
        <v>484</v>
      </c>
      <c r="D190" s="10">
        <f t="shared" si="12"/>
        <v>484</v>
      </c>
      <c r="E190" s="15">
        <f t="shared" si="11"/>
        <v>0</v>
      </c>
      <c r="F190" s="10">
        <f t="shared" si="11"/>
        <v>0</v>
      </c>
      <c r="G190" s="15">
        <f t="shared" si="11"/>
        <v>0</v>
      </c>
      <c r="H190" s="43">
        <f t="shared" si="11"/>
        <v>0</v>
      </c>
      <c r="I190" s="10">
        <f t="shared" si="11"/>
        <v>0</v>
      </c>
      <c r="J190" s="10">
        <f t="shared" si="9"/>
        <v>0</v>
      </c>
      <c r="K190" s="121">
        <f t="shared" si="10"/>
        <v>47815.694164989938</v>
      </c>
    </row>
    <row r="191" spans="1:11" x14ac:dyDescent="0.25">
      <c r="A191" s="51">
        <f>'A) Base RI'!A190</f>
        <v>5711</v>
      </c>
      <c r="B191" s="34" t="str">
        <f>'A) Base RI'!B190</f>
        <v>Commugny</v>
      </c>
      <c r="C191" s="15">
        <f>'A) Base RI'!AN190</f>
        <v>2858</v>
      </c>
      <c r="D191" s="10">
        <f t="shared" si="12"/>
        <v>1000</v>
      </c>
      <c r="E191" s="15">
        <f t="shared" si="11"/>
        <v>1858</v>
      </c>
      <c r="F191" s="10">
        <f t="shared" si="11"/>
        <v>0</v>
      </c>
      <c r="G191" s="15">
        <f t="shared" si="11"/>
        <v>0</v>
      </c>
      <c r="H191" s="43">
        <f t="shared" si="11"/>
        <v>0</v>
      </c>
      <c r="I191" s="10">
        <f t="shared" si="11"/>
        <v>0</v>
      </c>
      <c r="J191" s="10">
        <f t="shared" si="9"/>
        <v>0</v>
      </c>
      <c r="K191" s="121">
        <f t="shared" si="10"/>
        <v>741242.05231388332</v>
      </c>
    </row>
    <row r="192" spans="1:11" x14ac:dyDescent="0.25">
      <c r="A192" s="51">
        <f>'A) Base RI'!A191</f>
        <v>5712</v>
      </c>
      <c r="B192" s="34" t="str">
        <f>'A) Base RI'!B191</f>
        <v>Coppet</v>
      </c>
      <c r="C192" s="15">
        <f>'A) Base RI'!AN191</f>
        <v>3123</v>
      </c>
      <c r="D192" s="10">
        <f t="shared" si="12"/>
        <v>1000</v>
      </c>
      <c r="E192" s="15">
        <f t="shared" si="11"/>
        <v>2000</v>
      </c>
      <c r="F192" s="10">
        <f t="shared" si="11"/>
        <v>123</v>
      </c>
      <c r="G192" s="15">
        <f t="shared" si="11"/>
        <v>0</v>
      </c>
      <c r="H192" s="43">
        <f t="shared" si="11"/>
        <v>0</v>
      </c>
      <c r="I192" s="10">
        <f t="shared" si="11"/>
        <v>0</v>
      </c>
      <c r="J192" s="10">
        <f t="shared" si="9"/>
        <v>0</v>
      </c>
      <c r="K192" s="121">
        <f t="shared" si="10"/>
        <v>851099.59758551314</v>
      </c>
    </row>
    <row r="193" spans="1:11" x14ac:dyDescent="0.25">
      <c r="A193" s="51">
        <f>'A) Base RI'!A192</f>
        <v>5713</v>
      </c>
      <c r="B193" s="34" t="str">
        <f>'A) Base RI'!B192</f>
        <v>Crans-près-Céligny</v>
      </c>
      <c r="C193" s="15">
        <f>'A) Base RI'!AN192</f>
        <v>2177</v>
      </c>
      <c r="D193" s="10">
        <f t="shared" si="12"/>
        <v>1000</v>
      </c>
      <c r="E193" s="15">
        <f t="shared" si="11"/>
        <v>1177</v>
      </c>
      <c r="F193" s="10">
        <f t="shared" si="11"/>
        <v>0</v>
      </c>
      <c r="G193" s="15">
        <f t="shared" si="11"/>
        <v>0</v>
      </c>
      <c r="H193" s="43">
        <f t="shared" si="11"/>
        <v>0</v>
      </c>
      <c r="I193" s="10">
        <f t="shared" si="11"/>
        <v>0</v>
      </c>
      <c r="J193" s="10">
        <f t="shared" si="9"/>
        <v>0</v>
      </c>
      <c r="K193" s="121">
        <f t="shared" si="10"/>
        <v>505769.51710261567</v>
      </c>
    </row>
    <row r="194" spans="1:11" x14ac:dyDescent="0.25">
      <c r="A194" s="51">
        <f>'A) Base RI'!A193</f>
        <v>5714</v>
      </c>
      <c r="B194" s="34" t="str">
        <f>'A) Base RI'!B193</f>
        <v>Crassier</v>
      </c>
      <c r="C194" s="15">
        <f>'A) Base RI'!AN193</f>
        <v>1161</v>
      </c>
      <c r="D194" s="10">
        <f t="shared" si="12"/>
        <v>1000</v>
      </c>
      <c r="E194" s="15">
        <f t="shared" si="11"/>
        <v>161</v>
      </c>
      <c r="F194" s="10">
        <f t="shared" si="11"/>
        <v>0</v>
      </c>
      <c r="G194" s="15">
        <f t="shared" si="11"/>
        <v>0</v>
      </c>
      <c r="H194" s="43">
        <f t="shared" si="11"/>
        <v>0</v>
      </c>
      <c r="I194" s="10">
        <f t="shared" si="11"/>
        <v>0</v>
      </c>
      <c r="J194" s="10">
        <f t="shared" si="9"/>
        <v>0</v>
      </c>
      <c r="K194" s="121">
        <f t="shared" si="10"/>
        <v>154462.47484909458</v>
      </c>
    </row>
    <row r="195" spans="1:11" x14ac:dyDescent="0.25">
      <c r="A195" s="51">
        <f>'A) Base RI'!A194</f>
        <v>5715</v>
      </c>
      <c r="B195" s="34" t="str">
        <f>'A) Base RI'!B194</f>
        <v>Duillier</v>
      </c>
      <c r="C195" s="15">
        <f>'A) Base RI'!AN194</f>
        <v>1078</v>
      </c>
      <c r="D195" s="10">
        <f t="shared" si="12"/>
        <v>1000</v>
      </c>
      <c r="E195" s="15">
        <f t="shared" si="11"/>
        <v>78</v>
      </c>
      <c r="F195" s="10">
        <f t="shared" si="11"/>
        <v>0</v>
      </c>
      <c r="G195" s="15">
        <f t="shared" si="11"/>
        <v>0</v>
      </c>
      <c r="H195" s="43">
        <f t="shared" si="11"/>
        <v>0</v>
      </c>
      <c r="I195" s="10">
        <f t="shared" si="11"/>
        <v>0</v>
      </c>
      <c r="J195" s="10">
        <f t="shared" si="9"/>
        <v>0</v>
      </c>
      <c r="K195" s="121">
        <f t="shared" si="10"/>
        <v>125763.17907444669</v>
      </c>
    </row>
    <row r="196" spans="1:11" x14ac:dyDescent="0.25">
      <c r="A196" s="51">
        <f>'A) Base RI'!A195</f>
        <v>5716</v>
      </c>
      <c r="B196" s="34" t="str">
        <f>'A) Base RI'!B195</f>
        <v>Eysins</v>
      </c>
      <c r="C196" s="15">
        <f>'A) Base RI'!AN195</f>
        <v>1603</v>
      </c>
      <c r="D196" s="10">
        <f t="shared" si="12"/>
        <v>1000</v>
      </c>
      <c r="E196" s="15">
        <f t="shared" si="11"/>
        <v>603</v>
      </c>
      <c r="F196" s="10">
        <f t="shared" si="11"/>
        <v>0</v>
      </c>
      <c r="G196" s="15">
        <f t="shared" si="11"/>
        <v>0</v>
      </c>
      <c r="H196" s="43">
        <f t="shared" si="11"/>
        <v>0</v>
      </c>
      <c r="I196" s="10">
        <f t="shared" si="11"/>
        <v>0</v>
      </c>
      <c r="J196" s="10">
        <f t="shared" si="9"/>
        <v>0</v>
      </c>
      <c r="K196" s="121">
        <f t="shared" si="10"/>
        <v>307294.86921529169</v>
      </c>
    </row>
    <row r="197" spans="1:11" x14ac:dyDescent="0.25">
      <c r="A197" s="51">
        <f>'A) Base RI'!A196</f>
        <v>5717</v>
      </c>
      <c r="B197" s="34" t="str">
        <f>'A) Base RI'!B196</f>
        <v>Founex</v>
      </c>
      <c r="C197" s="15">
        <f>'A) Base RI'!AN196</f>
        <v>3788</v>
      </c>
      <c r="D197" s="10">
        <f t="shared" si="12"/>
        <v>1000</v>
      </c>
      <c r="E197" s="15">
        <f t="shared" si="11"/>
        <v>2000</v>
      </c>
      <c r="F197" s="10">
        <f t="shared" si="11"/>
        <v>788</v>
      </c>
      <c r="G197" s="15">
        <f t="shared" si="11"/>
        <v>0</v>
      </c>
      <c r="H197" s="43">
        <f t="shared" si="11"/>
        <v>0</v>
      </c>
      <c r="I197" s="10">
        <f t="shared" si="11"/>
        <v>0</v>
      </c>
      <c r="J197" s="10">
        <f t="shared" si="9"/>
        <v>0</v>
      </c>
      <c r="K197" s="121">
        <f t="shared" si="10"/>
        <v>1179585.5130784707</v>
      </c>
    </row>
    <row r="198" spans="1:11" x14ac:dyDescent="0.25">
      <c r="A198" s="51">
        <f>'A) Base RI'!A197</f>
        <v>5718</v>
      </c>
      <c r="B198" s="34" t="str">
        <f>'A) Base RI'!B197</f>
        <v>Genolier</v>
      </c>
      <c r="C198" s="15">
        <f>'A) Base RI'!AN197</f>
        <v>1945</v>
      </c>
      <c r="D198" s="10">
        <f t="shared" si="12"/>
        <v>1000</v>
      </c>
      <c r="E198" s="15">
        <f t="shared" si="11"/>
        <v>945</v>
      </c>
      <c r="F198" s="10">
        <f t="shared" si="11"/>
        <v>0</v>
      </c>
      <c r="G198" s="15">
        <f t="shared" si="11"/>
        <v>0</v>
      </c>
      <c r="H198" s="43">
        <f t="shared" si="11"/>
        <v>0</v>
      </c>
      <c r="I198" s="10">
        <f t="shared" si="11"/>
        <v>0</v>
      </c>
      <c r="J198" s="10">
        <f t="shared" si="9"/>
        <v>0</v>
      </c>
      <c r="K198" s="121">
        <f t="shared" si="10"/>
        <v>425549.79879275651</v>
      </c>
    </row>
    <row r="199" spans="1:11" x14ac:dyDescent="0.25">
      <c r="A199" s="51">
        <f>'A) Base RI'!A198</f>
        <v>5719</v>
      </c>
      <c r="B199" s="34" t="str">
        <f>'A) Base RI'!B198</f>
        <v>Gingins</v>
      </c>
      <c r="C199" s="15">
        <f>'A) Base RI'!AN198</f>
        <v>1212</v>
      </c>
      <c r="D199" s="10">
        <f t="shared" si="12"/>
        <v>1000</v>
      </c>
      <c r="E199" s="15">
        <f t="shared" si="11"/>
        <v>212</v>
      </c>
      <c r="F199" s="10">
        <f t="shared" si="11"/>
        <v>0</v>
      </c>
      <c r="G199" s="15">
        <f t="shared" si="11"/>
        <v>0</v>
      </c>
      <c r="H199" s="43">
        <f t="shared" si="11"/>
        <v>0</v>
      </c>
      <c r="I199" s="10">
        <f t="shared" si="11"/>
        <v>0</v>
      </c>
      <c r="J199" s="10">
        <f t="shared" si="9"/>
        <v>0</v>
      </c>
      <c r="K199" s="121">
        <f t="shared" si="10"/>
        <v>172096.98189134808</v>
      </c>
    </row>
    <row r="200" spans="1:11" x14ac:dyDescent="0.25">
      <c r="A200" s="51">
        <f>'A) Base RI'!A199</f>
        <v>5720</v>
      </c>
      <c r="B200" s="34" t="str">
        <f>'A) Base RI'!B199</f>
        <v>Givrins</v>
      </c>
      <c r="C200" s="15">
        <f>'A) Base RI'!AN199</f>
        <v>995</v>
      </c>
      <c r="D200" s="10">
        <f t="shared" si="12"/>
        <v>995</v>
      </c>
      <c r="E200" s="15">
        <f t="shared" si="11"/>
        <v>0</v>
      </c>
      <c r="F200" s="10">
        <f t="shared" si="11"/>
        <v>0</v>
      </c>
      <c r="G200" s="15">
        <f t="shared" si="11"/>
        <v>0</v>
      </c>
      <c r="H200" s="43">
        <f t="shared" si="11"/>
        <v>0</v>
      </c>
      <c r="I200" s="10">
        <f t="shared" si="11"/>
        <v>0</v>
      </c>
      <c r="J200" s="10">
        <f t="shared" si="9"/>
        <v>0</v>
      </c>
      <c r="K200" s="121">
        <f t="shared" si="10"/>
        <v>98298.792756539231</v>
      </c>
    </row>
    <row r="201" spans="1:11" x14ac:dyDescent="0.25">
      <c r="A201" s="51">
        <f>'A) Base RI'!A200</f>
        <v>5721</v>
      </c>
      <c r="B201" s="34" t="str">
        <f>'A) Base RI'!B200</f>
        <v>Gland</v>
      </c>
      <c r="C201" s="15">
        <f>'A) Base RI'!AN200</f>
        <v>13081</v>
      </c>
      <c r="D201" s="10">
        <f t="shared" si="12"/>
        <v>1000</v>
      </c>
      <c r="E201" s="15">
        <f t="shared" si="11"/>
        <v>2000</v>
      </c>
      <c r="F201" s="10">
        <f t="shared" si="11"/>
        <v>2000</v>
      </c>
      <c r="G201" s="15">
        <f t="shared" si="11"/>
        <v>4000</v>
      </c>
      <c r="H201" s="43">
        <f t="shared" si="11"/>
        <v>3000</v>
      </c>
      <c r="I201" s="10">
        <f t="shared" si="11"/>
        <v>1081</v>
      </c>
      <c r="J201" s="10">
        <f t="shared" ref="J201:J264" si="13">IF(C201&gt;$J$4,C201-$J$4,0)</f>
        <v>0</v>
      </c>
      <c r="K201" s="121">
        <f t="shared" ref="K201:K264" si="14">(D201*D$7)+(E201*E$7)+(F201*F$7)+(G201*G$7)+(H201*H$7)+(I201*I$7)+(J201*J$7)</f>
        <v>7736460.7645875243</v>
      </c>
    </row>
    <row r="202" spans="1:11" x14ac:dyDescent="0.25">
      <c r="A202" s="51">
        <f>'A) Base RI'!A201</f>
        <v>5722</v>
      </c>
      <c r="B202" s="34" t="str">
        <f>'A) Base RI'!B201</f>
        <v>Grens</v>
      </c>
      <c r="C202" s="15">
        <f>'A) Base RI'!AN201</f>
        <v>382</v>
      </c>
      <c r="D202" s="10">
        <f t="shared" si="12"/>
        <v>382</v>
      </c>
      <c r="E202" s="15">
        <f t="shared" si="11"/>
        <v>0</v>
      </c>
      <c r="F202" s="10">
        <f t="shared" si="11"/>
        <v>0</v>
      </c>
      <c r="G202" s="15">
        <f t="shared" si="11"/>
        <v>0</v>
      </c>
      <c r="H202" s="43">
        <f t="shared" si="11"/>
        <v>0</v>
      </c>
      <c r="I202" s="10">
        <f t="shared" si="11"/>
        <v>0</v>
      </c>
      <c r="J202" s="10">
        <f t="shared" si="13"/>
        <v>0</v>
      </c>
      <c r="K202" s="121">
        <f t="shared" si="14"/>
        <v>37738.832997987927</v>
      </c>
    </row>
    <row r="203" spans="1:11" x14ac:dyDescent="0.25">
      <c r="A203" s="51">
        <f>'A) Base RI'!A202</f>
        <v>5723</v>
      </c>
      <c r="B203" s="34" t="str">
        <f>'A) Base RI'!B202</f>
        <v>Mies</v>
      </c>
      <c r="C203" s="15">
        <f>'A) Base RI'!AN202</f>
        <v>2037</v>
      </c>
      <c r="D203" s="10">
        <f t="shared" si="12"/>
        <v>1000</v>
      </c>
      <c r="E203" s="15">
        <f t="shared" si="11"/>
        <v>1037</v>
      </c>
      <c r="F203" s="10">
        <f t="shared" si="11"/>
        <v>0</v>
      </c>
      <c r="G203" s="15">
        <f t="shared" si="11"/>
        <v>0</v>
      </c>
      <c r="H203" s="43">
        <f t="shared" si="11"/>
        <v>0</v>
      </c>
      <c r="I203" s="10">
        <f t="shared" si="11"/>
        <v>0</v>
      </c>
      <c r="J203" s="10">
        <f t="shared" si="13"/>
        <v>0</v>
      </c>
      <c r="K203" s="121">
        <f t="shared" si="14"/>
        <v>457361.06639839034</v>
      </c>
    </row>
    <row r="204" spans="1:11" x14ac:dyDescent="0.25">
      <c r="A204" s="51">
        <f>'A) Base RI'!A203</f>
        <v>5724</v>
      </c>
      <c r="B204" s="34" t="str">
        <f>'A) Base RI'!B203</f>
        <v>Nyon</v>
      </c>
      <c r="C204" s="15">
        <f>'A) Base RI'!AN203</f>
        <v>20551</v>
      </c>
      <c r="D204" s="10">
        <f t="shared" si="12"/>
        <v>1000</v>
      </c>
      <c r="E204" s="15">
        <f t="shared" si="11"/>
        <v>2000</v>
      </c>
      <c r="F204" s="10">
        <f t="shared" si="11"/>
        <v>2000</v>
      </c>
      <c r="G204" s="15">
        <f t="shared" si="11"/>
        <v>4000</v>
      </c>
      <c r="H204" s="43">
        <f t="shared" si="11"/>
        <v>3000</v>
      </c>
      <c r="I204" s="10">
        <f t="shared" si="11"/>
        <v>3000</v>
      </c>
      <c r="J204" s="10">
        <f t="shared" si="13"/>
        <v>5551</v>
      </c>
      <c r="K204" s="121">
        <f t="shared" si="14"/>
        <v>15390478.973843057</v>
      </c>
    </row>
    <row r="205" spans="1:11" x14ac:dyDescent="0.25">
      <c r="A205" s="51">
        <f>'A) Base RI'!A204</f>
        <v>5725</v>
      </c>
      <c r="B205" s="34" t="str">
        <f>'A) Base RI'!B204</f>
        <v>Prangins</v>
      </c>
      <c r="C205" s="15">
        <f>'A) Base RI'!AN204</f>
        <v>4069</v>
      </c>
      <c r="D205" s="10">
        <f t="shared" si="12"/>
        <v>1000</v>
      </c>
      <c r="E205" s="15">
        <f t="shared" si="11"/>
        <v>2000</v>
      </c>
      <c r="F205" s="10">
        <f t="shared" si="11"/>
        <v>1069</v>
      </c>
      <c r="G205" s="15">
        <f t="shared" si="11"/>
        <v>0</v>
      </c>
      <c r="H205" s="43">
        <f t="shared" si="11"/>
        <v>0</v>
      </c>
      <c r="I205" s="10">
        <f t="shared" si="11"/>
        <v>0</v>
      </c>
      <c r="J205" s="10">
        <f t="shared" si="13"/>
        <v>0</v>
      </c>
      <c r="K205" s="121">
        <f t="shared" si="14"/>
        <v>1318389.3360160966</v>
      </c>
    </row>
    <row r="206" spans="1:11" x14ac:dyDescent="0.25">
      <c r="A206" s="51">
        <f>'A) Base RI'!A205</f>
        <v>5726</v>
      </c>
      <c r="B206" s="34" t="str">
        <f>'A) Base RI'!B205</f>
        <v>La Rippe</v>
      </c>
      <c r="C206" s="15">
        <f>'A) Base RI'!AN205</f>
        <v>1164</v>
      </c>
      <c r="D206" s="10">
        <f t="shared" si="12"/>
        <v>1000</v>
      </c>
      <c r="E206" s="15">
        <f t="shared" si="11"/>
        <v>164</v>
      </c>
      <c r="F206" s="10">
        <f t="shared" si="11"/>
        <v>0</v>
      </c>
      <c r="G206" s="15">
        <f t="shared" si="11"/>
        <v>0</v>
      </c>
      <c r="H206" s="43">
        <f t="shared" si="11"/>
        <v>0</v>
      </c>
      <c r="I206" s="10">
        <f t="shared" si="11"/>
        <v>0</v>
      </c>
      <c r="J206" s="10">
        <f t="shared" si="13"/>
        <v>0</v>
      </c>
      <c r="K206" s="121">
        <f t="shared" si="14"/>
        <v>155499.79879275654</v>
      </c>
    </row>
    <row r="207" spans="1:11" x14ac:dyDescent="0.25">
      <c r="A207" s="51">
        <f>'A) Base RI'!A206</f>
        <v>5727</v>
      </c>
      <c r="B207" s="34" t="str">
        <f>'A) Base RI'!B206</f>
        <v>Saint-Cergue</v>
      </c>
      <c r="C207" s="15">
        <f>'A) Base RI'!AN206</f>
        <v>2559</v>
      </c>
      <c r="D207" s="10">
        <f t="shared" si="12"/>
        <v>1000</v>
      </c>
      <c r="E207" s="15">
        <f t="shared" si="11"/>
        <v>1559</v>
      </c>
      <c r="F207" s="10">
        <f t="shared" si="11"/>
        <v>0</v>
      </c>
      <c r="G207" s="15">
        <f t="shared" si="11"/>
        <v>0</v>
      </c>
      <c r="H207" s="43">
        <f t="shared" si="11"/>
        <v>0</v>
      </c>
      <c r="I207" s="10">
        <f t="shared" si="11"/>
        <v>0</v>
      </c>
      <c r="J207" s="10">
        <f t="shared" si="13"/>
        <v>0</v>
      </c>
      <c r="K207" s="121">
        <f t="shared" si="14"/>
        <v>637855.43259557337</v>
      </c>
    </row>
    <row r="208" spans="1:11" x14ac:dyDescent="0.25">
      <c r="A208" s="51">
        <f>'A) Base RI'!A207</f>
        <v>5728</v>
      </c>
      <c r="B208" s="34" t="str">
        <f>'A) Base RI'!B207</f>
        <v>Signy-Avenex</v>
      </c>
      <c r="C208" s="15">
        <f>'A) Base RI'!AN207</f>
        <v>567</v>
      </c>
      <c r="D208" s="10">
        <f t="shared" si="12"/>
        <v>567</v>
      </c>
      <c r="E208" s="15">
        <f t="shared" si="11"/>
        <v>0</v>
      </c>
      <c r="F208" s="10">
        <f t="shared" si="11"/>
        <v>0</v>
      </c>
      <c r="G208" s="15">
        <f t="shared" ref="E208:I259" si="15">IF($C208&gt;G$4,IF($C208&lt;G$5,$C208-G$4,G$5-G$4),0)</f>
        <v>0</v>
      </c>
      <c r="H208" s="43">
        <f t="shared" si="15"/>
        <v>0</v>
      </c>
      <c r="I208" s="10">
        <f t="shared" si="15"/>
        <v>0</v>
      </c>
      <c r="J208" s="10">
        <f t="shared" si="13"/>
        <v>0</v>
      </c>
      <c r="K208" s="121">
        <f t="shared" si="14"/>
        <v>56015.492957746479</v>
      </c>
    </row>
    <row r="209" spans="1:11" x14ac:dyDescent="0.25">
      <c r="A209" s="51">
        <f>'A) Base RI'!A208</f>
        <v>5729</v>
      </c>
      <c r="B209" s="34" t="str">
        <f>'A) Base RI'!B208</f>
        <v>Tannay</v>
      </c>
      <c r="C209" s="15">
        <f>'A) Base RI'!AN208</f>
        <v>1585</v>
      </c>
      <c r="D209" s="10">
        <f t="shared" si="12"/>
        <v>1000</v>
      </c>
      <c r="E209" s="15">
        <f t="shared" si="15"/>
        <v>585</v>
      </c>
      <c r="F209" s="10">
        <f t="shared" si="15"/>
        <v>0</v>
      </c>
      <c r="G209" s="15">
        <f t="shared" si="15"/>
        <v>0</v>
      </c>
      <c r="H209" s="43">
        <f t="shared" si="15"/>
        <v>0</v>
      </c>
      <c r="I209" s="10">
        <f t="shared" si="15"/>
        <v>0</v>
      </c>
      <c r="J209" s="10">
        <f t="shared" si="13"/>
        <v>0</v>
      </c>
      <c r="K209" s="121">
        <f t="shared" si="14"/>
        <v>301070.92555331986</v>
      </c>
    </row>
    <row r="210" spans="1:11" x14ac:dyDescent="0.25">
      <c r="A210" s="51">
        <f>'A) Base RI'!A209</f>
        <v>5730</v>
      </c>
      <c r="B210" s="34" t="str">
        <f>'A) Base RI'!B209</f>
        <v>Trélex</v>
      </c>
      <c r="C210" s="15">
        <f>'A) Base RI'!AN209</f>
        <v>1405</v>
      </c>
      <c r="D210" s="10">
        <f t="shared" si="12"/>
        <v>1000</v>
      </c>
      <c r="E210" s="15">
        <f t="shared" si="15"/>
        <v>405</v>
      </c>
      <c r="F210" s="10">
        <f t="shared" si="15"/>
        <v>0</v>
      </c>
      <c r="G210" s="15">
        <f t="shared" si="15"/>
        <v>0</v>
      </c>
      <c r="H210" s="43">
        <f t="shared" si="15"/>
        <v>0</v>
      </c>
      <c r="I210" s="10">
        <f t="shared" si="15"/>
        <v>0</v>
      </c>
      <c r="J210" s="10">
        <f t="shared" si="13"/>
        <v>0</v>
      </c>
      <c r="K210" s="121">
        <f t="shared" si="14"/>
        <v>238831.48893360159</v>
      </c>
    </row>
    <row r="211" spans="1:11" x14ac:dyDescent="0.25">
      <c r="A211" s="51">
        <f>'A) Base RI'!A210</f>
        <v>5731</v>
      </c>
      <c r="B211" s="34" t="str">
        <f>'A) Base RI'!B210</f>
        <v>Le Vaud</v>
      </c>
      <c r="C211" s="15">
        <f>'A) Base RI'!AN210</f>
        <v>1283</v>
      </c>
      <c r="D211" s="10">
        <f t="shared" si="12"/>
        <v>1000</v>
      </c>
      <c r="E211" s="15">
        <f t="shared" si="15"/>
        <v>283</v>
      </c>
      <c r="F211" s="10">
        <f t="shared" si="15"/>
        <v>0</v>
      </c>
      <c r="G211" s="15">
        <f t="shared" si="15"/>
        <v>0</v>
      </c>
      <c r="H211" s="43">
        <f t="shared" si="15"/>
        <v>0</v>
      </c>
      <c r="I211" s="10">
        <f t="shared" si="15"/>
        <v>0</v>
      </c>
      <c r="J211" s="10">
        <f t="shared" si="13"/>
        <v>0</v>
      </c>
      <c r="K211" s="121">
        <f t="shared" si="14"/>
        <v>196646.98189134808</v>
      </c>
    </row>
    <row r="212" spans="1:11" x14ac:dyDescent="0.25">
      <c r="A212" s="51">
        <f>'A) Base RI'!A211</f>
        <v>5732</v>
      </c>
      <c r="B212" s="34" t="str">
        <f>'A) Base RI'!B211</f>
        <v>Vich</v>
      </c>
      <c r="C212" s="15">
        <f>'A) Base RI'!AN211</f>
        <v>1026</v>
      </c>
      <c r="D212" s="10">
        <f t="shared" si="12"/>
        <v>1000</v>
      </c>
      <c r="E212" s="15">
        <f t="shared" si="15"/>
        <v>26</v>
      </c>
      <c r="F212" s="10">
        <f t="shared" si="15"/>
        <v>0</v>
      </c>
      <c r="G212" s="15">
        <f t="shared" si="15"/>
        <v>0</v>
      </c>
      <c r="H212" s="43">
        <f t="shared" si="15"/>
        <v>0</v>
      </c>
      <c r="I212" s="10">
        <f t="shared" si="15"/>
        <v>0</v>
      </c>
      <c r="J212" s="10">
        <f t="shared" si="13"/>
        <v>0</v>
      </c>
      <c r="K212" s="121">
        <f t="shared" si="14"/>
        <v>107782.89738430583</v>
      </c>
    </row>
    <row r="213" spans="1:11" x14ac:dyDescent="0.25">
      <c r="A213" s="51">
        <f>'A) Base RI'!A212</f>
        <v>5741</v>
      </c>
      <c r="B213" s="34" t="str">
        <f>'A) Base RI'!B212</f>
        <v>L'Abergement</v>
      </c>
      <c r="C213" s="15">
        <f>'A) Base RI'!AN212</f>
        <v>237</v>
      </c>
      <c r="D213" s="10">
        <f t="shared" si="12"/>
        <v>237</v>
      </c>
      <c r="E213" s="15">
        <f t="shared" si="15"/>
        <v>0</v>
      </c>
      <c r="F213" s="10">
        <f t="shared" si="15"/>
        <v>0</v>
      </c>
      <c r="G213" s="15">
        <f t="shared" si="15"/>
        <v>0</v>
      </c>
      <c r="H213" s="43">
        <f t="shared" si="15"/>
        <v>0</v>
      </c>
      <c r="I213" s="10">
        <f t="shared" si="15"/>
        <v>0</v>
      </c>
      <c r="J213" s="10">
        <f t="shared" si="13"/>
        <v>0</v>
      </c>
      <c r="K213" s="121">
        <f t="shared" si="14"/>
        <v>23413.883299798792</v>
      </c>
    </row>
    <row r="214" spans="1:11" x14ac:dyDescent="0.25">
      <c r="A214" s="51">
        <f>'A) Base RI'!A213</f>
        <v>5742</v>
      </c>
      <c r="B214" s="34" t="str">
        <f>'A) Base RI'!B213</f>
        <v>Agiez</v>
      </c>
      <c r="C214" s="15">
        <f>'A) Base RI'!AN213</f>
        <v>314</v>
      </c>
      <c r="D214" s="10">
        <f t="shared" si="12"/>
        <v>314</v>
      </c>
      <c r="E214" s="15">
        <f t="shared" si="15"/>
        <v>0</v>
      </c>
      <c r="F214" s="10">
        <f t="shared" si="15"/>
        <v>0</v>
      </c>
      <c r="G214" s="15">
        <f t="shared" si="15"/>
        <v>0</v>
      </c>
      <c r="H214" s="43">
        <f t="shared" si="15"/>
        <v>0</v>
      </c>
      <c r="I214" s="10">
        <f t="shared" si="15"/>
        <v>0</v>
      </c>
      <c r="J214" s="10">
        <f t="shared" si="13"/>
        <v>0</v>
      </c>
      <c r="K214" s="121">
        <f t="shared" si="14"/>
        <v>31020.925553319921</v>
      </c>
    </row>
    <row r="215" spans="1:11" x14ac:dyDescent="0.25">
      <c r="A215" s="51">
        <f>'A) Base RI'!A214</f>
        <v>5743</v>
      </c>
      <c r="B215" s="34" t="str">
        <f>'A) Base RI'!B214</f>
        <v>Arnex-sur-Orbe</v>
      </c>
      <c r="C215" s="15">
        <f>'A) Base RI'!AN214</f>
        <v>642</v>
      </c>
      <c r="D215" s="10">
        <f t="shared" si="12"/>
        <v>642</v>
      </c>
      <c r="E215" s="15">
        <f t="shared" si="15"/>
        <v>0</v>
      </c>
      <c r="F215" s="10">
        <f t="shared" si="15"/>
        <v>0</v>
      </c>
      <c r="G215" s="15">
        <f t="shared" si="15"/>
        <v>0</v>
      </c>
      <c r="H215" s="43">
        <f t="shared" si="15"/>
        <v>0</v>
      </c>
      <c r="I215" s="10">
        <f t="shared" si="15"/>
        <v>0</v>
      </c>
      <c r="J215" s="10">
        <f t="shared" si="13"/>
        <v>0</v>
      </c>
      <c r="K215" s="121">
        <f t="shared" si="14"/>
        <v>63424.949698189135</v>
      </c>
    </row>
    <row r="216" spans="1:11" x14ac:dyDescent="0.25">
      <c r="A216" s="51">
        <f>'A) Base RI'!A215</f>
        <v>5744</v>
      </c>
      <c r="B216" s="34" t="str">
        <f>'A) Base RI'!B215</f>
        <v>Ballaigues</v>
      </c>
      <c r="C216" s="15">
        <f>'A) Base RI'!AN215</f>
        <v>1095</v>
      </c>
      <c r="D216" s="10">
        <f t="shared" si="12"/>
        <v>1000</v>
      </c>
      <c r="E216" s="15">
        <f t="shared" si="15"/>
        <v>95</v>
      </c>
      <c r="F216" s="10">
        <f t="shared" si="15"/>
        <v>0</v>
      </c>
      <c r="G216" s="15">
        <f t="shared" si="15"/>
        <v>0</v>
      </c>
      <c r="H216" s="43">
        <f t="shared" si="15"/>
        <v>0</v>
      </c>
      <c r="I216" s="10">
        <f t="shared" si="15"/>
        <v>0</v>
      </c>
      <c r="J216" s="10">
        <f t="shared" si="13"/>
        <v>0</v>
      </c>
      <c r="K216" s="121">
        <f t="shared" si="14"/>
        <v>131641.34808853117</v>
      </c>
    </row>
    <row r="217" spans="1:11" x14ac:dyDescent="0.25">
      <c r="A217" s="51">
        <f>'A) Base RI'!A216</f>
        <v>5745</v>
      </c>
      <c r="B217" s="34" t="str">
        <f>'A) Base RI'!B216</f>
        <v>Baulmes</v>
      </c>
      <c r="C217" s="15">
        <f>'A) Base RI'!AN216</f>
        <v>1053</v>
      </c>
      <c r="D217" s="10">
        <f t="shared" si="12"/>
        <v>1000</v>
      </c>
      <c r="E217" s="15">
        <f t="shared" si="15"/>
        <v>53</v>
      </c>
      <c r="F217" s="10">
        <f t="shared" si="15"/>
        <v>0</v>
      </c>
      <c r="G217" s="15">
        <f t="shared" si="15"/>
        <v>0</v>
      </c>
      <c r="H217" s="43">
        <f t="shared" si="15"/>
        <v>0</v>
      </c>
      <c r="I217" s="10">
        <f t="shared" si="15"/>
        <v>0</v>
      </c>
      <c r="J217" s="10">
        <f t="shared" si="13"/>
        <v>0</v>
      </c>
      <c r="K217" s="121">
        <f t="shared" si="14"/>
        <v>117118.81287726358</v>
      </c>
    </row>
    <row r="218" spans="1:11" x14ac:dyDescent="0.25">
      <c r="A218" s="51">
        <f>'A) Base RI'!A217</f>
        <v>5746</v>
      </c>
      <c r="B218" s="34" t="str">
        <f>'A) Base RI'!B217</f>
        <v>Bavois</v>
      </c>
      <c r="C218" s="15">
        <f>'A) Base RI'!AN217</f>
        <v>928</v>
      </c>
      <c r="D218" s="10">
        <f t="shared" si="12"/>
        <v>928</v>
      </c>
      <c r="E218" s="15">
        <f t="shared" si="15"/>
        <v>0</v>
      </c>
      <c r="F218" s="10">
        <f t="shared" si="15"/>
        <v>0</v>
      </c>
      <c r="G218" s="15">
        <f t="shared" si="15"/>
        <v>0</v>
      </c>
      <c r="H218" s="43">
        <f t="shared" si="15"/>
        <v>0</v>
      </c>
      <c r="I218" s="10">
        <f t="shared" si="15"/>
        <v>0</v>
      </c>
      <c r="J218" s="10">
        <f t="shared" si="13"/>
        <v>0</v>
      </c>
      <c r="K218" s="121">
        <f t="shared" si="14"/>
        <v>91679.67806841046</v>
      </c>
    </row>
    <row r="219" spans="1:11" x14ac:dyDescent="0.25">
      <c r="A219" s="51">
        <f>'A) Base RI'!A218</f>
        <v>5747</v>
      </c>
      <c r="B219" s="34" t="str">
        <f>'A) Base RI'!B218</f>
        <v>Bofflens</v>
      </c>
      <c r="C219" s="15">
        <f>'A) Base RI'!AN218</f>
        <v>191</v>
      </c>
      <c r="D219" s="10">
        <f t="shared" si="12"/>
        <v>191</v>
      </c>
      <c r="E219" s="15">
        <f t="shared" si="15"/>
        <v>0</v>
      </c>
      <c r="F219" s="10">
        <f t="shared" si="15"/>
        <v>0</v>
      </c>
      <c r="G219" s="15">
        <f t="shared" si="15"/>
        <v>0</v>
      </c>
      <c r="H219" s="43">
        <f t="shared" si="15"/>
        <v>0</v>
      </c>
      <c r="I219" s="10">
        <f t="shared" si="15"/>
        <v>0</v>
      </c>
      <c r="J219" s="10">
        <f t="shared" si="13"/>
        <v>0</v>
      </c>
      <c r="K219" s="121">
        <f t="shared" si="14"/>
        <v>18869.416498993964</v>
      </c>
    </row>
    <row r="220" spans="1:11" x14ac:dyDescent="0.25">
      <c r="A220" s="51">
        <f>'A) Base RI'!A219</f>
        <v>5748</v>
      </c>
      <c r="B220" s="34" t="str">
        <f>'A) Base RI'!B219</f>
        <v>Bretonnières</v>
      </c>
      <c r="C220" s="15">
        <f>'A) Base RI'!AN219</f>
        <v>262</v>
      </c>
      <c r="D220" s="10">
        <f t="shared" si="12"/>
        <v>262</v>
      </c>
      <c r="E220" s="15">
        <f t="shared" si="15"/>
        <v>0</v>
      </c>
      <c r="F220" s="10">
        <f t="shared" si="15"/>
        <v>0</v>
      </c>
      <c r="G220" s="15">
        <f t="shared" si="15"/>
        <v>0</v>
      </c>
      <c r="H220" s="43">
        <f t="shared" si="15"/>
        <v>0</v>
      </c>
      <c r="I220" s="10">
        <f t="shared" si="15"/>
        <v>0</v>
      </c>
      <c r="J220" s="10">
        <f t="shared" si="13"/>
        <v>0</v>
      </c>
      <c r="K220" s="121">
        <f t="shared" si="14"/>
        <v>25883.702213279677</v>
      </c>
    </row>
    <row r="221" spans="1:11" x14ac:dyDescent="0.25">
      <c r="A221" s="51">
        <f>'A) Base RI'!A220</f>
        <v>5749</v>
      </c>
      <c r="B221" s="34" t="str">
        <f>'A) Base RI'!B220</f>
        <v>Chavornay</v>
      </c>
      <c r="C221" s="15">
        <f>'A) Base RI'!AN220</f>
        <v>4908</v>
      </c>
      <c r="D221" s="10">
        <f t="shared" si="12"/>
        <v>1000</v>
      </c>
      <c r="E221" s="15">
        <f t="shared" si="15"/>
        <v>2000</v>
      </c>
      <c r="F221" s="10">
        <f t="shared" si="15"/>
        <v>1908</v>
      </c>
      <c r="G221" s="15">
        <f t="shared" si="15"/>
        <v>0</v>
      </c>
      <c r="H221" s="43">
        <f t="shared" si="15"/>
        <v>0</v>
      </c>
      <c r="I221" s="10">
        <f t="shared" si="15"/>
        <v>0</v>
      </c>
      <c r="J221" s="10">
        <f t="shared" si="13"/>
        <v>0</v>
      </c>
      <c r="K221" s="121">
        <f t="shared" si="14"/>
        <v>1732824.949698189</v>
      </c>
    </row>
    <row r="222" spans="1:11" x14ac:dyDescent="0.25">
      <c r="A222" s="51">
        <f>'A) Base RI'!A221</f>
        <v>5750</v>
      </c>
      <c r="B222" s="34" t="str">
        <f>'A) Base RI'!B221</f>
        <v>Les Clées</v>
      </c>
      <c r="C222" s="15">
        <f>'A) Base RI'!AN221</f>
        <v>181</v>
      </c>
      <c r="D222" s="10">
        <f t="shared" si="12"/>
        <v>181</v>
      </c>
      <c r="E222" s="15">
        <f t="shared" si="15"/>
        <v>0</v>
      </c>
      <c r="F222" s="10">
        <f t="shared" si="15"/>
        <v>0</v>
      </c>
      <c r="G222" s="15">
        <f t="shared" si="15"/>
        <v>0</v>
      </c>
      <c r="H222" s="43">
        <f t="shared" si="15"/>
        <v>0</v>
      </c>
      <c r="I222" s="10">
        <f t="shared" si="15"/>
        <v>0</v>
      </c>
      <c r="J222" s="10">
        <f t="shared" si="13"/>
        <v>0</v>
      </c>
      <c r="K222" s="121">
        <f t="shared" si="14"/>
        <v>17881.488933601609</v>
      </c>
    </row>
    <row r="223" spans="1:11" x14ac:dyDescent="0.25">
      <c r="A223" s="51">
        <f>'A) Base RI'!A222</f>
        <v>5752</v>
      </c>
      <c r="B223" s="34" t="str">
        <f>'A) Base RI'!B222</f>
        <v>Croy</v>
      </c>
      <c r="C223" s="15">
        <f>'A) Base RI'!AN222</f>
        <v>379</v>
      </c>
      <c r="D223" s="10">
        <f t="shared" si="12"/>
        <v>379</v>
      </c>
      <c r="E223" s="15">
        <f t="shared" si="15"/>
        <v>0</v>
      </c>
      <c r="F223" s="10">
        <f t="shared" si="15"/>
        <v>0</v>
      </c>
      <c r="G223" s="15">
        <f t="shared" si="15"/>
        <v>0</v>
      </c>
      <c r="H223" s="43">
        <f t="shared" si="15"/>
        <v>0</v>
      </c>
      <c r="I223" s="10">
        <f t="shared" si="15"/>
        <v>0</v>
      </c>
      <c r="J223" s="10">
        <f t="shared" si="13"/>
        <v>0</v>
      </c>
      <c r="K223" s="121">
        <f t="shared" si="14"/>
        <v>37442.45472837022</v>
      </c>
    </row>
    <row r="224" spans="1:11" x14ac:dyDescent="0.25">
      <c r="A224" s="51">
        <f>'A) Base RI'!A223</f>
        <v>5754</v>
      </c>
      <c r="B224" s="34" t="str">
        <f>'A) Base RI'!B223</f>
        <v>Juriens</v>
      </c>
      <c r="C224" s="15">
        <f>'A) Base RI'!AN223</f>
        <v>309</v>
      </c>
      <c r="D224" s="10">
        <f t="shared" si="12"/>
        <v>309</v>
      </c>
      <c r="E224" s="15">
        <f t="shared" si="15"/>
        <v>0</v>
      </c>
      <c r="F224" s="10">
        <f t="shared" si="15"/>
        <v>0</v>
      </c>
      <c r="G224" s="15">
        <f t="shared" si="15"/>
        <v>0</v>
      </c>
      <c r="H224" s="43">
        <f t="shared" si="15"/>
        <v>0</v>
      </c>
      <c r="I224" s="10">
        <f t="shared" si="15"/>
        <v>0</v>
      </c>
      <c r="J224" s="10">
        <f t="shared" si="13"/>
        <v>0</v>
      </c>
      <c r="K224" s="121">
        <f t="shared" si="14"/>
        <v>30526.961770623744</v>
      </c>
    </row>
    <row r="225" spans="1:11" x14ac:dyDescent="0.25">
      <c r="A225" s="51">
        <f>'A) Base RI'!A224</f>
        <v>5755</v>
      </c>
      <c r="B225" s="34" t="str">
        <f>'A) Base RI'!B224</f>
        <v>Lignerolle</v>
      </c>
      <c r="C225" s="15">
        <f>'A) Base RI'!AN224</f>
        <v>417</v>
      </c>
      <c r="D225" s="10">
        <f t="shared" si="12"/>
        <v>417</v>
      </c>
      <c r="E225" s="15">
        <f t="shared" si="15"/>
        <v>0</v>
      </c>
      <c r="F225" s="10">
        <f t="shared" si="15"/>
        <v>0</v>
      </c>
      <c r="G225" s="15">
        <f t="shared" si="15"/>
        <v>0</v>
      </c>
      <c r="H225" s="43">
        <f t="shared" si="15"/>
        <v>0</v>
      </c>
      <c r="I225" s="10">
        <f t="shared" si="15"/>
        <v>0</v>
      </c>
      <c r="J225" s="10">
        <f t="shared" si="13"/>
        <v>0</v>
      </c>
      <c r="K225" s="121">
        <f t="shared" si="14"/>
        <v>41196.579476861167</v>
      </c>
    </row>
    <row r="226" spans="1:11" x14ac:dyDescent="0.25">
      <c r="A226" s="51">
        <f>'A) Base RI'!A225</f>
        <v>5756</v>
      </c>
      <c r="B226" s="34" t="str">
        <f>'A) Base RI'!B225</f>
        <v>Montcherand</v>
      </c>
      <c r="C226" s="15">
        <f>'A) Base RI'!AN225</f>
        <v>482</v>
      </c>
      <c r="D226" s="10">
        <f t="shared" si="12"/>
        <v>482</v>
      </c>
      <c r="E226" s="15">
        <f t="shared" si="15"/>
        <v>0</v>
      </c>
      <c r="F226" s="10">
        <f t="shared" si="15"/>
        <v>0</v>
      </c>
      <c r="G226" s="15">
        <f t="shared" si="15"/>
        <v>0</v>
      </c>
      <c r="H226" s="43">
        <f t="shared" si="15"/>
        <v>0</v>
      </c>
      <c r="I226" s="10">
        <f t="shared" si="15"/>
        <v>0</v>
      </c>
      <c r="J226" s="10">
        <f t="shared" si="13"/>
        <v>0</v>
      </c>
      <c r="K226" s="121">
        <f t="shared" si="14"/>
        <v>47618.108651911469</v>
      </c>
    </row>
    <row r="227" spans="1:11" x14ac:dyDescent="0.25">
      <c r="A227" s="51">
        <f>'A) Base RI'!A226</f>
        <v>5757</v>
      </c>
      <c r="B227" s="34" t="str">
        <f>'A) Base RI'!B226</f>
        <v>Orbe</v>
      </c>
      <c r="C227" s="15">
        <f>'A) Base RI'!AN226</f>
        <v>6985</v>
      </c>
      <c r="D227" s="10">
        <f t="shared" si="12"/>
        <v>1000</v>
      </c>
      <c r="E227" s="15">
        <f t="shared" si="15"/>
        <v>2000</v>
      </c>
      <c r="F227" s="10">
        <f t="shared" si="15"/>
        <v>2000</v>
      </c>
      <c r="G227" s="15">
        <f t="shared" si="15"/>
        <v>1985</v>
      </c>
      <c r="H227" s="43">
        <f t="shared" si="15"/>
        <v>0</v>
      </c>
      <c r="I227" s="10">
        <f t="shared" si="15"/>
        <v>0</v>
      </c>
      <c r="J227" s="10">
        <f t="shared" si="13"/>
        <v>0</v>
      </c>
      <c r="K227" s="121">
        <f t="shared" si="14"/>
        <v>2954891.3480885308</v>
      </c>
    </row>
    <row r="228" spans="1:11" x14ac:dyDescent="0.25">
      <c r="A228" s="51">
        <f>'A) Base RI'!A227</f>
        <v>5758</v>
      </c>
      <c r="B228" s="34" t="str">
        <f>'A) Base RI'!B227</f>
        <v>La Praz</v>
      </c>
      <c r="C228" s="15">
        <f>'A) Base RI'!AN227</f>
        <v>160</v>
      </c>
      <c r="D228" s="10">
        <f t="shared" si="12"/>
        <v>160</v>
      </c>
      <c r="E228" s="15">
        <f t="shared" si="15"/>
        <v>0</v>
      </c>
      <c r="F228" s="10">
        <f t="shared" si="15"/>
        <v>0</v>
      </c>
      <c r="G228" s="15">
        <f t="shared" si="15"/>
        <v>0</v>
      </c>
      <c r="H228" s="43">
        <f t="shared" si="15"/>
        <v>0</v>
      </c>
      <c r="I228" s="10">
        <f t="shared" si="15"/>
        <v>0</v>
      </c>
      <c r="J228" s="10">
        <f t="shared" si="13"/>
        <v>0</v>
      </c>
      <c r="K228" s="121">
        <f t="shared" si="14"/>
        <v>15806.841046277666</v>
      </c>
    </row>
    <row r="229" spans="1:11" x14ac:dyDescent="0.25">
      <c r="A229" s="51">
        <f>'A) Base RI'!A228</f>
        <v>5759</v>
      </c>
      <c r="B229" s="34" t="str">
        <f>'A) Base RI'!B228</f>
        <v>Premier</v>
      </c>
      <c r="C229" s="15">
        <f>'A) Base RI'!AN228</f>
        <v>210</v>
      </c>
      <c r="D229" s="10">
        <f t="shared" si="12"/>
        <v>210</v>
      </c>
      <c r="E229" s="15">
        <f t="shared" si="15"/>
        <v>0</v>
      </c>
      <c r="F229" s="10">
        <f t="shared" si="15"/>
        <v>0</v>
      </c>
      <c r="G229" s="15">
        <f t="shared" si="15"/>
        <v>0</v>
      </c>
      <c r="H229" s="43">
        <f t="shared" si="15"/>
        <v>0</v>
      </c>
      <c r="I229" s="10">
        <f t="shared" si="15"/>
        <v>0</v>
      </c>
      <c r="J229" s="10">
        <f t="shared" si="13"/>
        <v>0</v>
      </c>
      <c r="K229" s="121">
        <f t="shared" si="14"/>
        <v>20746.478873239437</v>
      </c>
    </row>
    <row r="230" spans="1:11" x14ac:dyDescent="0.25">
      <c r="A230" s="51">
        <f>'A) Base RI'!A229</f>
        <v>5760</v>
      </c>
      <c r="B230" s="34" t="str">
        <f>'A) Base RI'!B229</f>
        <v>Rances</v>
      </c>
      <c r="C230" s="15">
        <f>'A) Base RI'!AN229</f>
        <v>485</v>
      </c>
      <c r="D230" s="10">
        <f t="shared" si="12"/>
        <v>485</v>
      </c>
      <c r="E230" s="15">
        <f t="shared" si="15"/>
        <v>0</v>
      </c>
      <c r="F230" s="10">
        <f t="shared" si="15"/>
        <v>0</v>
      </c>
      <c r="G230" s="15">
        <f t="shared" si="15"/>
        <v>0</v>
      </c>
      <c r="H230" s="43">
        <f t="shared" si="15"/>
        <v>0</v>
      </c>
      <c r="I230" s="10">
        <f t="shared" si="15"/>
        <v>0</v>
      </c>
      <c r="J230" s="10">
        <f t="shared" si="13"/>
        <v>0</v>
      </c>
      <c r="K230" s="121">
        <f t="shared" si="14"/>
        <v>47914.486921529176</v>
      </c>
    </row>
    <row r="231" spans="1:11" x14ac:dyDescent="0.25">
      <c r="A231" s="51">
        <f>'A) Base RI'!A230</f>
        <v>5761</v>
      </c>
      <c r="B231" s="34" t="str">
        <f>'A) Base RI'!B230</f>
        <v>Romainmôtier-Envy</v>
      </c>
      <c r="C231" s="15">
        <f>'A) Base RI'!AN230</f>
        <v>551</v>
      </c>
      <c r="D231" s="10">
        <f t="shared" si="12"/>
        <v>551</v>
      </c>
      <c r="E231" s="15">
        <f t="shared" si="15"/>
        <v>0</v>
      </c>
      <c r="F231" s="10">
        <f t="shared" si="15"/>
        <v>0</v>
      </c>
      <c r="G231" s="15">
        <f t="shared" si="15"/>
        <v>0</v>
      </c>
      <c r="H231" s="43">
        <f t="shared" si="15"/>
        <v>0</v>
      </c>
      <c r="I231" s="10">
        <f t="shared" si="15"/>
        <v>0</v>
      </c>
      <c r="J231" s="10">
        <f t="shared" si="13"/>
        <v>0</v>
      </c>
      <c r="K231" s="121">
        <f t="shared" si="14"/>
        <v>54434.80885311871</v>
      </c>
    </row>
    <row r="232" spans="1:11" x14ac:dyDescent="0.25">
      <c r="A232" s="51">
        <f>'A) Base RI'!A231</f>
        <v>5762</v>
      </c>
      <c r="B232" s="34" t="str">
        <f>'A) Base RI'!B231</f>
        <v>Sergey</v>
      </c>
      <c r="C232" s="15">
        <f>'A) Base RI'!AN231</f>
        <v>137</v>
      </c>
      <c r="D232" s="10">
        <f t="shared" si="12"/>
        <v>137</v>
      </c>
      <c r="E232" s="15">
        <f t="shared" si="15"/>
        <v>0</v>
      </c>
      <c r="F232" s="10">
        <f t="shared" si="15"/>
        <v>0</v>
      </c>
      <c r="G232" s="15">
        <f t="shared" si="15"/>
        <v>0</v>
      </c>
      <c r="H232" s="43">
        <f t="shared" si="15"/>
        <v>0</v>
      </c>
      <c r="I232" s="10">
        <f t="shared" si="15"/>
        <v>0</v>
      </c>
      <c r="J232" s="10">
        <f t="shared" si="13"/>
        <v>0</v>
      </c>
      <c r="K232" s="121">
        <f t="shared" si="14"/>
        <v>13534.607645875252</v>
      </c>
    </row>
    <row r="233" spans="1:11" x14ac:dyDescent="0.25">
      <c r="A233" s="51">
        <f>'A) Base RI'!A232</f>
        <v>5763</v>
      </c>
      <c r="B233" s="34" t="str">
        <f>'A) Base RI'!B232</f>
        <v>Valeyres-sous-Rances</v>
      </c>
      <c r="C233" s="15">
        <f>'A) Base RI'!AN232</f>
        <v>631</v>
      </c>
      <c r="D233" s="10">
        <f t="shared" si="12"/>
        <v>631</v>
      </c>
      <c r="E233" s="15">
        <f t="shared" si="15"/>
        <v>0</v>
      </c>
      <c r="F233" s="10">
        <f t="shared" si="15"/>
        <v>0</v>
      </c>
      <c r="G233" s="15">
        <f t="shared" si="15"/>
        <v>0</v>
      </c>
      <c r="H233" s="43">
        <f t="shared" si="15"/>
        <v>0</v>
      </c>
      <c r="I233" s="10">
        <f t="shared" si="15"/>
        <v>0</v>
      </c>
      <c r="J233" s="10">
        <f t="shared" si="13"/>
        <v>0</v>
      </c>
      <c r="K233" s="121">
        <f t="shared" si="14"/>
        <v>62338.229376257543</v>
      </c>
    </row>
    <row r="234" spans="1:11" x14ac:dyDescent="0.25">
      <c r="A234" s="51">
        <f>'A) Base RI'!A233</f>
        <v>5764</v>
      </c>
      <c r="B234" s="34" t="str">
        <f>'A) Base RI'!B233</f>
        <v>Vallorbe</v>
      </c>
      <c r="C234" s="15">
        <f>'A) Base RI'!AN233</f>
        <v>3851</v>
      </c>
      <c r="D234" s="10">
        <f t="shared" si="12"/>
        <v>1000</v>
      </c>
      <c r="E234" s="15">
        <f t="shared" si="15"/>
        <v>2000</v>
      </c>
      <c r="F234" s="10">
        <f t="shared" si="15"/>
        <v>851</v>
      </c>
      <c r="G234" s="15">
        <f t="shared" si="15"/>
        <v>0</v>
      </c>
      <c r="H234" s="43">
        <f t="shared" si="15"/>
        <v>0</v>
      </c>
      <c r="I234" s="10">
        <f t="shared" si="15"/>
        <v>0</v>
      </c>
      <c r="J234" s="10">
        <f t="shared" si="13"/>
        <v>0</v>
      </c>
      <c r="K234" s="121">
        <f t="shared" si="14"/>
        <v>1210705.23138833</v>
      </c>
    </row>
    <row r="235" spans="1:11" x14ac:dyDescent="0.25">
      <c r="A235" s="51">
        <f>'A) Base RI'!A234</f>
        <v>5765</v>
      </c>
      <c r="B235" s="34" t="str">
        <f>'A) Base RI'!B234</f>
        <v>Vaulion</v>
      </c>
      <c r="C235" s="15">
        <f>'A) Base RI'!AN234</f>
        <v>482</v>
      </c>
      <c r="D235" s="10">
        <f t="shared" ref="D235:D298" si="16">IF($C235&gt;D$4,IF($C235&lt;D$5,$C235-D$4,D$5-D$4),0)</f>
        <v>482</v>
      </c>
      <c r="E235" s="15">
        <f t="shared" si="15"/>
        <v>0</v>
      </c>
      <c r="F235" s="10">
        <f t="shared" si="15"/>
        <v>0</v>
      </c>
      <c r="G235" s="15">
        <f t="shared" si="15"/>
        <v>0</v>
      </c>
      <c r="H235" s="43">
        <f t="shared" si="15"/>
        <v>0</v>
      </c>
      <c r="I235" s="10">
        <f t="shared" si="15"/>
        <v>0</v>
      </c>
      <c r="J235" s="10">
        <f t="shared" si="13"/>
        <v>0</v>
      </c>
      <c r="K235" s="121">
        <f t="shared" si="14"/>
        <v>47618.108651911469</v>
      </c>
    </row>
    <row r="236" spans="1:11" x14ac:dyDescent="0.25">
      <c r="A236" s="51">
        <f>'A) Base RI'!A235</f>
        <v>5766</v>
      </c>
      <c r="B236" s="34" t="str">
        <f>'A) Base RI'!B235</f>
        <v>Vuiteboeuf</v>
      </c>
      <c r="C236" s="15">
        <f>'A) Base RI'!AN235</f>
        <v>574</v>
      </c>
      <c r="D236" s="10">
        <f t="shared" si="16"/>
        <v>574</v>
      </c>
      <c r="E236" s="15">
        <f t="shared" si="15"/>
        <v>0</v>
      </c>
      <c r="F236" s="10">
        <f t="shared" si="15"/>
        <v>0</v>
      </c>
      <c r="G236" s="15">
        <f t="shared" si="15"/>
        <v>0</v>
      </c>
      <c r="H236" s="43">
        <f t="shared" si="15"/>
        <v>0</v>
      </c>
      <c r="I236" s="10">
        <f t="shared" si="15"/>
        <v>0</v>
      </c>
      <c r="J236" s="10">
        <f t="shared" si="13"/>
        <v>0</v>
      </c>
      <c r="K236" s="121">
        <f t="shared" si="14"/>
        <v>56707.042253521126</v>
      </c>
    </row>
    <row r="237" spans="1:11" x14ac:dyDescent="0.25">
      <c r="A237" s="51">
        <f>'A) Base RI'!A236</f>
        <v>5785</v>
      </c>
      <c r="B237" s="34" t="str">
        <f>'A) Base RI'!B236</f>
        <v>Corcelles-le-Jorat</v>
      </c>
      <c r="C237" s="15">
        <f>'A) Base RI'!AN236</f>
        <v>460</v>
      </c>
      <c r="D237" s="10">
        <f t="shared" si="16"/>
        <v>460</v>
      </c>
      <c r="E237" s="15">
        <f t="shared" si="15"/>
        <v>0</v>
      </c>
      <c r="F237" s="10">
        <f t="shared" si="15"/>
        <v>0</v>
      </c>
      <c r="G237" s="15">
        <f t="shared" si="15"/>
        <v>0</v>
      </c>
      <c r="H237" s="43">
        <f t="shared" si="15"/>
        <v>0</v>
      </c>
      <c r="I237" s="10">
        <f t="shared" si="15"/>
        <v>0</v>
      </c>
      <c r="J237" s="10">
        <f t="shared" si="13"/>
        <v>0</v>
      </c>
      <c r="K237" s="121">
        <f t="shared" si="14"/>
        <v>45444.668008048291</v>
      </c>
    </row>
    <row r="238" spans="1:11" x14ac:dyDescent="0.25">
      <c r="A238" s="51">
        <f>'A) Base RI'!A237</f>
        <v>5788</v>
      </c>
      <c r="B238" s="34" t="str">
        <f>'A) Base RI'!B237</f>
        <v>Essertes</v>
      </c>
      <c r="C238" s="15">
        <f>'A) Base RI'!AN237</f>
        <v>346</v>
      </c>
      <c r="D238" s="10">
        <f t="shared" si="16"/>
        <v>346</v>
      </c>
      <c r="E238" s="15">
        <f t="shared" si="15"/>
        <v>0</v>
      </c>
      <c r="F238" s="10">
        <f t="shared" si="15"/>
        <v>0</v>
      </c>
      <c r="G238" s="15">
        <f t="shared" si="15"/>
        <v>0</v>
      </c>
      <c r="H238" s="43">
        <f t="shared" si="15"/>
        <v>0</v>
      </c>
      <c r="I238" s="10">
        <f t="shared" si="15"/>
        <v>0</v>
      </c>
      <c r="J238" s="10">
        <f t="shared" si="13"/>
        <v>0</v>
      </c>
      <c r="K238" s="121">
        <f t="shared" si="14"/>
        <v>34182.293762575449</v>
      </c>
    </row>
    <row r="239" spans="1:11" x14ac:dyDescent="0.25">
      <c r="A239" s="51">
        <f>'A) Base RI'!A238</f>
        <v>5790</v>
      </c>
      <c r="B239" s="34" t="str">
        <f>'A) Base RI'!B238</f>
        <v>Maracon</v>
      </c>
      <c r="C239" s="15">
        <f>'A) Base RI'!AN238</f>
        <v>477</v>
      </c>
      <c r="D239" s="10">
        <f t="shared" si="16"/>
        <v>477</v>
      </c>
      <c r="E239" s="15">
        <f t="shared" si="15"/>
        <v>0</v>
      </c>
      <c r="F239" s="10">
        <f t="shared" si="15"/>
        <v>0</v>
      </c>
      <c r="G239" s="15">
        <f t="shared" si="15"/>
        <v>0</v>
      </c>
      <c r="H239" s="43">
        <f t="shared" si="15"/>
        <v>0</v>
      </c>
      <c r="I239" s="10">
        <f t="shared" si="15"/>
        <v>0</v>
      </c>
      <c r="J239" s="10">
        <f t="shared" si="13"/>
        <v>0</v>
      </c>
      <c r="K239" s="121">
        <f t="shared" si="14"/>
        <v>47124.144869215292</v>
      </c>
    </row>
    <row r="240" spans="1:11" x14ac:dyDescent="0.25">
      <c r="A240" s="51">
        <f>'A) Base RI'!A239</f>
        <v>5792</v>
      </c>
      <c r="B240" s="34" t="str">
        <f>'A) Base RI'!B239</f>
        <v>Montpreveyres</v>
      </c>
      <c r="C240" s="15">
        <f>'A) Base RI'!AN239</f>
        <v>648</v>
      </c>
      <c r="D240" s="10">
        <f t="shared" si="16"/>
        <v>648</v>
      </c>
      <c r="E240" s="15">
        <f t="shared" si="15"/>
        <v>0</v>
      </c>
      <c r="F240" s="10">
        <f t="shared" si="15"/>
        <v>0</v>
      </c>
      <c r="G240" s="15">
        <f t="shared" si="15"/>
        <v>0</v>
      </c>
      <c r="H240" s="43">
        <f t="shared" si="15"/>
        <v>0</v>
      </c>
      <c r="I240" s="10">
        <f t="shared" si="15"/>
        <v>0</v>
      </c>
      <c r="J240" s="10">
        <f t="shared" si="13"/>
        <v>0</v>
      </c>
      <c r="K240" s="121">
        <f t="shared" si="14"/>
        <v>64017.706237424551</v>
      </c>
    </row>
    <row r="241" spans="1:11" x14ac:dyDescent="0.25">
      <c r="A241" s="51">
        <f>'A) Base RI'!A240</f>
        <v>5798</v>
      </c>
      <c r="B241" s="34" t="str">
        <f>'A) Base RI'!B240</f>
        <v>Ropraz</v>
      </c>
      <c r="C241" s="15">
        <f>'A) Base RI'!AN240</f>
        <v>450</v>
      </c>
      <c r="D241" s="10">
        <f t="shared" si="16"/>
        <v>450</v>
      </c>
      <c r="E241" s="15">
        <f t="shared" si="15"/>
        <v>0</v>
      </c>
      <c r="F241" s="10">
        <f t="shared" si="15"/>
        <v>0</v>
      </c>
      <c r="G241" s="15">
        <f t="shared" si="15"/>
        <v>0</v>
      </c>
      <c r="H241" s="43">
        <f t="shared" si="15"/>
        <v>0</v>
      </c>
      <c r="I241" s="10">
        <f t="shared" si="15"/>
        <v>0</v>
      </c>
      <c r="J241" s="10">
        <f t="shared" si="13"/>
        <v>0</v>
      </c>
      <c r="K241" s="121">
        <f t="shared" si="14"/>
        <v>44456.740442655937</v>
      </c>
    </row>
    <row r="242" spans="1:11" x14ac:dyDescent="0.25">
      <c r="A242" s="51">
        <f>'A) Base RI'!A241</f>
        <v>5799</v>
      </c>
      <c r="B242" s="34" t="str">
        <f>'A) Base RI'!B241</f>
        <v>Servion</v>
      </c>
      <c r="C242" s="15">
        <f>'A) Base RI'!AN241</f>
        <v>1904</v>
      </c>
      <c r="D242" s="10">
        <f t="shared" si="16"/>
        <v>1000</v>
      </c>
      <c r="E242" s="15">
        <f t="shared" si="15"/>
        <v>904</v>
      </c>
      <c r="F242" s="10">
        <f t="shared" si="15"/>
        <v>0</v>
      </c>
      <c r="G242" s="15">
        <f t="shared" si="15"/>
        <v>0</v>
      </c>
      <c r="H242" s="43">
        <f t="shared" si="15"/>
        <v>0</v>
      </c>
      <c r="I242" s="10">
        <f t="shared" si="15"/>
        <v>0</v>
      </c>
      <c r="J242" s="10">
        <f t="shared" si="13"/>
        <v>0</v>
      </c>
      <c r="K242" s="121">
        <f t="shared" si="14"/>
        <v>411373.03822937625</v>
      </c>
    </row>
    <row r="243" spans="1:11" x14ac:dyDescent="0.25">
      <c r="A243" s="51">
        <f>'A) Base RI'!A242</f>
        <v>5803</v>
      </c>
      <c r="B243" s="34" t="str">
        <f>'A) Base RI'!B242</f>
        <v>Vulliens</v>
      </c>
      <c r="C243" s="15">
        <f>'A) Base RI'!AN242</f>
        <v>515</v>
      </c>
      <c r="D243" s="10">
        <f t="shared" si="16"/>
        <v>515</v>
      </c>
      <c r="E243" s="15">
        <f t="shared" si="15"/>
        <v>0</v>
      </c>
      <c r="F243" s="10">
        <f t="shared" si="15"/>
        <v>0</v>
      </c>
      <c r="G243" s="15">
        <f t="shared" si="15"/>
        <v>0</v>
      </c>
      <c r="H243" s="43">
        <f t="shared" si="15"/>
        <v>0</v>
      </c>
      <c r="I243" s="10">
        <f t="shared" si="15"/>
        <v>0</v>
      </c>
      <c r="J243" s="10">
        <f t="shared" si="13"/>
        <v>0</v>
      </c>
      <c r="K243" s="121">
        <f t="shared" si="14"/>
        <v>50878.269617706239</v>
      </c>
    </row>
    <row r="244" spans="1:11" x14ac:dyDescent="0.25">
      <c r="A244" s="51">
        <f>'A) Base RI'!A243</f>
        <v>5804</v>
      </c>
      <c r="B244" s="34" t="str">
        <f>'A) Base RI'!B243</f>
        <v>Jorat-Menthue</v>
      </c>
      <c r="C244" s="15">
        <f>'A) Base RI'!AN243</f>
        <v>1532</v>
      </c>
      <c r="D244" s="10">
        <f t="shared" si="16"/>
        <v>1000</v>
      </c>
      <c r="E244" s="15">
        <f t="shared" si="15"/>
        <v>532</v>
      </c>
      <c r="F244" s="10">
        <f t="shared" si="15"/>
        <v>0</v>
      </c>
      <c r="G244" s="15">
        <f t="shared" si="15"/>
        <v>0</v>
      </c>
      <c r="H244" s="43">
        <f t="shared" si="15"/>
        <v>0</v>
      </c>
      <c r="I244" s="10">
        <f t="shared" si="15"/>
        <v>0</v>
      </c>
      <c r="J244" s="10">
        <f t="shared" si="13"/>
        <v>0</v>
      </c>
      <c r="K244" s="121">
        <f t="shared" si="14"/>
        <v>282744.86921529169</v>
      </c>
    </row>
    <row r="245" spans="1:11" x14ac:dyDescent="0.25">
      <c r="A245" s="51">
        <f>'A) Base RI'!A244</f>
        <v>5805</v>
      </c>
      <c r="B245" s="34" t="str">
        <f>'A) Base RI'!B244</f>
        <v>Oron</v>
      </c>
      <c r="C245" s="15">
        <f>'A) Base RI'!AN244</f>
        <v>5463</v>
      </c>
      <c r="D245" s="10">
        <f t="shared" si="16"/>
        <v>1000</v>
      </c>
      <c r="E245" s="15">
        <f t="shared" si="15"/>
        <v>2000</v>
      </c>
      <c r="F245" s="10">
        <f t="shared" si="15"/>
        <v>2000</v>
      </c>
      <c r="G245" s="15">
        <f t="shared" si="15"/>
        <v>463</v>
      </c>
      <c r="H245" s="43">
        <f t="shared" si="15"/>
        <v>0</v>
      </c>
      <c r="I245" s="10">
        <f t="shared" si="15"/>
        <v>0</v>
      </c>
      <c r="J245" s="10">
        <f t="shared" si="13"/>
        <v>0</v>
      </c>
      <c r="K245" s="121">
        <f t="shared" si="14"/>
        <v>2052715.8953722334</v>
      </c>
    </row>
    <row r="246" spans="1:11" x14ac:dyDescent="0.25">
      <c r="A246" s="51">
        <f>'A) Base RI'!A245</f>
        <v>5806</v>
      </c>
      <c r="B246" s="34" t="str">
        <f>'A) Base RI'!B245</f>
        <v>Jorat-Mézières</v>
      </c>
      <c r="C246" s="15">
        <f>'A) Base RI'!AN245</f>
        <v>2850</v>
      </c>
      <c r="D246" s="10">
        <f t="shared" si="16"/>
        <v>1000</v>
      </c>
      <c r="E246" s="15">
        <f t="shared" si="15"/>
        <v>1850</v>
      </c>
      <c r="F246" s="10">
        <f t="shared" si="15"/>
        <v>0</v>
      </c>
      <c r="G246" s="15">
        <f t="shared" si="15"/>
        <v>0</v>
      </c>
      <c r="H246" s="43">
        <f t="shared" si="15"/>
        <v>0</v>
      </c>
      <c r="I246" s="10">
        <f t="shared" si="15"/>
        <v>0</v>
      </c>
      <c r="J246" s="10">
        <f t="shared" si="13"/>
        <v>0</v>
      </c>
      <c r="K246" s="121">
        <f t="shared" si="14"/>
        <v>738475.85513078468</v>
      </c>
    </row>
    <row r="247" spans="1:11" x14ac:dyDescent="0.25">
      <c r="A247" s="51">
        <f>'A) Base RI'!A246</f>
        <v>5812</v>
      </c>
      <c r="B247" s="34" t="str">
        <f>'A) Base RI'!B246</f>
        <v>Champtauroz</v>
      </c>
      <c r="C247" s="15">
        <f>'A) Base RI'!AN246</f>
        <v>128</v>
      </c>
      <c r="D247" s="10">
        <f t="shared" si="16"/>
        <v>128</v>
      </c>
      <c r="E247" s="15">
        <f t="shared" si="15"/>
        <v>0</v>
      </c>
      <c r="F247" s="10">
        <f t="shared" si="15"/>
        <v>0</v>
      </c>
      <c r="G247" s="15">
        <f t="shared" si="15"/>
        <v>0</v>
      </c>
      <c r="H247" s="43">
        <f t="shared" si="15"/>
        <v>0</v>
      </c>
      <c r="I247" s="10">
        <f t="shared" si="15"/>
        <v>0</v>
      </c>
      <c r="J247" s="10">
        <f t="shared" si="13"/>
        <v>0</v>
      </c>
      <c r="K247" s="121">
        <f t="shared" si="14"/>
        <v>12645.472837022133</v>
      </c>
    </row>
    <row r="248" spans="1:11" x14ac:dyDescent="0.25">
      <c r="A248" s="51">
        <f>'A) Base RI'!A247</f>
        <v>5813</v>
      </c>
      <c r="B248" s="34" t="str">
        <f>'A) Base RI'!B247</f>
        <v>Chevroux</v>
      </c>
      <c r="C248" s="15">
        <f>'A) Base RI'!AN247</f>
        <v>470</v>
      </c>
      <c r="D248" s="10">
        <f t="shared" si="16"/>
        <v>470</v>
      </c>
      <c r="E248" s="15">
        <f t="shared" si="15"/>
        <v>0</v>
      </c>
      <c r="F248" s="10">
        <f t="shared" si="15"/>
        <v>0</v>
      </c>
      <c r="G248" s="15">
        <f t="shared" si="15"/>
        <v>0</v>
      </c>
      <c r="H248" s="43">
        <f t="shared" si="15"/>
        <v>0</v>
      </c>
      <c r="I248" s="10">
        <f t="shared" si="15"/>
        <v>0</v>
      </c>
      <c r="J248" s="10">
        <f t="shared" si="13"/>
        <v>0</v>
      </c>
      <c r="K248" s="121">
        <f t="shared" si="14"/>
        <v>46432.595573440645</v>
      </c>
    </row>
    <row r="249" spans="1:11" x14ac:dyDescent="0.25">
      <c r="A249" s="51">
        <f>'A) Base RI'!A248</f>
        <v>5816</v>
      </c>
      <c r="B249" s="34" t="str">
        <f>'A) Base RI'!B248</f>
        <v>Corcelles-près-Payerne</v>
      </c>
      <c r="C249" s="15">
        <f>'A) Base RI'!AN248</f>
        <v>2448</v>
      </c>
      <c r="D249" s="10">
        <f t="shared" si="16"/>
        <v>1000</v>
      </c>
      <c r="E249" s="15">
        <f t="shared" si="15"/>
        <v>1448</v>
      </c>
      <c r="F249" s="10">
        <f t="shared" si="15"/>
        <v>0</v>
      </c>
      <c r="G249" s="15">
        <f t="shared" si="15"/>
        <v>0</v>
      </c>
      <c r="H249" s="43">
        <f t="shared" si="15"/>
        <v>0</v>
      </c>
      <c r="I249" s="10">
        <f t="shared" si="15"/>
        <v>0</v>
      </c>
      <c r="J249" s="10">
        <f t="shared" si="13"/>
        <v>0</v>
      </c>
      <c r="K249" s="121">
        <f t="shared" si="14"/>
        <v>599474.44668008038</v>
      </c>
    </row>
    <row r="250" spans="1:11" x14ac:dyDescent="0.25">
      <c r="A250" s="51">
        <f>'A) Base RI'!A249</f>
        <v>5817</v>
      </c>
      <c r="B250" s="34" t="str">
        <f>'A) Base RI'!B249</f>
        <v>Grandcour</v>
      </c>
      <c r="C250" s="15">
        <f>'A) Base RI'!AN249</f>
        <v>890</v>
      </c>
      <c r="D250" s="10">
        <f t="shared" si="16"/>
        <v>890</v>
      </c>
      <c r="E250" s="15">
        <f t="shared" si="15"/>
        <v>0</v>
      </c>
      <c r="F250" s="10">
        <f t="shared" si="15"/>
        <v>0</v>
      </c>
      <c r="G250" s="15">
        <f t="shared" si="15"/>
        <v>0</v>
      </c>
      <c r="H250" s="43">
        <f t="shared" si="15"/>
        <v>0</v>
      </c>
      <c r="I250" s="10">
        <f t="shared" si="15"/>
        <v>0</v>
      </c>
      <c r="J250" s="10">
        <f t="shared" si="13"/>
        <v>0</v>
      </c>
      <c r="K250" s="121">
        <f t="shared" si="14"/>
        <v>87925.55331991952</v>
      </c>
    </row>
    <row r="251" spans="1:11" x14ac:dyDescent="0.25">
      <c r="A251" s="51">
        <f>'A) Base RI'!A250</f>
        <v>5819</v>
      </c>
      <c r="B251" s="34" t="str">
        <f>'A) Base RI'!B250</f>
        <v>Henniez</v>
      </c>
      <c r="C251" s="15">
        <f>'A) Base RI'!AN250</f>
        <v>359</v>
      </c>
      <c r="D251" s="10">
        <f t="shared" si="16"/>
        <v>359</v>
      </c>
      <c r="E251" s="15">
        <f t="shared" si="15"/>
        <v>0</v>
      </c>
      <c r="F251" s="10">
        <f t="shared" si="15"/>
        <v>0</v>
      </c>
      <c r="G251" s="15">
        <f t="shared" si="15"/>
        <v>0</v>
      </c>
      <c r="H251" s="43">
        <f t="shared" si="15"/>
        <v>0</v>
      </c>
      <c r="I251" s="10">
        <f t="shared" si="15"/>
        <v>0</v>
      </c>
      <c r="J251" s="10">
        <f t="shared" si="13"/>
        <v>0</v>
      </c>
      <c r="K251" s="121">
        <f t="shared" si="14"/>
        <v>35466.599597585511</v>
      </c>
    </row>
    <row r="252" spans="1:11" x14ac:dyDescent="0.25">
      <c r="A252" s="51">
        <f>'A) Base RI'!A251</f>
        <v>5821</v>
      </c>
      <c r="B252" s="34" t="str">
        <f>'A) Base RI'!B251</f>
        <v>Missy</v>
      </c>
      <c r="C252" s="15">
        <f>'A) Base RI'!AN251</f>
        <v>352</v>
      </c>
      <c r="D252" s="10">
        <f t="shared" si="16"/>
        <v>352</v>
      </c>
      <c r="E252" s="15">
        <f t="shared" si="15"/>
        <v>0</v>
      </c>
      <c r="F252" s="10">
        <f t="shared" si="15"/>
        <v>0</v>
      </c>
      <c r="G252" s="15">
        <f t="shared" si="15"/>
        <v>0</v>
      </c>
      <c r="H252" s="43">
        <f t="shared" si="15"/>
        <v>0</v>
      </c>
      <c r="I252" s="10">
        <f t="shared" si="15"/>
        <v>0</v>
      </c>
      <c r="J252" s="10">
        <f t="shared" si="13"/>
        <v>0</v>
      </c>
      <c r="K252" s="121">
        <f t="shared" si="14"/>
        <v>34775.050301810865</v>
      </c>
    </row>
    <row r="253" spans="1:11" x14ac:dyDescent="0.25">
      <c r="A253" s="51">
        <f>'A) Base RI'!A252</f>
        <v>5822</v>
      </c>
      <c r="B253" s="34" t="str">
        <f>'A) Base RI'!B252</f>
        <v>Payerne</v>
      </c>
      <c r="C253" s="15">
        <f>'A) Base RI'!AN252</f>
        <v>9716</v>
      </c>
      <c r="D253" s="10">
        <f t="shared" si="16"/>
        <v>1000</v>
      </c>
      <c r="E253" s="15">
        <f t="shared" si="15"/>
        <v>2000</v>
      </c>
      <c r="F253" s="10">
        <f t="shared" si="15"/>
        <v>2000</v>
      </c>
      <c r="G253" s="15">
        <f t="shared" si="15"/>
        <v>4000</v>
      </c>
      <c r="H253" s="43">
        <f t="shared" si="15"/>
        <v>716</v>
      </c>
      <c r="I253" s="10">
        <f t="shared" si="15"/>
        <v>0</v>
      </c>
      <c r="J253" s="10">
        <f t="shared" si="13"/>
        <v>0</v>
      </c>
      <c r="K253" s="121">
        <f t="shared" si="14"/>
        <v>4750548.4909456745</v>
      </c>
    </row>
    <row r="254" spans="1:11" x14ac:dyDescent="0.25">
      <c r="A254" s="51">
        <f>'A) Base RI'!A253</f>
        <v>5827</v>
      </c>
      <c r="B254" s="34" t="str">
        <f>'A) Base RI'!B253</f>
        <v>Trey</v>
      </c>
      <c r="C254" s="15">
        <f>'A) Base RI'!AN253</f>
        <v>268</v>
      </c>
      <c r="D254" s="10">
        <f t="shared" si="16"/>
        <v>268</v>
      </c>
      <c r="E254" s="15">
        <f t="shared" si="15"/>
        <v>0</v>
      </c>
      <c r="F254" s="10">
        <f t="shared" si="15"/>
        <v>0</v>
      </c>
      <c r="G254" s="15">
        <f t="shared" si="15"/>
        <v>0</v>
      </c>
      <c r="H254" s="43">
        <f t="shared" si="15"/>
        <v>0</v>
      </c>
      <c r="I254" s="10">
        <f t="shared" si="15"/>
        <v>0</v>
      </c>
      <c r="J254" s="10">
        <f t="shared" si="13"/>
        <v>0</v>
      </c>
      <c r="K254" s="121">
        <f t="shared" si="14"/>
        <v>26476.458752515089</v>
      </c>
    </row>
    <row r="255" spans="1:11" x14ac:dyDescent="0.25">
      <c r="A255" s="51">
        <f>'A) Base RI'!A254</f>
        <v>5828</v>
      </c>
      <c r="B255" s="34" t="str">
        <f>'A) Base RI'!B254</f>
        <v>Treytorrens (Payerne)</v>
      </c>
      <c r="C255" s="15">
        <f>'A) Base RI'!AN254</f>
        <v>122</v>
      </c>
      <c r="D255" s="10">
        <f t="shared" si="16"/>
        <v>122</v>
      </c>
      <c r="E255" s="15">
        <f t="shared" si="15"/>
        <v>0</v>
      </c>
      <c r="F255" s="10">
        <f t="shared" si="15"/>
        <v>0</v>
      </c>
      <c r="G255" s="15">
        <f t="shared" si="15"/>
        <v>0</v>
      </c>
      <c r="H255" s="43">
        <f t="shared" si="15"/>
        <v>0</v>
      </c>
      <c r="I255" s="10">
        <f t="shared" si="15"/>
        <v>0</v>
      </c>
      <c r="J255" s="10">
        <f t="shared" si="13"/>
        <v>0</v>
      </c>
      <c r="K255" s="121">
        <f t="shared" si="14"/>
        <v>12052.716297786721</v>
      </c>
    </row>
    <row r="256" spans="1:11" x14ac:dyDescent="0.25">
      <c r="A256" s="51">
        <f>'A) Base RI'!A255</f>
        <v>5830</v>
      </c>
      <c r="B256" s="34" t="str">
        <f>'A) Base RI'!B255</f>
        <v>Villarzel</v>
      </c>
      <c r="C256" s="15">
        <f>'A) Base RI'!AN255</f>
        <v>417</v>
      </c>
      <c r="D256" s="10">
        <f t="shared" si="16"/>
        <v>417</v>
      </c>
      <c r="E256" s="15">
        <f t="shared" si="15"/>
        <v>0</v>
      </c>
      <c r="F256" s="10">
        <f t="shared" si="15"/>
        <v>0</v>
      </c>
      <c r="G256" s="15">
        <f t="shared" si="15"/>
        <v>0</v>
      </c>
      <c r="H256" s="43">
        <f t="shared" si="15"/>
        <v>0</v>
      </c>
      <c r="I256" s="10">
        <f t="shared" si="15"/>
        <v>0</v>
      </c>
      <c r="J256" s="10">
        <f t="shared" si="13"/>
        <v>0</v>
      </c>
      <c r="K256" s="121">
        <f t="shared" si="14"/>
        <v>41196.579476861167</v>
      </c>
    </row>
    <row r="257" spans="1:11" x14ac:dyDescent="0.25">
      <c r="A257" s="51">
        <f>'A) Base RI'!A256</f>
        <v>5831</v>
      </c>
      <c r="B257" s="34" t="str">
        <f>'A) Base RI'!B256</f>
        <v>Valbroye</v>
      </c>
      <c r="C257" s="15">
        <f>'A) Base RI'!AN256</f>
        <v>3035</v>
      </c>
      <c r="D257" s="10">
        <f t="shared" si="16"/>
        <v>1000</v>
      </c>
      <c r="E257" s="15">
        <f t="shared" si="15"/>
        <v>2000</v>
      </c>
      <c r="F257" s="10">
        <f t="shared" si="15"/>
        <v>35</v>
      </c>
      <c r="G257" s="15">
        <f t="shared" si="15"/>
        <v>0</v>
      </c>
      <c r="H257" s="43">
        <f t="shared" si="15"/>
        <v>0</v>
      </c>
      <c r="I257" s="10">
        <f t="shared" si="15"/>
        <v>0</v>
      </c>
      <c r="J257" s="10">
        <f t="shared" si="13"/>
        <v>0</v>
      </c>
      <c r="K257" s="121">
        <f t="shared" si="14"/>
        <v>807630.7847082495</v>
      </c>
    </row>
    <row r="258" spans="1:11" x14ac:dyDescent="0.25">
      <c r="A258" s="51">
        <f>'A) Base RI'!A257</f>
        <v>5841</v>
      </c>
      <c r="B258" s="34" t="str">
        <f>'A) Base RI'!B257</f>
        <v>Château-d'Oex</v>
      </c>
      <c r="C258" s="15">
        <f>'A) Base RI'!AN257</f>
        <v>3433</v>
      </c>
      <c r="D258" s="10">
        <f t="shared" si="16"/>
        <v>1000</v>
      </c>
      <c r="E258" s="15">
        <f t="shared" si="15"/>
        <v>2000</v>
      </c>
      <c r="F258" s="10">
        <f t="shared" si="15"/>
        <v>433</v>
      </c>
      <c r="G258" s="15">
        <f t="shared" si="15"/>
        <v>0</v>
      </c>
      <c r="H258" s="43">
        <f t="shared" si="15"/>
        <v>0</v>
      </c>
      <c r="I258" s="10">
        <f t="shared" si="15"/>
        <v>0</v>
      </c>
      <c r="J258" s="10">
        <f t="shared" si="13"/>
        <v>0</v>
      </c>
      <c r="K258" s="121">
        <f t="shared" si="14"/>
        <v>1004228.370221328</v>
      </c>
    </row>
    <row r="259" spans="1:11" x14ac:dyDescent="0.25">
      <c r="A259" s="51">
        <f>'A) Base RI'!A258</f>
        <v>5842</v>
      </c>
      <c r="B259" s="34" t="str">
        <f>'A) Base RI'!B258</f>
        <v>Rossinière</v>
      </c>
      <c r="C259" s="15">
        <f>'A) Base RI'!AN258</f>
        <v>545</v>
      </c>
      <c r="D259" s="10">
        <f t="shared" si="16"/>
        <v>545</v>
      </c>
      <c r="E259" s="15">
        <f t="shared" si="15"/>
        <v>0</v>
      </c>
      <c r="F259" s="10">
        <f t="shared" si="15"/>
        <v>0</v>
      </c>
      <c r="G259" s="15">
        <f t="shared" ref="E259:I310" si="17">IF($C259&gt;G$4,IF($C259&lt;G$5,$C259-G$4,G$5-G$4),0)</f>
        <v>0</v>
      </c>
      <c r="H259" s="43">
        <f t="shared" si="17"/>
        <v>0</v>
      </c>
      <c r="I259" s="10">
        <f t="shared" si="17"/>
        <v>0</v>
      </c>
      <c r="J259" s="10">
        <f t="shared" si="13"/>
        <v>0</v>
      </c>
      <c r="K259" s="121">
        <f t="shared" si="14"/>
        <v>53842.052313883301</v>
      </c>
    </row>
    <row r="260" spans="1:11" x14ac:dyDescent="0.25">
      <c r="A260" s="51">
        <f>'A) Base RI'!A259</f>
        <v>5843</v>
      </c>
      <c r="B260" s="34" t="str">
        <f>'A) Base RI'!B259</f>
        <v>Rougemont</v>
      </c>
      <c r="C260" s="15">
        <f>'A) Base RI'!AN259</f>
        <v>882</v>
      </c>
      <c r="D260" s="10">
        <f t="shared" si="16"/>
        <v>882</v>
      </c>
      <c r="E260" s="15">
        <f t="shared" si="17"/>
        <v>0</v>
      </c>
      <c r="F260" s="10">
        <f t="shared" si="17"/>
        <v>0</v>
      </c>
      <c r="G260" s="15">
        <f t="shared" si="17"/>
        <v>0</v>
      </c>
      <c r="H260" s="43">
        <f t="shared" si="17"/>
        <v>0</v>
      </c>
      <c r="I260" s="10">
        <f t="shared" si="17"/>
        <v>0</v>
      </c>
      <c r="J260" s="10">
        <f t="shared" si="13"/>
        <v>0</v>
      </c>
      <c r="K260" s="121">
        <f t="shared" si="14"/>
        <v>87135.211267605628</v>
      </c>
    </row>
    <row r="261" spans="1:11" x14ac:dyDescent="0.25">
      <c r="A261" s="51">
        <f>'A) Base RI'!A260</f>
        <v>5851</v>
      </c>
      <c r="B261" s="34" t="str">
        <f>'A) Base RI'!B260</f>
        <v>Allaman</v>
      </c>
      <c r="C261" s="15">
        <f>'A) Base RI'!AN260</f>
        <v>442</v>
      </c>
      <c r="D261" s="10">
        <f t="shared" si="16"/>
        <v>442</v>
      </c>
      <c r="E261" s="15">
        <f t="shared" si="17"/>
        <v>0</v>
      </c>
      <c r="F261" s="10">
        <f t="shared" si="17"/>
        <v>0</v>
      </c>
      <c r="G261" s="15">
        <f t="shared" si="17"/>
        <v>0</v>
      </c>
      <c r="H261" s="43">
        <f t="shared" si="17"/>
        <v>0</v>
      </c>
      <c r="I261" s="10">
        <f t="shared" si="17"/>
        <v>0</v>
      </c>
      <c r="J261" s="10">
        <f t="shared" si="13"/>
        <v>0</v>
      </c>
      <c r="K261" s="121">
        <f t="shared" si="14"/>
        <v>43666.398390342052</v>
      </c>
    </row>
    <row r="262" spans="1:11" x14ac:dyDescent="0.25">
      <c r="A262" s="51">
        <f>'A) Base RI'!A261</f>
        <v>5852</v>
      </c>
      <c r="B262" s="34" t="str">
        <f>'A) Base RI'!B261</f>
        <v>Bursinel</v>
      </c>
      <c r="C262" s="15">
        <f>'A) Base RI'!AN261</f>
        <v>488</v>
      </c>
      <c r="D262" s="10">
        <f t="shared" si="16"/>
        <v>488</v>
      </c>
      <c r="E262" s="15">
        <f t="shared" si="17"/>
        <v>0</v>
      </c>
      <c r="F262" s="10">
        <f t="shared" si="17"/>
        <v>0</v>
      </c>
      <c r="G262" s="15">
        <f t="shared" si="17"/>
        <v>0</v>
      </c>
      <c r="H262" s="43">
        <f t="shared" si="17"/>
        <v>0</v>
      </c>
      <c r="I262" s="10">
        <f t="shared" si="17"/>
        <v>0</v>
      </c>
      <c r="J262" s="10">
        <f t="shared" si="13"/>
        <v>0</v>
      </c>
      <c r="K262" s="121">
        <f t="shared" si="14"/>
        <v>48210.865191146884</v>
      </c>
    </row>
    <row r="263" spans="1:11" x14ac:dyDescent="0.25">
      <c r="A263" s="51">
        <f>'A) Base RI'!A262</f>
        <v>5853</v>
      </c>
      <c r="B263" s="34" t="str">
        <f>'A) Base RI'!B262</f>
        <v>Bursins</v>
      </c>
      <c r="C263" s="15">
        <f>'A) Base RI'!AN262</f>
        <v>745</v>
      </c>
      <c r="D263" s="10">
        <f t="shared" si="16"/>
        <v>745</v>
      </c>
      <c r="E263" s="15">
        <f t="shared" si="17"/>
        <v>0</v>
      </c>
      <c r="F263" s="10">
        <f t="shared" si="17"/>
        <v>0</v>
      </c>
      <c r="G263" s="15">
        <f t="shared" si="17"/>
        <v>0</v>
      </c>
      <c r="H263" s="43">
        <f t="shared" si="17"/>
        <v>0</v>
      </c>
      <c r="I263" s="10">
        <f t="shared" si="17"/>
        <v>0</v>
      </c>
      <c r="J263" s="10">
        <f t="shared" si="13"/>
        <v>0</v>
      </c>
      <c r="K263" s="121">
        <f t="shared" si="14"/>
        <v>73600.603621730377</v>
      </c>
    </row>
    <row r="264" spans="1:11" x14ac:dyDescent="0.25">
      <c r="A264" s="51">
        <f>'A) Base RI'!A263</f>
        <v>5854</v>
      </c>
      <c r="B264" s="34" t="str">
        <f>'A) Base RI'!B263</f>
        <v>Burtigny</v>
      </c>
      <c r="C264" s="15">
        <f>'A) Base RI'!AN263</f>
        <v>361</v>
      </c>
      <c r="D264" s="10">
        <f t="shared" si="16"/>
        <v>361</v>
      </c>
      <c r="E264" s="15">
        <f t="shared" si="17"/>
        <v>0</v>
      </c>
      <c r="F264" s="10">
        <f t="shared" si="17"/>
        <v>0</v>
      </c>
      <c r="G264" s="15">
        <f t="shared" si="17"/>
        <v>0</v>
      </c>
      <c r="H264" s="43">
        <f t="shared" si="17"/>
        <v>0</v>
      </c>
      <c r="I264" s="10">
        <f t="shared" si="17"/>
        <v>0</v>
      </c>
      <c r="J264" s="10">
        <f t="shared" si="13"/>
        <v>0</v>
      </c>
      <c r="K264" s="121">
        <f t="shared" si="14"/>
        <v>35664.185110663981</v>
      </c>
    </row>
    <row r="265" spans="1:11" x14ac:dyDescent="0.25">
      <c r="A265" s="51">
        <f>'A) Base RI'!A264</f>
        <v>5855</v>
      </c>
      <c r="B265" s="34" t="str">
        <f>'A) Base RI'!B264</f>
        <v>Dully</v>
      </c>
      <c r="C265" s="15">
        <f>'A) Base RI'!AN264</f>
        <v>640</v>
      </c>
      <c r="D265" s="10">
        <f t="shared" si="16"/>
        <v>640</v>
      </c>
      <c r="E265" s="15">
        <f t="shared" si="17"/>
        <v>0</v>
      </c>
      <c r="F265" s="10">
        <f t="shared" si="17"/>
        <v>0</v>
      </c>
      <c r="G265" s="15">
        <f t="shared" si="17"/>
        <v>0</v>
      </c>
      <c r="H265" s="43">
        <f t="shared" si="17"/>
        <v>0</v>
      </c>
      <c r="I265" s="10">
        <f t="shared" si="17"/>
        <v>0</v>
      </c>
      <c r="J265" s="10">
        <f t="shared" ref="J265:J316" si="18">IF(C265&gt;$J$4,C265-$J$4,0)</f>
        <v>0</v>
      </c>
      <c r="K265" s="121">
        <f t="shared" ref="K265:K316" si="19">(D265*D$7)+(E265*E$7)+(F265*F$7)+(G265*G$7)+(H265*H$7)+(I265*I$7)+(J265*J$7)</f>
        <v>63227.364185110666</v>
      </c>
    </row>
    <row r="266" spans="1:11" x14ac:dyDescent="0.25">
      <c r="A266" s="51">
        <f>'A) Base RI'!A265</f>
        <v>5856</v>
      </c>
      <c r="B266" s="34" t="str">
        <f>'A) Base RI'!B265</f>
        <v>Essertines-sur-Rolle</v>
      </c>
      <c r="C266" s="15">
        <f>'A) Base RI'!AN265</f>
        <v>696</v>
      </c>
      <c r="D266" s="10">
        <f t="shared" si="16"/>
        <v>696</v>
      </c>
      <c r="E266" s="15">
        <f t="shared" si="17"/>
        <v>0</v>
      </c>
      <c r="F266" s="10">
        <f t="shared" si="17"/>
        <v>0</v>
      </c>
      <c r="G266" s="15">
        <f t="shared" si="17"/>
        <v>0</v>
      </c>
      <c r="H266" s="43">
        <f t="shared" si="17"/>
        <v>0</v>
      </c>
      <c r="I266" s="10">
        <f t="shared" si="17"/>
        <v>0</v>
      </c>
      <c r="J266" s="10">
        <f t="shared" si="18"/>
        <v>0</v>
      </c>
      <c r="K266" s="121">
        <f t="shared" si="19"/>
        <v>68759.758551307852</v>
      </c>
    </row>
    <row r="267" spans="1:11" x14ac:dyDescent="0.25">
      <c r="A267" s="51">
        <f>'A) Base RI'!A266</f>
        <v>5857</v>
      </c>
      <c r="B267" s="34" t="str">
        <f>'A) Base RI'!B266</f>
        <v>Gilly</v>
      </c>
      <c r="C267" s="15">
        <f>'A) Base RI'!AN266</f>
        <v>1294</v>
      </c>
      <c r="D267" s="10">
        <f t="shared" si="16"/>
        <v>1000</v>
      </c>
      <c r="E267" s="15">
        <f t="shared" si="17"/>
        <v>294</v>
      </c>
      <c r="F267" s="10">
        <f t="shared" si="17"/>
        <v>0</v>
      </c>
      <c r="G267" s="15">
        <f t="shared" si="17"/>
        <v>0</v>
      </c>
      <c r="H267" s="43">
        <f t="shared" si="17"/>
        <v>0</v>
      </c>
      <c r="I267" s="10">
        <f t="shared" si="17"/>
        <v>0</v>
      </c>
      <c r="J267" s="10">
        <f t="shared" si="18"/>
        <v>0</v>
      </c>
      <c r="K267" s="121">
        <f t="shared" si="19"/>
        <v>200450.50301810866</v>
      </c>
    </row>
    <row r="268" spans="1:11" x14ac:dyDescent="0.25">
      <c r="A268" s="51">
        <f>'A) Base RI'!A267</f>
        <v>5858</v>
      </c>
      <c r="B268" s="34" t="str">
        <f>'A) Base RI'!B267</f>
        <v>Luins</v>
      </c>
      <c r="C268" s="15">
        <f>'A) Base RI'!AN267</f>
        <v>608</v>
      </c>
      <c r="D268" s="10">
        <f t="shared" si="16"/>
        <v>608</v>
      </c>
      <c r="E268" s="15">
        <f t="shared" si="17"/>
        <v>0</v>
      </c>
      <c r="F268" s="10">
        <f t="shared" si="17"/>
        <v>0</v>
      </c>
      <c r="G268" s="15">
        <f t="shared" si="17"/>
        <v>0</v>
      </c>
      <c r="H268" s="43">
        <f t="shared" si="17"/>
        <v>0</v>
      </c>
      <c r="I268" s="10">
        <f t="shared" si="17"/>
        <v>0</v>
      </c>
      <c r="J268" s="10">
        <f t="shared" si="18"/>
        <v>0</v>
      </c>
      <c r="K268" s="121">
        <f t="shared" si="19"/>
        <v>60065.995975855134</v>
      </c>
    </row>
    <row r="269" spans="1:11" x14ac:dyDescent="0.25">
      <c r="A269" s="51">
        <f>'A) Base RI'!A268</f>
        <v>5859</v>
      </c>
      <c r="B269" s="34" t="str">
        <f>'A) Base RI'!B268</f>
        <v>Mont-sur-Rolle</v>
      </c>
      <c r="C269" s="15">
        <f>'A) Base RI'!AN268</f>
        <v>2701</v>
      </c>
      <c r="D269" s="10">
        <f t="shared" si="16"/>
        <v>1000</v>
      </c>
      <c r="E269" s="15">
        <f t="shared" si="17"/>
        <v>1701</v>
      </c>
      <c r="F269" s="10">
        <f t="shared" si="17"/>
        <v>0</v>
      </c>
      <c r="G269" s="15">
        <f t="shared" si="17"/>
        <v>0</v>
      </c>
      <c r="H269" s="43">
        <f t="shared" si="17"/>
        <v>0</v>
      </c>
      <c r="I269" s="10">
        <f t="shared" si="17"/>
        <v>0</v>
      </c>
      <c r="J269" s="10">
        <f t="shared" si="18"/>
        <v>0</v>
      </c>
      <c r="K269" s="121">
        <f t="shared" si="19"/>
        <v>686955.43259557337</v>
      </c>
    </row>
    <row r="270" spans="1:11" x14ac:dyDescent="0.25">
      <c r="A270" s="51">
        <f>'A) Base RI'!A269</f>
        <v>5860</v>
      </c>
      <c r="B270" s="34" t="str">
        <f>'A) Base RI'!B269</f>
        <v>Perroy</v>
      </c>
      <c r="C270" s="15">
        <f>'A) Base RI'!AN269</f>
        <v>1514</v>
      </c>
      <c r="D270" s="10">
        <f t="shared" si="16"/>
        <v>1000</v>
      </c>
      <c r="E270" s="15">
        <f t="shared" si="17"/>
        <v>514</v>
      </c>
      <c r="F270" s="10">
        <f t="shared" si="17"/>
        <v>0</v>
      </c>
      <c r="G270" s="15">
        <f t="shared" si="17"/>
        <v>0</v>
      </c>
      <c r="H270" s="43">
        <f t="shared" si="17"/>
        <v>0</v>
      </c>
      <c r="I270" s="10">
        <f t="shared" si="17"/>
        <v>0</v>
      </c>
      <c r="J270" s="10">
        <f t="shared" si="18"/>
        <v>0</v>
      </c>
      <c r="K270" s="121">
        <f t="shared" si="19"/>
        <v>276520.92555331992</v>
      </c>
    </row>
    <row r="271" spans="1:11" x14ac:dyDescent="0.25">
      <c r="A271" s="51">
        <f>'A) Base RI'!A270</f>
        <v>5861</v>
      </c>
      <c r="B271" s="34" t="str">
        <f>'A) Base RI'!B270</f>
        <v>Rolle</v>
      </c>
      <c r="C271" s="15">
        <f>'A) Base RI'!AN270</f>
        <v>6225</v>
      </c>
      <c r="D271" s="10">
        <f t="shared" si="16"/>
        <v>1000</v>
      </c>
      <c r="E271" s="15">
        <f t="shared" si="17"/>
        <v>2000</v>
      </c>
      <c r="F271" s="10">
        <f t="shared" si="17"/>
        <v>2000</v>
      </c>
      <c r="G271" s="15">
        <f t="shared" si="17"/>
        <v>1225</v>
      </c>
      <c r="H271" s="43">
        <f t="shared" si="17"/>
        <v>0</v>
      </c>
      <c r="I271" s="10">
        <f t="shared" si="17"/>
        <v>0</v>
      </c>
      <c r="J271" s="10">
        <f t="shared" si="18"/>
        <v>0</v>
      </c>
      <c r="K271" s="121">
        <f t="shared" si="19"/>
        <v>2504396.3782696174</v>
      </c>
    </row>
    <row r="272" spans="1:11" x14ac:dyDescent="0.25">
      <c r="A272" s="51">
        <f>'A) Base RI'!A271</f>
        <v>5862</v>
      </c>
      <c r="B272" s="34" t="str">
        <f>'A) Base RI'!B271</f>
        <v>Tartegnin</v>
      </c>
      <c r="C272" s="15">
        <f>'A) Base RI'!AN271</f>
        <v>235</v>
      </c>
      <c r="D272" s="10">
        <f t="shared" si="16"/>
        <v>235</v>
      </c>
      <c r="E272" s="15">
        <f t="shared" si="17"/>
        <v>0</v>
      </c>
      <c r="F272" s="10">
        <f t="shared" si="17"/>
        <v>0</v>
      </c>
      <c r="G272" s="15">
        <f t="shared" si="17"/>
        <v>0</v>
      </c>
      <c r="H272" s="43">
        <f t="shared" si="17"/>
        <v>0</v>
      </c>
      <c r="I272" s="10">
        <f t="shared" si="17"/>
        <v>0</v>
      </c>
      <c r="J272" s="10">
        <f t="shared" si="18"/>
        <v>0</v>
      </c>
      <c r="K272" s="121">
        <f t="shared" si="19"/>
        <v>23216.297786720323</v>
      </c>
    </row>
    <row r="273" spans="1:11" x14ac:dyDescent="0.25">
      <c r="A273" s="51">
        <f>'A) Base RI'!A272</f>
        <v>5863</v>
      </c>
      <c r="B273" s="34" t="str">
        <f>'A) Base RI'!B272</f>
        <v>Vinzel</v>
      </c>
      <c r="C273" s="15">
        <f>'A) Base RI'!AN272</f>
        <v>371</v>
      </c>
      <c r="D273" s="10">
        <f t="shared" si="16"/>
        <v>371</v>
      </c>
      <c r="E273" s="15">
        <f t="shared" si="17"/>
        <v>0</v>
      </c>
      <c r="F273" s="10">
        <f t="shared" si="17"/>
        <v>0</v>
      </c>
      <c r="G273" s="15">
        <f t="shared" si="17"/>
        <v>0</v>
      </c>
      <c r="H273" s="43">
        <f t="shared" si="17"/>
        <v>0</v>
      </c>
      <c r="I273" s="10">
        <f t="shared" si="17"/>
        <v>0</v>
      </c>
      <c r="J273" s="10">
        <f t="shared" si="18"/>
        <v>0</v>
      </c>
      <c r="K273" s="121">
        <f t="shared" si="19"/>
        <v>36652.112676056335</v>
      </c>
    </row>
    <row r="274" spans="1:11" x14ac:dyDescent="0.25">
      <c r="A274" s="51">
        <f>'A) Base RI'!A273</f>
        <v>5871</v>
      </c>
      <c r="B274" s="34" t="str">
        <f>'A) Base RI'!B273</f>
        <v>L'Abbaye</v>
      </c>
      <c r="C274" s="15">
        <f>'A) Base RI'!AN273</f>
        <v>1492</v>
      </c>
      <c r="D274" s="10">
        <f t="shared" si="16"/>
        <v>1000</v>
      </c>
      <c r="E274" s="15">
        <f t="shared" si="17"/>
        <v>492</v>
      </c>
      <c r="F274" s="10">
        <f t="shared" si="17"/>
        <v>0</v>
      </c>
      <c r="G274" s="15">
        <f t="shared" si="17"/>
        <v>0</v>
      </c>
      <c r="H274" s="43">
        <f t="shared" si="17"/>
        <v>0</v>
      </c>
      <c r="I274" s="10">
        <f t="shared" si="17"/>
        <v>0</v>
      </c>
      <c r="J274" s="10">
        <f t="shared" si="18"/>
        <v>0</v>
      </c>
      <c r="K274" s="121">
        <f t="shared" si="19"/>
        <v>268913.88329979882</v>
      </c>
    </row>
    <row r="275" spans="1:11" x14ac:dyDescent="0.25">
      <c r="A275" s="51">
        <f>'A) Base RI'!A274</f>
        <v>5872</v>
      </c>
      <c r="B275" s="34" t="str">
        <f>'A) Base RI'!B274</f>
        <v>Le Chenit</v>
      </c>
      <c r="C275" s="15">
        <f>'A) Base RI'!AN274</f>
        <v>4612</v>
      </c>
      <c r="D275" s="10">
        <f t="shared" si="16"/>
        <v>1000</v>
      </c>
      <c r="E275" s="15">
        <f t="shared" si="17"/>
        <v>2000</v>
      </c>
      <c r="F275" s="10">
        <f t="shared" si="17"/>
        <v>1612</v>
      </c>
      <c r="G275" s="15">
        <f t="shared" si="17"/>
        <v>0</v>
      </c>
      <c r="H275" s="43">
        <f t="shared" si="17"/>
        <v>0</v>
      </c>
      <c r="I275" s="10">
        <f t="shared" si="17"/>
        <v>0</v>
      </c>
      <c r="J275" s="10">
        <f t="shared" si="18"/>
        <v>0</v>
      </c>
      <c r="K275" s="121">
        <f t="shared" si="19"/>
        <v>1586611.6700201207</v>
      </c>
    </row>
    <row r="276" spans="1:11" x14ac:dyDescent="0.25">
      <c r="A276" s="51">
        <f>'A) Base RI'!A275</f>
        <v>5873</v>
      </c>
      <c r="B276" s="34" t="str">
        <f>'A) Base RI'!B275</f>
        <v>Le Lieu</v>
      </c>
      <c r="C276" s="15">
        <f>'A) Base RI'!AN275</f>
        <v>869</v>
      </c>
      <c r="D276" s="10">
        <f t="shared" si="16"/>
        <v>869</v>
      </c>
      <c r="E276" s="15">
        <f t="shared" si="17"/>
        <v>0</v>
      </c>
      <c r="F276" s="10">
        <f t="shared" si="17"/>
        <v>0</v>
      </c>
      <c r="G276" s="15">
        <f t="shared" si="17"/>
        <v>0</v>
      </c>
      <c r="H276" s="43">
        <f t="shared" si="17"/>
        <v>0</v>
      </c>
      <c r="I276" s="10">
        <f t="shared" si="17"/>
        <v>0</v>
      </c>
      <c r="J276" s="10">
        <f t="shared" si="18"/>
        <v>0</v>
      </c>
      <c r="K276" s="121">
        <f t="shared" si="19"/>
        <v>85850.90543259558</v>
      </c>
    </row>
    <row r="277" spans="1:11" x14ac:dyDescent="0.25">
      <c r="A277" s="51">
        <f>'A) Base RI'!A276</f>
        <v>5881</v>
      </c>
      <c r="B277" s="34" t="str">
        <f>'A) Base RI'!B276</f>
        <v>Blonay</v>
      </c>
      <c r="C277" s="15">
        <f>'A) Base RI'!AN276</f>
        <v>6183</v>
      </c>
      <c r="D277" s="10">
        <f t="shared" si="16"/>
        <v>1000</v>
      </c>
      <c r="E277" s="15">
        <f t="shared" si="17"/>
        <v>2000</v>
      </c>
      <c r="F277" s="10">
        <f t="shared" si="17"/>
        <v>2000</v>
      </c>
      <c r="G277" s="15">
        <f t="shared" si="17"/>
        <v>1183</v>
      </c>
      <c r="H277" s="43">
        <f t="shared" si="17"/>
        <v>0</v>
      </c>
      <c r="I277" s="10">
        <f t="shared" si="17"/>
        <v>0</v>
      </c>
      <c r="J277" s="10">
        <f t="shared" si="18"/>
        <v>0</v>
      </c>
      <c r="K277" s="121">
        <f t="shared" si="19"/>
        <v>2479500.6036217301</v>
      </c>
    </row>
    <row r="278" spans="1:11" x14ac:dyDescent="0.25">
      <c r="A278" s="51">
        <f>'A) Base RI'!A277</f>
        <v>5882</v>
      </c>
      <c r="B278" s="34" t="str">
        <f>'A) Base RI'!B277</f>
        <v>Chardonne</v>
      </c>
      <c r="C278" s="15">
        <f>'A) Base RI'!AN277</f>
        <v>2921</v>
      </c>
      <c r="D278" s="10">
        <f t="shared" si="16"/>
        <v>1000</v>
      </c>
      <c r="E278" s="15">
        <f t="shared" si="17"/>
        <v>1921</v>
      </c>
      <c r="F278" s="10">
        <f t="shared" si="17"/>
        <v>0</v>
      </c>
      <c r="G278" s="15">
        <f t="shared" si="17"/>
        <v>0</v>
      </c>
      <c r="H278" s="43">
        <f t="shared" si="17"/>
        <v>0</v>
      </c>
      <c r="I278" s="10">
        <f t="shared" si="17"/>
        <v>0</v>
      </c>
      <c r="J278" s="10">
        <f t="shared" si="18"/>
        <v>0</v>
      </c>
      <c r="K278" s="121">
        <f t="shared" si="19"/>
        <v>763025.85513078468</v>
      </c>
    </row>
    <row r="279" spans="1:11" x14ac:dyDescent="0.25">
      <c r="A279" s="51">
        <f>'A) Base RI'!A278</f>
        <v>5883</v>
      </c>
      <c r="B279" s="34" t="str">
        <f>'A) Base RI'!B278</f>
        <v>Corseaux</v>
      </c>
      <c r="C279" s="15">
        <f>'A) Base RI'!AN278</f>
        <v>2289</v>
      </c>
      <c r="D279" s="10">
        <f t="shared" si="16"/>
        <v>1000</v>
      </c>
      <c r="E279" s="15">
        <f t="shared" si="17"/>
        <v>1289</v>
      </c>
      <c r="F279" s="10">
        <f t="shared" si="17"/>
        <v>0</v>
      </c>
      <c r="G279" s="15">
        <f t="shared" si="17"/>
        <v>0</v>
      </c>
      <c r="H279" s="43">
        <f t="shared" si="17"/>
        <v>0</v>
      </c>
      <c r="I279" s="10">
        <f t="shared" si="17"/>
        <v>0</v>
      </c>
      <c r="J279" s="10">
        <f t="shared" si="18"/>
        <v>0</v>
      </c>
      <c r="K279" s="121">
        <f t="shared" si="19"/>
        <v>544496.27766599599</v>
      </c>
    </row>
    <row r="280" spans="1:11" x14ac:dyDescent="0.25">
      <c r="A280" s="51">
        <f>'A) Base RI'!A279</f>
        <v>5884</v>
      </c>
      <c r="B280" s="34" t="str">
        <f>'A) Base RI'!B279</f>
        <v>Corsier-sur-Vevey</v>
      </c>
      <c r="C280" s="15">
        <f>'A) Base RI'!AN279</f>
        <v>3396</v>
      </c>
      <c r="D280" s="10">
        <f t="shared" si="16"/>
        <v>1000</v>
      </c>
      <c r="E280" s="15">
        <f t="shared" si="17"/>
        <v>2000</v>
      </c>
      <c r="F280" s="10">
        <f t="shared" si="17"/>
        <v>396</v>
      </c>
      <c r="G280" s="15">
        <f t="shared" si="17"/>
        <v>0</v>
      </c>
      <c r="H280" s="43">
        <f t="shared" si="17"/>
        <v>0</v>
      </c>
      <c r="I280" s="10">
        <f t="shared" si="17"/>
        <v>0</v>
      </c>
      <c r="J280" s="10">
        <f t="shared" si="18"/>
        <v>0</v>
      </c>
      <c r="K280" s="121">
        <f t="shared" si="19"/>
        <v>985951.71026156936</v>
      </c>
    </row>
    <row r="281" spans="1:11" x14ac:dyDescent="0.25">
      <c r="A281" s="51">
        <f>'A) Base RI'!A280</f>
        <v>5885</v>
      </c>
      <c r="B281" s="34" t="str">
        <f>'A) Base RI'!B280</f>
        <v>Jongny</v>
      </c>
      <c r="C281" s="15">
        <f>'A) Base RI'!AN280</f>
        <v>1549</v>
      </c>
      <c r="D281" s="10">
        <f t="shared" si="16"/>
        <v>1000</v>
      </c>
      <c r="E281" s="15">
        <f t="shared" si="17"/>
        <v>549</v>
      </c>
      <c r="F281" s="10">
        <f t="shared" si="17"/>
        <v>0</v>
      </c>
      <c r="G281" s="15">
        <f t="shared" si="17"/>
        <v>0</v>
      </c>
      <c r="H281" s="43">
        <f t="shared" si="17"/>
        <v>0</v>
      </c>
      <c r="I281" s="10">
        <f t="shared" si="17"/>
        <v>0</v>
      </c>
      <c r="J281" s="10">
        <f t="shared" si="18"/>
        <v>0</v>
      </c>
      <c r="K281" s="121">
        <f t="shared" si="19"/>
        <v>288623.03822937625</v>
      </c>
    </row>
    <row r="282" spans="1:11" x14ac:dyDescent="0.25">
      <c r="A282" s="51">
        <f>'A) Base RI'!A281</f>
        <v>5886</v>
      </c>
      <c r="B282" s="34" t="str">
        <f>'A) Base RI'!B281</f>
        <v>Montreux</v>
      </c>
      <c r="C282" s="15">
        <f>'A) Base RI'!AN281</f>
        <v>26653</v>
      </c>
      <c r="D282" s="10">
        <f t="shared" si="16"/>
        <v>1000</v>
      </c>
      <c r="E282" s="15">
        <f t="shared" si="17"/>
        <v>2000</v>
      </c>
      <c r="F282" s="10">
        <f t="shared" si="17"/>
        <v>2000</v>
      </c>
      <c r="G282" s="15">
        <f t="shared" si="17"/>
        <v>4000</v>
      </c>
      <c r="H282" s="43">
        <f t="shared" si="17"/>
        <v>3000</v>
      </c>
      <c r="I282" s="10">
        <f t="shared" si="17"/>
        <v>3000</v>
      </c>
      <c r="J282" s="10">
        <f t="shared" si="18"/>
        <v>11653</v>
      </c>
      <c r="K282" s="121">
        <f t="shared" si="19"/>
        <v>21720229.678068407</v>
      </c>
    </row>
    <row r="283" spans="1:11" x14ac:dyDescent="0.25">
      <c r="A283" s="51">
        <f>'A) Base RI'!A282</f>
        <v>5888</v>
      </c>
      <c r="B283" s="34" t="str">
        <f>'A) Base RI'!B282</f>
        <v>Saint-Légier-La Chiésaz</v>
      </c>
      <c r="C283" s="15">
        <f>'A) Base RI'!AN282</f>
        <v>5167</v>
      </c>
      <c r="D283" s="10">
        <f t="shared" si="16"/>
        <v>1000</v>
      </c>
      <c r="E283" s="15">
        <f t="shared" si="17"/>
        <v>2000</v>
      </c>
      <c r="F283" s="10">
        <f t="shared" si="17"/>
        <v>2000</v>
      </c>
      <c r="G283" s="15">
        <f t="shared" si="17"/>
        <v>167</v>
      </c>
      <c r="H283" s="43">
        <f t="shared" si="17"/>
        <v>0</v>
      </c>
      <c r="I283" s="10">
        <f t="shared" si="17"/>
        <v>0</v>
      </c>
      <c r="J283" s="10">
        <f t="shared" si="18"/>
        <v>0</v>
      </c>
      <c r="K283" s="121">
        <f t="shared" si="19"/>
        <v>1877259.9597585513</v>
      </c>
    </row>
    <row r="284" spans="1:11" x14ac:dyDescent="0.25">
      <c r="A284" s="51">
        <f>'A) Base RI'!A283</f>
        <v>5889</v>
      </c>
      <c r="B284" s="34" t="str">
        <f>'A) Base RI'!B283</f>
        <v>La Tour-de-Peilz</v>
      </c>
      <c r="C284" s="15">
        <f>'A) Base RI'!AN283</f>
        <v>11779</v>
      </c>
      <c r="D284" s="10">
        <f t="shared" si="16"/>
        <v>1000</v>
      </c>
      <c r="E284" s="15">
        <f t="shared" si="17"/>
        <v>2000</v>
      </c>
      <c r="F284" s="10">
        <f t="shared" si="17"/>
        <v>2000</v>
      </c>
      <c r="G284" s="15">
        <f t="shared" si="17"/>
        <v>4000</v>
      </c>
      <c r="H284" s="43">
        <f t="shared" si="17"/>
        <v>2779</v>
      </c>
      <c r="I284" s="10">
        <f t="shared" si="17"/>
        <v>0</v>
      </c>
      <c r="J284" s="10">
        <f t="shared" si="18"/>
        <v>0</v>
      </c>
      <c r="K284" s="121">
        <f t="shared" si="19"/>
        <v>6482928.8732394371</v>
      </c>
    </row>
    <row r="285" spans="1:11" x14ac:dyDescent="0.25">
      <c r="A285" s="51">
        <f>'A) Base RI'!A284</f>
        <v>5890</v>
      </c>
      <c r="B285" s="34" t="str">
        <f>'A) Base RI'!B284</f>
        <v>Vevey</v>
      </c>
      <c r="C285" s="15">
        <f>'A) Base RI'!AN284</f>
        <v>19829</v>
      </c>
      <c r="D285" s="10">
        <f t="shared" si="16"/>
        <v>1000</v>
      </c>
      <c r="E285" s="15">
        <f t="shared" si="17"/>
        <v>2000</v>
      </c>
      <c r="F285" s="10">
        <f t="shared" si="17"/>
        <v>2000</v>
      </c>
      <c r="G285" s="15">
        <f t="shared" si="17"/>
        <v>4000</v>
      </c>
      <c r="H285" s="43">
        <f t="shared" si="17"/>
        <v>3000</v>
      </c>
      <c r="I285" s="10">
        <f t="shared" si="17"/>
        <v>3000</v>
      </c>
      <c r="J285" s="10">
        <f t="shared" si="18"/>
        <v>4829</v>
      </c>
      <c r="K285" s="121">
        <f t="shared" si="19"/>
        <v>14641531.086519113</v>
      </c>
    </row>
    <row r="286" spans="1:11" x14ac:dyDescent="0.25">
      <c r="A286" s="51">
        <f>'A) Base RI'!A285</f>
        <v>5891</v>
      </c>
      <c r="B286" s="34" t="str">
        <f>'A) Base RI'!B285</f>
        <v>Veytaux</v>
      </c>
      <c r="C286" s="15">
        <f>'A) Base RI'!AN285</f>
        <v>870</v>
      </c>
      <c r="D286" s="10">
        <f t="shared" si="16"/>
        <v>870</v>
      </c>
      <c r="E286" s="15">
        <f t="shared" si="17"/>
        <v>0</v>
      </c>
      <c r="F286" s="10">
        <f t="shared" si="17"/>
        <v>0</v>
      </c>
      <c r="G286" s="15">
        <f t="shared" si="17"/>
        <v>0</v>
      </c>
      <c r="H286" s="43">
        <f t="shared" si="17"/>
        <v>0</v>
      </c>
      <c r="I286" s="10">
        <f t="shared" si="17"/>
        <v>0</v>
      </c>
      <c r="J286" s="10">
        <f t="shared" si="18"/>
        <v>0</v>
      </c>
      <c r="K286" s="121">
        <f t="shared" si="19"/>
        <v>85949.698189134811</v>
      </c>
    </row>
    <row r="287" spans="1:11" x14ac:dyDescent="0.25">
      <c r="A287" s="51">
        <f>'A) Base RI'!A286</f>
        <v>5902</v>
      </c>
      <c r="B287" s="34" t="str">
        <f>'A) Base RI'!B286</f>
        <v>Belmont-sur-Yverdon</v>
      </c>
      <c r="C287" s="15">
        <f>'A) Base RI'!AN286</f>
        <v>378</v>
      </c>
      <c r="D287" s="10">
        <f t="shared" si="16"/>
        <v>378</v>
      </c>
      <c r="E287" s="15">
        <f t="shared" si="17"/>
        <v>0</v>
      </c>
      <c r="F287" s="10">
        <f t="shared" si="17"/>
        <v>0</v>
      </c>
      <c r="G287" s="15">
        <f t="shared" si="17"/>
        <v>0</v>
      </c>
      <c r="H287" s="43">
        <f t="shared" si="17"/>
        <v>0</v>
      </c>
      <c r="I287" s="10">
        <f t="shared" si="17"/>
        <v>0</v>
      </c>
      <c r="J287" s="10">
        <f t="shared" si="18"/>
        <v>0</v>
      </c>
      <c r="K287" s="121">
        <f t="shared" si="19"/>
        <v>37343.661971830988</v>
      </c>
    </row>
    <row r="288" spans="1:11" x14ac:dyDescent="0.25">
      <c r="A288" s="51">
        <f>'A) Base RI'!A287</f>
        <v>5903</v>
      </c>
      <c r="B288" s="34" t="str">
        <f>'A) Base RI'!B287</f>
        <v>Bioley-Magnoux</v>
      </c>
      <c r="C288" s="15">
        <f>'A) Base RI'!AN287</f>
        <v>225</v>
      </c>
      <c r="D288" s="10">
        <f t="shared" si="16"/>
        <v>225</v>
      </c>
      <c r="E288" s="15">
        <f t="shared" si="17"/>
        <v>0</v>
      </c>
      <c r="F288" s="10">
        <f t="shared" si="17"/>
        <v>0</v>
      </c>
      <c r="G288" s="15">
        <f t="shared" si="17"/>
        <v>0</v>
      </c>
      <c r="H288" s="43">
        <f t="shared" si="17"/>
        <v>0</v>
      </c>
      <c r="I288" s="10">
        <f t="shared" si="17"/>
        <v>0</v>
      </c>
      <c r="J288" s="10">
        <f t="shared" si="18"/>
        <v>0</v>
      </c>
      <c r="K288" s="121">
        <f t="shared" si="19"/>
        <v>22228.370221327968</v>
      </c>
    </row>
    <row r="289" spans="1:11" x14ac:dyDescent="0.25">
      <c r="A289" s="51">
        <f>'A) Base RI'!A288</f>
        <v>5904</v>
      </c>
      <c r="B289" s="34" t="str">
        <f>'A) Base RI'!B288</f>
        <v>Chamblon</v>
      </c>
      <c r="C289" s="15">
        <f>'A) Base RI'!AN288</f>
        <v>534</v>
      </c>
      <c r="D289" s="10">
        <f t="shared" si="16"/>
        <v>534</v>
      </c>
      <c r="E289" s="15">
        <f t="shared" si="17"/>
        <v>0</v>
      </c>
      <c r="F289" s="10">
        <f t="shared" si="17"/>
        <v>0</v>
      </c>
      <c r="G289" s="15">
        <f t="shared" si="17"/>
        <v>0</v>
      </c>
      <c r="H289" s="43">
        <f t="shared" si="17"/>
        <v>0</v>
      </c>
      <c r="I289" s="10">
        <f t="shared" si="17"/>
        <v>0</v>
      </c>
      <c r="J289" s="10">
        <f t="shared" si="18"/>
        <v>0</v>
      </c>
      <c r="K289" s="121">
        <f t="shared" si="19"/>
        <v>52755.331991951709</v>
      </c>
    </row>
    <row r="290" spans="1:11" x14ac:dyDescent="0.25">
      <c r="A290" s="51">
        <f>'A) Base RI'!A289</f>
        <v>5905</v>
      </c>
      <c r="B290" s="34" t="str">
        <f>'A) Base RI'!B289</f>
        <v>Champvent</v>
      </c>
      <c r="C290" s="15">
        <f>'A) Base RI'!AN289</f>
        <v>669</v>
      </c>
      <c r="D290" s="10">
        <f t="shared" si="16"/>
        <v>669</v>
      </c>
      <c r="E290" s="15">
        <f t="shared" si="17"/>
        <v>0</v>
      </c>
      <c r="F290" s="10">
        <f t="shared" si="17"/>
        <v>0</v>
      </c>
      <c r="G290" s="15">
        <f t="shared" si="17"/>
        <v>0</v>
      </c>
      <c r="H290" s="43">
        <f t="shared" si="17"/>
        <v>0</v>
      </c>
      <c r="I290" s="10">
        <f t="shared" si="17"/>
        <v>0</v>
      </c>
      <c r="J290" s="10">
        <f t="shared" si="18"/>
        <v>0</v>
      </c>
      <c r="K290" s="121">
        <f t="shared" si="19"/>
        <v>66092.354124748497</v>
      </c>
    </row>
    <row r="291" spans="1:11" x14ac:dyDescent="0.25">
      <c r="A291" s="51">
        <f>'A) Base RI'!A290</f>
        <v>5907</v>
      </c>
      <c r="B291" s="34" t="str">
        <f>'A) Base RI'!B290</f>
        <v>Chavannes-le-Chêne</v>
      </c>
      <c r="C291" s="15">
        <f>'A) Base RI'!AN290</f>
        <v>298</v>
      </c>
      <c r="D291" s="10">
        <f t="shared" si="16"/>
        <v>298</v>
      </c>
      <c r="E291" s="15">
        <f t="shared" si="17"/>
        <v>0</v>
      </c>
      <c r="F291" s="10">
        <f t="shared" si="17"/>
        <v>0</v>
      </c>
      <c r="G291" s="15">
        <f t="shared" si="17"/>
        <v>0</v>
      </c>
      <c r="H291" s="43">
        <f t="shared" si="17"/>
        <v>0</v>
      </c>
      <c r="I291" s="10">
        <f t="shared" si="17"/>
        <v>0</v>
      </c>
      <c r="J291" s="10">
        <f t="shared" si="18"/>
        <v>0</v>
      </c>
      <c r="K291" s="121">
        <f t="shared" si="19"/>
        <v>29440.241448692152</v>
      </c>
    </row>
    <row r="292" spans="1:11" x14ac:dyDescent="0.25">
      <c r="A292" s="51">
        <f>'A) Base RI'!A291</f>
        <v>5908</v>
      </c>
      <c r="B292" s="34" t="str">
        <f>'A) Base RI'!B291</f>
        <v>Chêne-Pâquier</v>
      </c>
      <c r="C292" s="15">
        <f>'A) Base RI'!AN291</f>
        <v>139</v>
      </c>
      <c r="D292" s="10">
        <f t="shared" si="16"/>
        <v>139</v>
      </c>
      <c r="E292" s="15">
        <f t="shared" si="17"/>
        <v>0</v>
      </c>
      <c r="F292" s="10">
        <f t="shared" si="17"/>
        <v>0</v>
      </c>
      <c r="G292" s="15">
        <f t="shared" si="17"/>
        <v>0</v>
      </c>
      <c r="H292" s="43">
        <f t="shared" si="17"/>
        <v>0</v>
      </c>
      <c r="I292" s="10">
        <f t="shared" si="17"/>
        <v>0</v>
      </c>
      <c r="J292" s="10">
        <f t="shared" si="18"/>
        <v>0</v>
      </c>
      <c r="K292" s="121">
        <f t="shared" si="19"/>
        <v>13732.193158953722</v>
      </c>
    </row>
    <row r="293" spans="1:11" x14ac:dyDescent="0.25">
      <c r="A293" s="51">
        <f>'A) Base RI'!A292</f>
        <v>5909</v>
      </c>
      <c r="B293" s="34" t="str">
        <f>'A) Base RI'!B292</f>
        <v>Cheseaux-Noréaz</v>
      </c>
      <c r="C293" s="15">
        <f>'A) Base RI'!AN292</f>
        <v>705</v>
      </c>
      <c r="D293" s="10">
        <f t="shared" si="16"/>
        <v>705</v>
      </c>
      <c r="E293" s="15">
        <f t="shared" si="17"/>
        <v>0</v>
      </c>
      <c r="F293" s="10">
        <f t="shared" si="17"/>
        <v>0</v>
      </c>
      <c r="G293" s="15">
        <f t="shared" si="17"/>
        <v>0</v>
      </c>
      <c r="H293" s="43">
        <f t="shared" si="17"/>
        <v>0</v>
      </c>
      <c r="I293" s="10">
        <f t="shared" si="17"/>
        <v>0</v>
      </c>
      <c r="J293" s="10">
        <f t="shared" si="18"/>
        <v>0</v>
      </c>
      <c r="K293" s="121">
        <f t="shared" si="19"/>
        <v>69648.893360160961</v>
      </c>
    </row>
    <row r="294" spans="1:11" x14ac:dyDescent="0.25">
      <c r="A294" s="51">
        <f>'A) Base RI'!A293</f>
        <v>5910</v>
      </c>
      <c r="B294" s="34" t="str">
        <f>'A) Base RI'!B293</f>
        <v>Cronay</v>
      </c>
      <c r="C294" s="15">
        <f>'A) Base RI'!AN293</f>
        <v>380</v>
      </c>
      <c r="D294" s="10">
        <f t="shared" si="16"/>
        <v>380</v>
      </c>
      <c r="E294" s="15">
        <f t="shared" si="17"/>
        <v>0</v>
      </c>
      <c r="F294" s="10">
        <f t="shared" si="17"/>
        <v>0</v>
      </c>
      <c r="G294" s="15">
        <f t="shared" si="17"/>
        <v>0</v>
      </c>
      <c r="H294" s="43">
        <f t="shared" si="17"/>
        <v>0</v>
      </c>
      <c r="I294" s="10">
        <f t="shared" si="17"/>
        <v>0</v>
      </c>
      <c r="J294" s="10">
        <f t="shared" si="18"/>
        <v>0</v>
      </c>
      <c r="K294" s="121">
        <f t="shared" si="19"/>
        <v>37541.247484909458</v>
      </c>
    </row>
    <row r="295" spans="1:11" x14ac:dyDescent="0.25">
      <c r="A295" s="51">
        <f>'A) Base RI'!A294</f>
        <v>5911</v>
      </c>
      <c r="B295" s="34" t="str">
        <f>'A) Base RI'!B294</f>
        <v>Cuarny</v>
      </c>
      <c r="C295" s="15">
        <f>'A) Base RI'!AN294</f>
        <v>241</v>
      </c>
      <c r="D295" s="10">
        <f t="shared" si="16"/>
        <v>241</v>
      </c>
      <c r="E295" s="15">
        <f t="shared" si="17"/>
        <v>0</v>
      </c>
      <c r="F295" s="10">
        <f t="shared" si="17"/>
        <v>0</v>
      </c>
      <c r="G295" s="15">
        <f t="shared" si="17"/>
        <v>0</v>
      </c>
      <c r="H295" s="43">
        <f t="shared" si="17"/>
        <v>0</v>
      </c>
      <c r="I295" s="10">
        <f t="shared" si="17"/>
        <v>0</v>
      </c>
      <c r="J295" s="10">
        <f t="shared" si="18"/>
        <v>0</v>
      </c>
      <c r="K295" s="121">
        <f t="shared" si="19"/>
        <v>23809.054325955734</v>
      </c>
    </row>
    <row r="296" spans="1:11" x14ac:dyDescent="0.25">
      <c r="A296" s="51">
        <f>'A) Base RI'!A295</f>
        <v>5912</v>
      </c>
      <c r="B296" s="34" t="str">
        <f>'A) Base RI'!B295</f>
        <v>Démoret</v>
      </c>
      <c r="C296" s="15">
        <f>'A) Base RI'!AN295</f>
        <v>146</v>
      </c>
      <c r="D296" s="10">
        <f t="shared" si="16"/>
        <v>146</v>
      </c>
      <c r="E296" s="15">
        <f t="shared" si="17"/>
        <v>0</v>
      </c>
      <c r="F296" s="10">
        <f t="shared" si="17"/>
        <v>0</v>
      </c>
      <c r="G296" s="15">
        <f t="shared" si="17"/>
        <v>0</v>
      </c>
      <c r="H296" s="43">
        <f t="shared" si="17"/>
        <v>0</v>
      </c>
      <c r="I296" s="10">
        <f t="shared" si="17"/>
        <v>0</v>
      </c>
      <c r="J296" s="10">
        <f t="shared" si="18"/>
        <v>0</v>
      </c>
      <c r="K296" s="121">
        <f t="shared" si="19"/>
        <v>14423.74245472837</v>
      </c>
    </row>
    <row r="297" spans="1:11" x14ac:dyDescent="0.25">
      <c r="A297" s="51">
        <f>'A) Base RI'!A296</f>
        <v>5913</v>
      </c>
      <c r="B297" s="34" t="str">
        <f>'A) Base RI'!B296</f>
        <v>Donneloye</v>
      </c>
      <c r="C297" s="15">
        <f>'A) Base RI'!AN296</f>
        <v>813</v>
      </c>
      <c r="D297" s="10">
        <f t="shared" si="16"/>
        <v>813</v>
      </c>
      <c r="E297" s="15">
        <f t="shared" si="17"/>
        <v>0</v>
      </c>
      <c r="F297" s="10">
        <f t="shared" si="17"/>
        <v>0</v>
      </c>
      <c r="G297" s="15">
        <f t="shared" si="17"/>
        <v>0</v>
      </c>
      <c r="H297" s="43">
        <f t="shared" si="17"/>
        <v>0</v>
      </c>
      <c r="I297" s="10">
        <f t="shared" si="17"/>
        <v>0</v>
      </c>
      <c r="J297" s="10">
        <f t="shared" si="18"/>
        <v>0</v>
      </c>
      <c r="K297" s="121">
        <f t="shared" si="19"/>
        <v>80318.511066398394</v>
      </c>
    </row>
    <row r="298" spans="1:11" x14ac:dyDescent="0.25">
      <c r="A298" s="51">
        <f>'A) Base RI'!A297</f>
        <v>5914</v>
      </c>
      <c r="B298" s="34" t="str">
        <f>'A) Base RI'!B297</f>
        <v>Ependes</v>
      </c>
      <c r="C298" s="15">
        <f>'A) Base RI'!AN297</f>
        <v>361</v>
      </c>
      <c r="D298" s="10">
        <f t="shared" si="16"/>
        <v>361</v>
      </c>
      <c r="E298" s="15">
        <f t="shared" si="17"/>
        <v>0</v>
      </c>
      <c r="F298" s="10">
        <f t="shared" si="17"/>
        <v>0</v>
      </c>
      <c r="G298" s="15">
        <f t="shared" si="17"/>
        <v>0</v>
      </c>
      <c r="H298" s="43">
        <f t="shared" si="17"/>
        <v>0</v>
      </c>
      <c r="I298" s="10">
        <f t="shared" si="17"/>
        <v>0</v>
      </c>
      <c r="J298" s="10">
        <f t="shared" si="18"/>
        <v>0</v>
      </c>
      <c r="K298" s="121">
        <f t="shared" si="19"/>
        <v>35664.185110663981</v>
      </c>
    </row>
    <row r="299" spans="1:11" x14ac:dyDescent="0.25">
      <c r="A299" s="51">
        <f>'A) Base RI'!A298</f>
        <v>5919</v>
      </c>
      <c r="B299" s="34" t="str">
        <f>'A) Base RI'!B298</f>
        <v>Mathod</v>
      </c>
      <c r="C299" s="15">
        <f>'A) Base RI'!AN298</f>
        <v>617</v>
      </c>
      <c r="D299" s="10">
        <f t="shared" ref="D299:D316" si="20">IF($C299&gt;D$4,IF($C299&lt;D$5,$C299-D$4,D$5-D$4),0)</f>
        <v>617</v>
      </c>
      <c r="E299" s="15">
        <f t="shared" si="17"/>
        <v>0</v>
      </c>
      <c r="F299" s="10">
        <f t="shared" si="17"/>
        <v>0</v>
      </c>
      <c r="G299" s="15">
        <f t="shared" si="17"/>
        <v>0</v>
      </c>
      <c r="H299" s="43">
        <f t="shared" si="17"/>
        <v>0</v>
      </c>
      <c r="I299" s="10">
        <f t="shared" si="17"/>
        <v>0</v>
      </c>
      <c r="J299" s="10">
        <f t="shared" si="18"/>
        <v>0</v>
      </c>
      <c r="K299" s="121">
        <f t="shared" si="19"/>
        <v>60955.13078470825</v>
      </c>
    </row>
    <row r="300" spans="1:11" x14ac:dyDescent="0.25">
      <c r="A300" s="51">
        <f>'A) Base RI'!A299</f>
        <v>5921</v>
      </c>
      <c r="B300" s="34" t="str">
        <f>'A) Base RI'!B299</f>
        <v>Molondin</v>
      </c>
      <c r="C300" s="15">
        <f>'A) Base RI'!AN299</f>
        <v>232</v>
      </c>
      <c r="D300" s="10">
        <f t="shared" si="20"/>
        <v>232</v>
      </c>
      <c r="E300" s="15">
        <f t="shared" si="17"/>
        <v>0</v>
      </c>
      <c r="F300" s="10">
        <f t="shared" si="17"/>
        <v>0</v>
      </c>
      <c r="G300" s="15">
        <f t="shared" si="17"/>
        <v>0</v>
      </c>
      <c r="H300" s="43">
        <f t="shared" si="17"/>
        <v>0</v>
      </c>
      <c r="I300" s="10">
        <f t="shared" si="17"/>
        <v>0</v>
      </c>
      <c r="J300" s="10">
        <f t="shared" si="18"/>
        <v>0</v>
      </c>
      <c r="K300" s="121">
        <f t="shared" si="19"/>
        <v>22919.919517102615</v>
      </c>
    </row>
    <row r="301" spans="1:11" x14ac:dyDescent="0.25">
      <c r="A301" s="51">
        <f>'A) Base RI'!A300</f>
        <v>5922</v>
      </c>
      <c r="B301" s="34" t="str">
        <f>'A) Base RI'!B300</f>
        <v>Montagny-près-Yverdon</v>
      </c>
      <c r="C301" s="15">
        <f>'A) Base RI'!AN300</f>
        <v>717</v>
      </c>
      <c r="D301" s="10">
        <f t="shared" si="20"/>
        <v>717</v>
      </c>
      <c r="E301" s="15">
        <f t="shared" si="17"/>
        <v>0</v>
      </c>
      <c r="F301" s="10">
        <f t="shared" si="17"/>
        <v>0</v>
      </c>
      <c r="G301" s="15">
        <f t="shared" si="17"/>
        <v>0</v>
      </c>
      <c r="H301" s="43">
        <f t="shared" si="17"/>
        <v>0</v>
      </c>
      <c r="I301" s="10">
        <f t="shared" si="17"/>
        <v>0</v>
      </c>
      <c r="J301" s="10">
        <f t="shared" si="18"/>
        <v>0</v>
      </c>
      <c r="K301" s="121">
        <f t="shared" si="19"/>
        <v>70834.406438631791</v>
      </c>
    </row>
    <row r="302" spans="1:11" x14ac:dyDescent="0.25">
      <c r="A302" s="51">
        <f>'A) Base RI'!A301</f>
        <v>5923</v>
      </c>
      <c r="B302" s="34" t="str">
        <f>'A) Base RI'!B301</f>
        <v>Oppens</v>
      </c>
      <c r="C302" s="15">
        <f>'A) Base RI'!AN301</f>
        <v>187</v>
      </c>
      <c r="D302" s="10">
        <f t="shared" si="20"/>
        <v>187</v>
      </c>
      <c r="E302" s="15">
        <f t="shared" si="17"/>
        <v>0</v>
      </c>
      <c r="F302" s="10">
        <f t="shared" si="17"/>
        <v>0</v>
      </c>
      <c r="G302" s="15">
        <f t="shared" si="17"/>
        <v>0</v>
      </c>
      <c r="H302" s="43">
        <f t="shared" si="17"/>
        <v>0</v>
      </c>
      <c r="I302" s="10">
        <f t="shared" si="17"/>
        <v>0</v>
      </c>
      <c r="J302" s="10">
        <f t="shared" si="18"/>
        <v>0</v>
      </c>
      <c r="K302" s="121">
        <f t="shared" si="19"/>
        <v>18474.245472837021</v>
      </c>
    </row>
    <row r="303" spans="1:11" x14ac:dyDescent="0.25">
      <c r="A303" s="51">
        <f>'A) Base RI'!A302</f>
        <v>5924</v>
      </c>
      <c r="B303" s="34" t="str">
        <f>'A) Base RI'!B302</f>
        <v>Orges</v>
      </c>
      <c r="C303" s="15">
        <f>'A) Base RI'!AN302</f>
        <v>336</v>
      </c>
      <c r="D303" s="10">
        <f t="shared" si="20"/>
        <v>336</v>
      </c>
      <c r="E303" s="15">
        <f t="shared" si="17"/>
        <v>0</v>
      </c>
      <c r="F303" s="10">
        <f t="shared" si="17"/>
        <v>0</v>
      </c>
      <c r="G303" s="15">
        <f t="shared" si="17"/>
        <v>0</v>
      </c>
      <c r="H303" s="43">
        <f t="shared" si="17"/>
        <v>0</v>
      </c>
      <c r="I303" s="10">
        <f t="shared" si="17"/>
        <v>0</v>
      </c>
      <c r="J303" s="10">
        <f t="shared" si="18"/>
        <v>0</v>
      </c>
      <c r="K303" s="121">
        <f t="shared" si="19"/>
        <v>33194.366197183095</v>
      </c>
    </row>
    <row r="304" spans="1:11" x14ac:dyDescent="0.25">
      <c r="A304" s="51">
        <f>'A) Base RI'!A303</f>
        <v>5925</v>
      </c>
      <c r="B304" s="34" t="str">
        <f>'A) Base RI'!B303</f>
        <v>Orzens</v>
      </c>
      <c r="C304" s="15">
        <f>'A) Base RI'!AN303</f>
        <v>195</v>
      </c>
      <c r="D304" s="10">
        <f t="shared" si="20"/>
        <v>195</v>
      </c>
      <c r="E304" s="15">
        <f t="shared" si="17"/>
        <v>0</v>
      </c>
      <c r="F304" s="10">
        <f t="shared" si="17"/>
        <v>0</v>
      </c>
      <c r="G304" s="15">
        <f t="shared" si="17"/>
        <v>0</v>
      </c>
      <c r="H304" s="43">
        <f t="shared" si="17"/>
        <v>0</v>
      </c>
      <c r="I304" s="10">
        <f t="shared" si="17"/>
        <v>0</v>
      </c>
      <c r="J304" s="10">
        <f t="shared" si="18"/>
        <v>0</v>
      </c>
      <c r="K304" s="121">
        <f t="shared" si="19"/>
        <v>19264.587525150906</v>
      </c>
    </row>
    <row r="305" spans="1:11" x14ac:dyDescent="0.25">
      <c r="A305" s="51">
        <f>'A) Base RI'!A304</f>
        <v>5926</v>
      </c>
      <c r="B305" s="34" t="str">
        <f>'A) Base RI'!B304</f>
        <v>Pomy</v>
      </c>
      <c r="C305" s="15">
        <f>'A) Base RI'!AN304</f>
        <v>785</v>
      </c>
      <c r="D305" s="10">
        <f t="shared" si="20"/>
        <v>785</v>
      </c>
      <c r="E305" s="15">
        <f t="shared" si="17"/>
        <v>0</v>
      </c>
      <c r="F305" s="10">
        <f t="shared" si="17"/>
        <v>0</v>
      </c>
      <c r="G305" s="15">
        <f t="shared" si="17"/>
        <v>0</v>
      </c>
      <c r="H305" s="43">
        <f t="shared" si="17"/>
        <v>0</v>
      </c>
      <c r="I305" s="10">
        <f t="shared" si="17"/>
        <v>0</v>
      </c>
      <c r="J305" s="10">
        <f t="shared" si="18"/>
        <v>0</v>
      </c>
      <c r="K305" s="121">
        <f t="shared" si="19"/>
        <v>77552.313883299794</v>
      </c>
    </row>
    <row r="306" spans="1:11" x14ac:dyDescent="0.25">
      <c r="A306" s="51">
        <f>'A) Base RI'!A305</f>
        <v>5928</v>
      </c>
      <c r="B306" s="34" t="str">
        <f>'A) Base RI'!B305</f>
        <v>Rovray</v>
      </c>
      <c r="C306" s="15">
        <f>'A) Base RI'!AN305</f>
        <v>187</v>
      </c>
      <c r="D306" s="10">
        <f t="shared" si="20"/>
        <v>187</v>
      </c>
      <c r="E306" s="15">
        <f t="shared" si="17"/>
        <v>0</v>
      </c>
      <c r="F306" s="10">
        <f t="shared" si="17"/>
        <v>0</v>
      </c>
      <c r="G306" s="15">
        <f t="shared" si="17"/>
        <v>0</v>
      </c>
      <c r="H306" s="43">
        <f t="shared" si="17"/>
        <v>0</v>
      </c>
      <c r="I306" s="10">
        <f t="shared" si="17"/>
        <v>0</v>
      </c>
      <c r="J306" s="10">
        <f t="shared" si="18"/>
        <v>0</v>
      </c>
      <c r="K306" s="121">
        <f t="shared" si="19"/>
        <v>18474.245472837021</v>
      </c>
    </row>
    <row r="307" spans="1:11" x14ac:dyDescent="0.25">
      <c r="A307" s="51">
        <f>'A) Base RI'!A306</f>
        <v>5929</v>
      </c>
      <c r="B307" s="34" t="str">
        <f>'A) Base RI'!B306</f>
        <v>Suchy</v>
      </c>
      <c r="C307" s="15">
        <f>'A) Base RI'!AN306</f>
        <v>605</v>
      </c>
      <c r="D307" s="10">
        <f t="shared" si="20"/>
        <v>605</v>
      </c>
      <c r="E307" s="15">
        <f t="shared" si="17"/>
        <v>0</v>
      </c>
      <c r="F307" s="10">
        <f t="shared" si="17"/>
        <v>0</v>
      </c>
      <c r="G307" s="15">
        <f t="shared" si="17"/>
        <v>0</v>
      </c>
      <c r="H307" s="43">
        <f t="shared" si="17"/>
        <v>0</v>
      </c>
      <c r="I307" s="10">
        <f t="shared" si="17"/>
        <v>0</v>
      </c>
      <c r="J307" s="10">
        <f t="shared" si="18"/>
        <v>0</v>
      </c>
      <c r="K307" s="121">
        <f t="shared" si="19"/>
        <v>59769.617706237426</v>
      </c>
    </row>
    <row r="308" spans="1:11" x14ac:dyDescent="0.25">
      <c r="A308" s="51">
        <f>'A) Base RI'!A307</f>
        <v>5930</v>
      </c>
      <c r="B308" s="34" t="str">
        <f>'A) Base RI'!B307</f>
        <v>Suscévaz</v>
      </c>
      <c r="C308" s="15">
        <f>'A) Base RI'!AN307</f>
        <v>200</v>
      </c>
      <c r="D308" s="10">
        <f t="shared" si="20"/>
        <v>200</v>
      </c>
      <c r="E308" s="15">
        <f t="shared" si="17"/>
        <v>0</v>
      </c>
      <c r="F308" s="10">
        <f t="shared" si="17"/>
        <v>0</v>
      </c>
      <c r="G308" s="15">
        <f t="shared" si="17"/>
        <v>0</v>
      </c>
      <c r="H308" s="43">
        <f t="shared" si="17"/>
        <v>0</v>
      </c>
      <c r="I308" s="10">
        <f t="shared" si="17"/>
        <v>0</v>
      </c>
      <c r="J308" s="10">
        <f t="shared" si="18"/>
        <v>0</v>
      </c>
      <c r="K308" s="121">
        <f t="shared" si="19"/>
        <v>19758.551307847083</v>
      </c>
    </row>
    <row r="309" spans="1:11" x14ac:dyDescent="0.25">
      <c r="A309" s="51">
        <f>'A) Base RI'!A308</f>
        <v>5931</v>
      </c>
      <c r="B309" s="34" t="str">
        <f>'A) Base RI'!B308</f>
        <v>Treycovagnes</v>
      </c>
      <c r="C309" s="15">
        <f>'A) Base RI'!AN308</f>
        <v>456</v>
      </c>
      <c r="D309" s="10">
        <f t="shared" si="20"/>
        <v>456</v>
      </c>
      <c r="E309" s="15">
        <f t="shared" si="17"/>
        <v>0</v>
      </c>
      <c r="F309" s="10">
        <f t="shared" si="17"/>
        <v>0</v>
      </c>
      <c r="G309" s="15">
        <f t="shared" si="17"/>
        <v>0</v>
      </c>
      <c r="H309" s="43">
        <f t="shared" si="17"/>
        <v>0</v>
      </c>
      <c r="I309" s="10">
        <f t="shared" si="17"/>
        <v>0</v>
      </c>
      <c r="J309" s="10">
        <f t="shared" si="18"/>
        <v>0</v>
      </c>
      <c r="K309" s="121">
        <f t="shared" si="19"/>
        <v>45049.496981891345</v>
      </c>
    </row>
    <row r="310" spans="1:11" x14ac:dyDescent="0.25">
      <c r="A310" s="51">
        <f>'A) Base RI'!A309</f>
        <v>5932</v>
      </c>
      <c r="B310" s="34" t="str">
        <f>'A) Base RI'!B309</f>
        <v>Ursins</v>
      </c>
      <c r="C310" s="15">
        <f>'A) Base RI'!AN309</f>
        <v>218</v>
      </c>
      <c r="D310" s="10">
        <f t="shared" si="20"/>
        <v>218</v>
      </c>
      <c r="E310" s="15">
        <f t="shared" si="17"/>
        <v>0</v>
      </c>
      <c r="F310" s="10">
        <f t="shared" si="17"/>
        <v>0</v>
      </c>
      <c r="G310" s="15">
        <f t="shared" ref="E310:I316" si="21">IF($C310&gt;G$4,IF($C310&lt;G$5,$C310-G$4,G$5-G$4),0)</f>
        <v>0</v>
      </c>
      <c r="H310" s="43">
        <f t="shared" si="21"/>
        <v>0</v>
      </c>
      <c r="I310" s="10">
        <f t="shared" si="21"/>
        <v>0</v>
      </c>
      <c r="J310" s="10">
        <f t="shared" si="18"/>
        <v>0</v>
      </c>
      <c r="K310" s="121">
        <f t="shared" si="19"/>
        <v>21536.820925553318</v>
      </c>
    </row>
    <row r="311" spans="1:11" x14ac:dyDescent="0.25">
      <c r="A311" s="51">
        <f>'A) Base RI'!A310</f>
        <v>5933</v>
      </c>
      <c r="B311" s="34" t="str">
        <f>'A) Base RI'!B310</f>
        <v>Valeyres-sous-Montagny</v>
      </c>
      <c r="C311" s="15">
        <f>'A) Base RI'!AN310</f>
        <v>705</v>
      </c>
      <c r="D311" s="10">
        <f t="shared" si="20"/>
        <v>705</v>
      </c>
      <c r="E311" s="15">
        <f t="shared" si="21"/>
        <v>0</v>
      </c>
      <c r="F311" s="10">
        <f t="shared" si="21"/>
        <v>0</v>
      </c>
      <c r="G311" s="15">
        <f t="shared" si="21"/>
        <v>0</v>
      </c>
      <c r="H311" s="43">
        <f t="shared" si="21"/>
        <v>0</v>
      </c>
      <c r="I311" s="10">
        <f t="shared" si="21"/>
        <v>0</v>
      </c>
      <c r="J311" s="10">
        <f t="shared" si="18"/>
        <v>0</v>
      </c>
      <c r="K311" s="121">
        <f t="shared" si="19"/>
        <v>69648.893360160961</v>
      </c>
    </row>
    <row r="312" spans="1:11" x14ac:dyDescent="0.25">
      <c r="A312" s="51">
        <f>'A) Base RI'!A311</f>
        <v>5934</v>
      </c>
      <c r="B312" s="34" t="str">
        <f>'A) Base RI'!B311</f>
        <v>Valeyres-sous-Ursins</v>
      </c>
      <c r="C312" s="15">
        <f>'A) Base RI'!AN311</f>
        <v>238</v>
      </c>
      <c r="D312" s="10">
        <f t="shared" si="20"/>
        <v>238</v>
      </c>
      <c r="E312" s="15">
        <f t="shared" si="21"/>
        <v>0</v>
      </c>
      <c r="F312" s="10">
        <f t="shared" si="21"/>
        <v>0</v>
      </c>
      <c r="G312" s="15">
        <f t="shared" si="21"/>
        <v>0</v>
      </c>
      <c r="H312" s="43">
        <f t="shared" si="21"/>
        <v>0</v>
      </c>
      <c r="I312" s="10">
        <f t="shared" si="21"/>
        <v>0</v>
      </c>
      <c r="J312" s="10">
        <f t="shared" si="18"/>
        <v>0</v>
      </c>
      <c r="K312" s="121">
        <f t="shared" si="19"/>
        <v>23512.676056338027</v>
      </c>
    </row>
    <row r="313" spans="1:11" x14ac:dyDescent="0.25">
      <c r="A313" s="51">
        <f>'A) Base RI'!A312</f>
        <v>5935</v>
      </c>
      <c r="B313" s="34" t="str">
        <f>'A) Base RI'!B312</f>
        <v>Villars-Epeney</v>
      </c>
      <c r="C313" s="15">
        <f>'A) Base RI'!AN312</f>
        <v>106</v>
      </c>
      <c r="D313" s="10">
        <f t="shared" si="20"/>
        <v>106</v>
      </c>
      <c r="E313" s="15">
        <f t="shared" si="21"/>
        <v>0</v>
      </c>
      <c r="F313" s="10">
        <f t="shared" si="21"/>
        <v>0</v>
      </c>
      <c r="G313" s="15">
        <f t="shared" si="21"/>
        <v>0</v>
      </c>
      <c r="H313" s="43">
        <f t="shared" si="21"/>
        <v>0</v>
      </c>
      <c r="I313" s="10">
        <f t="shared" si="21"/>
        <v>0</v>
      </c>
      <c r="J313" s="10">
        <f t="shared" si="18"/>
        <v>0</v>
      </c>
      <c r="K313" s="121">
        <f t="shared" si="19"/>
        <v>10472.032193158953</v>
      </c>
    </row>
    <row r="314" spans="1:11" x14ac:dyDescent="0.25">
      <c r="A314" s="51">
        <f>'A) Base RI'!A313</f>
        <v>5937</v>
      </c>
      <c r="B314" s="34" t="str">
        <f>'A) Base RI'!B313</f>
        <v>Vugelles-La Mothe</v>
      </c>
      <c r="C314" s="15">
        <f>'A) Base RI'!AN313</f>
        <v>122</v>
      </c>
      <c r="D314" s="10">
        <f t="shared" si="20"/>
        <v>122</v>
      </c>
      <c r="E314" s="15">
        <f t="shared" si="21"/>
        <v>0</v>
      </c>
      <c r="F314" s="10">
        <f t="shared" si="21"/>
        <v>0</v>
      </c>
      <c r="G314" s="15">
        <f t="shared" si="21"/>
        <v>0</v>
      </c>
      <c r="H314" s="43">
        <f t="shared" si="21"/>
        <v>0</v>
      </c>
      <c r="I314" s="10">
        <f t="shared" si="21"/>
        <v>0</v>
      </c>
      <c r="J314" s="10">
        <f t="shared" si="18"/>
        <v>0</v>
      </c>
      <c r="K314" s="121">
        <f t="shared" si="19"/>
        <v>12052.716297786721</v>
      </c>
    </row>
    <row r="315" spans="1:11" x14ac:dyDescent="0.25">
      <c r="A315" s="51">
        <f>'A) Base RI'!A314</f>
        <v>5938</v>
      </c>
      <c r="B315" s="34" t="str">
        <f>'A) Base RI'!B314</f>
        <v>Yverdon-les-Bains</v>
      </c>
      <c r="C315" s="15">
        <f>'A) Base RI'!AN314</f>
        <v>30208</v>
      </c>
      <c r="D315" s="10">
        <f t="shared" si="20"/>
        <v>1000</v>
      </c>
      <c r="E315" s="15">
        <f t="shared" si="21"/>
        <v>2000</v>
      </c>
      <c r="F315" s="10">
        <f t="shared" si="21"/>
        <v>2000</v>
      </c>
      <c r="G315" s="15">
        <f t="shared" si="21"/>
        <v>4000</v>
      </c>
      <c r="H315" s="43">
        <f t="shared" si="21"/>
        <v>3000</v>
      </c>
      <c r="I315" s="10">
        <f t="shared" si="21"/>
        <v>3000</v>
      </c>
      <c r="J315" s="10">
        <f t="shared" si="18"/>
        <v>15208</v>
      </c>
      <c r="K315" s="121">
        <f t="shared" si="19"/>
        <v>25407916.297786716</v>
      </c>
    </row>
    <row r="316" spans="1:11" x14ac:dyDescent="0.25">
      <c r="A316" s="52">
        <f>'A) Base RI'!A315</f>
        <v>5939</v>
      </c>
      <c r="B316" s="331" t="str">
        <f>'A) Base RI'!B315</f>
        <v>Yvonand</v>
      </c>
      <c r="C316" s="15">
        <f>'A) Base RI'!AN315</f>
        <v>3351</v>
      </c>
      <c r="D316" s="10">
        <f t="shared" si="20"/>
        <v>1000</v>
      </c>
      <c r="E316" s="15">
        <f t="shared" si="21"/>
        <v>2000</v>
      </c>
      <c r="F316" s="10">
        <f t="shared" si="21"/>
        <v>351</v>
      </c>
      <c r="G316" s="15">
        <f t="shared" si="21"/>
        <v>0</v>
      </c>
      <c r="H316" s="43">
        <f t="shared" si="21"/>
        <v>0</v>
      </c>
      <c r="I316" s="10">
        <f t="shared" si="21"/>
        <v>0</v>
      </c>
      <c r="J316" s="10">
        <f t="shared" si="18"/>
        <v>0</v>
      </c>
      <c r="K316" s="121">
        <f t="shared" si="19"/>
        <v>963723.34004024148</v>
      </c>
    </row>
    <row r="317" spans="1:11" x14ac:dyDescent="0.25">
      <c r="B317" s="60">
        <f>COUNTA(B8:B316)</f>
        <v>309</v>
      </c>
      <c r="C317" s="11">
        <f>SUM(C8:C316)</f>
        <v>794384</v>
      </c>
      <c r="D317" s="11">
        <f t="shared" ref="D317:J317" si="22">SUM(D8:D316)</f>
        <v>216178</v>
      </c>
      <c r="E317" s="11">
        <f t="shared" si="22"/>
        <v>166145</v>
      </c>
      <c r="F317" s="11">
        <f t="shared" si="22"/>
        <v>84793</v>
      </c>
      <c r="G317" s="11">
        <f t="shared" si="22"/>
        <v>90526</v>
      </c>
      <c r="H317" s="11">
        <f t="shared" si="22"/>
        <v>38984</v>
      </c>
      <c r="I317" s="11">
        <f t="shared" si="22"/>
        <v>25746</v>
      </c>
      <c r="J317" s="11">
        <f t="shared" si="22"/>
        <v>172012</v>
      </c>
      <c r="K317" s="39">
        <f>SUM(K8:K316)</f>
        <v>410953811.1670019</v>
      </c>
    </row>
    <row r="318" spans="1:11" x14ac:dyDescent="0.25">
      <c r="C318" s="77"/>
    </row>
    <row r="328" spans="3:3" x14ac:dyDescent="0.25">
      <c r="C328" s="63"/>
    </row>
  </sheetData>
  <mergeCells count="6">
    <mergeCell ref="K6:K7"/>
    <mergeCell ref="C3:J3"/>
    <mergeCell ref="A6:A7"/>
    <mergeCell ref="B6:B7"/>
    <mergeCell ref="C6:C7"/>
    <mergeCell ref="D6:J6"/>
  </mergeCells>
  <phoneticPr fontId="8"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13</vt:i4>
      </vt:variant>
    </vt:vector>
  </HeadingPairs>
  <TitlesOfParts>
    <vt:vector size="32" baseType="lpstr">
      <vt:lpstr>Paramètres</vt:lpstr>
      <vt:lpstr>Recherche</vt:lpstr>
      <vt:lpstr>Validation Rend. Imp.</vt:lpstr>
      <vt:lpstr>A) Base RI</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Acomptes vs Décompte</vt:lpstr>
      <vt:lpstr>Feuil1</vt:lpstr>
      <vt:lpstr>'C) Prél. conj.'!Impression_des_titres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'H) Péréquation directe'!Zone_d_impression</vt:lpstr>
      <vt:lpstr>'L) Plafonnement taux'!Zone_d_impression</vt:lpstr>
      <vt:lpstr>'M) Police'!Zone_d_impression</vt:lpstr>
      <vt:lpstr>Recherche!Zone_d_impression</vt:lpstr>
      <vt:lpstr>Synthèse!Zone_d_impression</vt:lpstr>
      <vt:lpstr>'Validation Rend. Imp.'!Zone_d_impression</vt:lpstr>
    </vt:vector>
  </TitlesOfParts>
  <Company>Etat de Vaud / ASFiCo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CLERC,Charles Henri</dc:creator>
  <cp:lastModifiedBy>CLERC Charles Henri</cp:lastModifiedBy>
  <cp:lastPrinted>2018-06-26T06:42:30Z</cp:lastPrinted>
  <dcterms:created xsi:type="dcterms:W3CDTF">2005-06-06T00:37:42Z</dcterms:created>
  <dcterms:modified xsi:type="dcterms:W3CDTF">2018-06-29T06:13:41Z</dcterms:modified>
</cp:coreProperties>
</file>